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840" tabRatio="879"/>
  </bookViews>
  <sheets>
    <sheet name="FERC Form 1 Inputs" sheetId="2" r:id="rId1"/>
    <sheet name="Data Requests" sheetId="3" state="hidden" r:id="rId2"/>
    <sheet name="Summary" sheetId="4" r:id="rId3"/>
    <sheet name="Rate Base" sheetId="5" r:id="rId4"/>
    <sheet name="Revenue Requirement" sheetId="6" r:id="rId5"/>
    <sheet name="Allocation Factors" sheetId="7" r:id="rId6"/>
    <sheet name=" Notes" sheetId="8" r:id="rId7"/>
    <sheet name="Schedule 1" sheetId="9" r:id="rId8"/>
    <sheet name="Attach A - Acct 190" sheetId="10" r:id="rId9"/>
    <sheet name="Attach B - Acct 282" sheetId="11" r:id="rId10"/>
    <sheet name="Attach C - Acct 283" sheetId="12" r:id="rId11"/>
    <sheet name="Attach D - Acct 182" sheetId="13" r:id="rId12"/>
    <sheet name="Attach E - Acct 228" sheetId="14" r:id="rId13"/>
    <sheet name="Attach F - Acct 253-254" sheetId="15" r:id="rId14"/>
    <sheet name="Attach G - Acct 454" sheetId="16" r:id="rId15"/>
    <sheet name="Attach H - Acct 454.3" sheetId="17" r:id="rId16"/>
    <sheet name="Attach I - Acct 456.1" sheetId="18" r:id="rId17"/>
    <sheet name="Attach J - Prepayment" sheetId="19" r:id="rId18"/>
    <sheet name="Attach K - GridSouth" sheetId="20" r:id="rId19"/>
    <sheet name="Attach L - Intangibles Gross" sheetId="21" r:id="rId20"/>
    <sheet name="Attach M -Intangibles Acc Amort" sheetId="22" r:id="rId21"/>
    <sheet name="Attach N -Intangibles Amort Exp" sheetId="23" r:id="rId22"/>
    <sheet name="Attach O - Depr Rate" sheetId="24" r:id="rId23"/>
    <sheet name="Attach P - AFUDC" sheetId="25" r:id="rId24"/>
    <sheet name="Attach Q - 561.1- 561.4" sheetId="26" r:id="rId25"/>
    <sheet name="ATRR True-Up" sheetId="27" r:id="rId26"/>
    <sheet name="Schedule 1 True Up" sheetId="28" r:id="rId27"/>
    <sheet name="Attach S1 - SOC GP" sheetId="29" r:id="rId28"/>
    <sheet name="Interest Worksheet" sheetId="30" r:id="rId29"/>
    <sheet name="Amounts Owed Worksheet" sheetId="31" r:id="rId30"/>
    <sheet name="Amounts Owed Worksheet Sch 1" sheetId="32" r:id="rId31"/>
    <sheet name="Sheet1" sheetId="33" r:id="rId32"/>
  </sheets>
  <definedNames>
    <definedName name="_xlnm._FilterDatabase" localSheetId="19" hidden="1">'Attach L - Intangibles Gross'!$G$7:$H$108</definedName>
    <definedName name="_xlnm._FilterDatabase" localSheetId="20" hidden="1">'Attach M -Intangibles Acc Amort'!$F$5:$G$109</definedName>
    <definedName name="_xlnm._FilterDatabase" localSheetId="21" hidden="1">'Attach N -Intangibles Amort Exp'!$E$7:$F$114</definedName>
    <definedName name="_xlnm._FilterDatabase" localSheetId="0" hidden="1">'FERC Form 1 Inputs'!$A$1:$O$58</definedName>
    <definedName name="_xlnm.Print_Area" localSheetId="6">' Notes'!$A$1:$D$47</definedName>
    <definedName name="_xlnm.Print_Area" localSheetId="5">'Allocation Factors'!$A$1:$G$43</definedName>
    <definedName name="_xlnm.Print_Area" localSheetId="25">'ATRR True-Up'!$A$1:$G$52</definedName>
    <definedName name="_xlnm.Print_Area" localSheetId="9">'Attach B - Acct 282'!$A$1:$I$23</definedName>
    <definedName name="_xlnm.Print_Area" localSheetId="10">'Attach C - Acct 283'!$A$1:$I$40</definedName>
    <definedName name="_xlnm.Print_Area" localSheetId="13">'Attach F - Acct 253-254'!$A$1:$I$27</definedName>
    <definedName name="_xlnm.Print_Area" localSheetId="15">'Attach H - Acct 454.3'!$A$1:$J$38</definedName>
    <definedName name="_xlnm.Print_Area" localSheetId="16">'Attach I - Acct 456.1'!$A$1:$K$98</definedName>
    <definedName name="_xlnm.Print_Area" localSheetId="17">'Attach J - Prepayment'!$A$1:$M$58</definedName>
    <definedName name="_xlnm.Print_Area" localSheetId="18">'Attach K - GridSouth'!$A$1:$G$25</definedName>
    <definedName name="_xlnm.Print_Area" localSheetId="21">'Attach N -Intangibles Amort Exp'!$A$1:$H$117</definedName>
    <definedName name="_xlnm.Print_Area" localSheetId="24">'Attach Q - 561.1- 561.4'!$A$1:$B$23</definedName>
    <definedName name="_xlnm.Print_Area" localSheetId="1">'Data Requests'!$A$1:$C$36</definedName>
    <definedName name="_xlnm.Print_Area" localSheetId="0">'FERC Form 1 Inputs'!$A$1:$N$58</definedName>
    <definedName name="_xlnm.Print_Area" localSheetId="3">'Rate Base'!$A$1:$M$79</definedName>
    <definedName name="_xlnm.Print_Area" localSheetId="4">'Revenue Requirement'!$A$1:$K$64</definedName>
    <definedName name="_xlnm.Print_Area" localSheetId="7">'Schedule 1'!$A$1:$G$62</definedName>
    <definedName name="_xlnm.Print_Area" localSheetId="26">'Schedule 1 True Up'!$A$1:$G$55</definedName>
    <definedName name="_xlnm.Print_Area" localSheetId="2">Summary!$A$1:$J$42</definedName>
    <definedName name="Z_07CF359B_F6F4_4F65_89CD_779701B37881_.wvu.FilterData" localSheetId="19" hidden="1">'Attach L - Intangibles Gross'!$G$7:$H$108</definedName>
    <definedName name="Z_30B757D6_3CC7_4BA5_B259_28EB84830CFA_.wvu.FilterData" localSheetId="19" hidden="1">'Attach L - Intangibles Gross'!$G$7:$H$108</definedName>
    <definedName name="Z_4842A6D3_91F2_43D2_87D1_74EBC025B1D0_.wvu.FilterData" localSheetId="19" hidden="1">'Attach L - Intangibles Gross'!$G$7:$H$108</definedName>
    <definedName name="Z_589A2A1C_99B3_4A22_A52E_EECEEAD60ADB_.wvu.FilterData" localSheetId="19" hidden="1">'Attach L - Intangibles Gross'!$G$7:$H$108</definedName>
    <definedName name="Z_589A2A1C_99B3_4A22_A52E_EECEEAD60ADB_.wvu.FilterData" localSheetId="20" hidden="1">'Attach M -Intangibles Acc Amort'!$F$5:$G$109</definedName>
    <definedName name="Z_589A2A1C_99B3_4A22_A52E_EECEEAD60ADB_.wvu.FilterData" localSheetId="21" hidden="1">'Attach N -Intangibles Amort Exp'!$E$7:$F$114</definedName>
    <definedName name="Z_589A2A1C_99B3_4A22_A52E_EECEEAD60ADB_.wvu.FilterData" localSheetId="0" hidden="1">'FERC Form 1 Inputs'!$A$1:$O$58</definedName>
    <definedName name="Z_589A2A1C_99B3_4A22_A52E_EECEEAD60ADB_.wvu.PrintArea" localSheetId="6" hidden="1">' Notes'!$A$1:$D$47</definedName>
    <definedName name="Z_589A2A1C_99B3_4A22_A52E_EECEEAD60ADB_.wvu.PrintArea" localSheetId="5" hidden="1">'Allocation Factors'!$A$1:$G$43</definedName>
    <definedName name="Z_589A2A1C_99B3_4A22_A52E_EECEEAD60ADB_.wvu.PrintArea" localSheetId="25" hidden="1">'ATRR True-Up'!$A$1:$G$52</definedName>
    <definedName name="Z_589A2A1C_99B3_4A22_A52E_EECEEAD60ADB_.wvu.PrintArea" localSheetId="9" hidden="1">'Attach B - Acct 282'!$A$1:$I$23</definedName>
    <definedName name="Z_589A2A1C_99B3_4A22_A52E_EECEEAD60ADB_.wvu.PrintArea" localSheetId="10" hidden="1">'Attach C - Acct 283'!$A$1:$I$40</definedName>
    <definedName name="Z_589A2A1C_99B3_4A22_A52E_EECEEAD60ADB_.wvu.PrintArea" localSheetId="13" hidden="1">'Attach F - Acct 253-254'!$A$1:$I$27</definedName>
    <definedName name="Z_589A2A1C_99B3_4A22_A52E_EECEEAD60ADB_.wvu.PrintArea" localSheetId="15" hidden="1">'Attach H - Acct 454.3'!$A$1:$J$38</definedName>
    <definedName name="Z_589A2A1C_99B3_4A22_A52E_EECEEAD60ADB_.wvu.PrintArea" localSheetId="16" hidden="1">'Attach I - Acct 456.1'!$A$1:$K$98</definedName>
    <definedName name="Z_589A2A1C_99B3_4A22_A52E_EECEEAD60ADB_.wvu.PrintArea" localSheetId="17" hidden="1">'Attach J - Prepayment'!$A$1:$M$58</definedName>
    <definedName name="Z_589A2A1C_99B3_4A22_A52E_EECEEAD60ADB_.wvu.PrintArea" localSheetId="18" hidden="1">'Attach K - GridSouth'!$A$1:$G$25</definedName>
    <definedName name="Z_589A2A1C_99B3_4A22_A52E_EECEEAD60ADB_.wvu.PrintArea" localSheetId="21" hidden="1">'Attach N -Intangibles Amort Exp'!$A$1:$H$117</definedName>
    <definedName name="Z_589A2A1C_99B3_4A22_A52E_EECEEAD60ADB_.wvu.PrintArea" localSheetId="24" hidden="1">'Attach Q - 561.1- 561.4'!$A$1:$B$23</definedName>
    <definedName name="Z_589A2A1C_99B3_4A22_A52E_EECEEAD60ADB_.wvu.PrintArea" localSheetId="1" hidden="1">'Data Requests'!$A$1:$C$36</definedName>
    <definedName name="Z_589A2A1C_99B3_4A22_A52E_EECEEAD60ADB_.wvu.PrintArea" localSheetId="0" hidden="1">'FERC Form 1 Inputs'!$A$1:$N$58</definedName>
    <definedName name="Z_589A2A1C_99B3_4A22_A52E_EECEEAD60ADB_.wvu.PrintArea" localSheetId="3" hidden="1">'Rate Base'!$A$1:$M$79</definedName>
    <definedName name="Z_589A2A1C_99B3_4A22_A52E_EECEEAD60ADB_.wvu.PrintArea" localSheetId="4" hidden="1">'Revenue Requirement'!$A$1:$K$64</definedName>
    <definedName name="Z_589A2A1C_99B3_4A22_A52E_EECEEAD60ADB_.wvu.PrintArea" localSheetId="7" hidden="1">'Schedule 1'!$A$1:$G$62</definedName>
    <definedName name="Z_589A2A1C_99B3_4A22_A52E_EECEEAD60ADB_.wvu.PrintArea" localSheetId="26" hidden="1">'Schedule 1 True Up'!$A$1:$G$55</definedName>
    <definedName name="Z_589A2A1C_99B3_4A22_A52E_EECEEAD60ADB_.wvu.PrintArea" localSheetId="2" hidden="1">Summary!$A$1:$J$42</definedName>
    <definedName name="Z_697D39F2_D19C_44C6_9637_57C271FD2CFA_.wvu.FilterData" localSheetId="19" hidden="1">'Attach L - Intangibles Gross'!$G$7:$H$108</definedName>
    <definedName name="Z_9E79774D_36EE_4D5C_AB92_8A7573FEE2C3_.wvu.FilterData" localSheetId="21" hidden="1">'Attach N -Intangibles Amort Exp'!$E$7:$F$114</definedName>
    <definedName name="Z_C0F5889E_F852_4CB9_B477_759ADBCFF6D5_.wvu.FilterData" localSheetId="19" hidden="1">'Attach L - Intangibles Gross'!$G$7:$H$108</definedName>
    <definedName name="Z_C0F5889E_F852_4CB9_B477_759ADBCFF6D5_.wvu.FilterData" localSheetId="20" hidden="1">'Attach M -Intangibles Acc Amort'!$F$5:$G$109</definedName>
    <definedName name="Z_C0F5889E_F852_4CB9_B477_759ADBCFF6D5_.wvu.FilterData" localSheetId="21" hidden="1">'Attach N -Intangibles Amort Exp'!$E$7:$F$114</definedName>
    <definedName name="Z_C0F5889E_F852_4CB9_B477_759ADBCFF6D5_.wvu.FilterData" localSheetId="0" hidden="1">'FERC Form 1 Inputs'!$A$1:$O$58</definedName>
    <definedName name="Z_C0F5889E_F852_4CB9_B477_759ADBCFF6D5_.wvu.PrintArea" localSheetId="6" hidden="1">' Notes'!$A$1:$D$47</definedName>
    <definedName name="Z_C0F5889E_F852_4CB9_B477_759ADBCFF6D5_.wvu.PrintArea" localSheetId="5" hidden="1">'Allocation Factors'!$A$1:$G$43</definedName>
    <definedName name="Z_C0F5889E_F852_4CB9_B477_759ADBCFF6D5_.wvu.PrintArea" localSheetId="25" hidden="1">'ATRR True-Up'!$A$1:$G$52</definedName>
    <definedName name="Z_C0F5889E_F852_4CB9_B477_759ADBCFF6D5_.wvu.PrintArea" localSheetId="9" hidden="1">'Attach B - Acct 282'!$A$1:$I$23</definedName>
    <definedName name="Z_C0F5889E_F852_4CB9_B477_759ADBCFF6D5_.wvu.PrintArea" localSheetId="10" hidden="1">'Attach C - Acct 283'!$A$1:$I$40</definedName>
    <definedName name="Z_C0F5889E_F852_4CB9_B477_759ADBCFF6D5_.wvu.PrintArea" localSheetId="13" hidden="1">'Attach F - Acct 253-254'!$A$1:$I$27</definedName>
    <definedName name="Z_C0F5889E_F852_4CB9_B477_759ADBCFF6D5_.wvu.PrintArea" localSheetId="15" hidden="1">'Attach H - Acct 454.3'!$A$1:$J$38</definedName>
    <definedName name="Z_C0F5889E_F852_4CB9_B477_759ADBCFF6D5_.wvu.PrintArea" localSheetId="16" hidden="1">'Attach I - Acct 456.1'!$A$1:$K$98</definedName>
    <definedName name="Z_C0F5889E_F852_4CB9_B477_759ADBCFF6D5_.wvu.PrintArea" localSheetId="17" hidden="1">'Attach J - Prepayment'!$A$1:$M$58</definedName>
    <definedName name="Z_C0F5889E_F852_4CB9_B477_759ADBCFF6D5_.wvu.PrintArea" localSheetId="18" hidden="1">'Attach K - GridSouth'!$A$1:$G$25</definedName>
    <definedName name="Z_C0F5889E_F852_4CB9_B477_759ADBCFF6D5_.wvu.PrintArea" localSheetId="21" hidden="1">'Attach N -Intangibles Amort Exp'!$A$1:$H$117</definedName>
    <definedName name="Z_C0F5889E_F852_4CB9_B477_759ADBCFF6D5_.wvu.PrintArea" localSheetId="24" hidden="1">'Attach Q - 561.1- 561.4'!$A$1:$B$23</definedName>
    <definedName name="Z_C0F5889E_F852_4CB9_B477_759ADBCFF6D5_.wvu.PrintArea" localSheetId="1" hidden="1">'Data Requests'!$A$1:$C$36</definedName>
    <definedName name="Z_C0F5889E_F852_4CB9_B477_759ADBCFF6D5_.wvu.PrintArea" localSheetId="0" hidden="1">'FERC Form 1 Inputs'!$A$1:$N$58</definedName>
    <definedName name="Z_C0F5889E_F852_4CB9_B477_759ADBCFF6D5_.wvu.PrintArea" localSheetId="3" hidden="1">'Rate Base'!$A$1:$M$79</definedName>
    <definedName name="Z_C0F5889E_F852_4CB9_B477_759ADBCFF6D5_.wvu.PrintArea" localSheetId="4" hidden="1">'Revenue Requirement'!$A$1:$K$64</definedName>
    <definedName name="Z_C0F5889E_F852_4CB9_B477_759ADBCFF6D5_.wvu.PrintArea" localSheetId="7" hidden="1">'Schedule 1'!$A$1:$G$62</definedName>
    <definedName name="Z_C0F5889E_F852_4CB9_B477_759ADBCFF6D5_.wvu.PrintArea" localSheetId="26" hidden="1">'Schedule 1 True Up'!$A$1:$G$55</definedName>
    <definedName name="Z_C0F5889E_F852_4CB9_B477_759ADBCFF6D5_.wvu.PrintArea" localSheetId="2" hidden="1">Summary!$A$1:$J$42</definedName>
    <definedName name="Z_CF789E18_1214_4B61_BF85_CE10BE9B7BF7_.wvu.FilterData" localSheetId="19" hidden="1">'Attach L - Intangibles Gross'!$G$7:$H$108</definedName>
  </definedNames>
  <calcPr calcId="145621"/>
  <customWorkbookViews>
    <customWorkbookView name="Blevins, Drew - Personal View" guid="{589A2A1C-99B3-4A22-A52E-EECEEAD60ADB}" mergeInterval="0" personalView="1" maximized="1" windowWidth="1920" windowHeight="855" tabRatio="879" activeSheetId="1"/>
    <customWorkbookView name="Peeples, Adam - Personal View" guid="{C0F5889E-F852-4CB9-B477-759ADBCFF6D5}" mergeInterval="0" personalView="1" maximized="1" windowWidth="1920" windowHeight="894" tabRatio="879" activeSheetId="25"/>
  </customWorkbookViews>
</workbook>
</file>

<file path=xl/calcChain.xml><?xml version="1.0" encoding="utf-8"?>
<calcChain xmlns="http://schemas.openxmlformats.org/spreadsheetml/2006/main">
  <c r="G9" i="7" l="1"/>
  <c r="B19" i="11" l="1"/>
  <c r="C19" i="11"/>
  <c r="G59" i="5" l="1"/>
  <c r="F71" i="5" l="1"/>
  <c r="K24" i="4" l="1"/>
  <c r="I24" i="4"/>
  <c r="H32" i="9"/>
  <c r="G32" i="9"/>
  <c r="G28" i="5" l="1"/>
  <c r="F28" i="5"/>
  <c r="G25" i="5"/>
  <c r="F25" i="5"/>
  <c r="C34" i="25" l="1"/>
  <c r="C23" i="25"/>
  <c r="M33" i="2" l="1"/>
  <c r="M42" i="2" l="1"/>
  <c r="M39" i="2" l="1"/>
  <c r="C10" i="23" l="1"/>
  <c r="C18" i="23" l="1"/>
  <c r="C10" i="22" l="1"/>
  <c r="D62" i="22"/>
  <c r="C26" i="22"/>
  <c r="C84" i="22"/>
  <c r="D52" i="22"/>
  <c r="C28" i="22"/>
  <c r="D28" i="22" s="1"/>
  <c r="D10" i="21" l="1"/>
  <c r="D38" i="21" l="1"/>
  <c r="E38" i="21" s="1"/>
  <c r="D37" i="21"/>
  <c r="E37" i="21" s="1"/>
  <c r="D36" i="21"/>
  <c r="E36" i="21" s="1"/>
  <c r="D35" i="21"/>
  <c r="E35" i="21" s="1"/>
  <c r="D34" i="21"/>
  <c r="E34" i="21" s="1"/>
  <c r="E33" i="21"/>
  <c r="D33" i="21"/>
  <c r="D32" i="21"/>
  <c r="E32" i="21" s="1"/>
  <c r="D31" i="21"/>
  <c r="E31" i="21" s="1"/>
  <c r="D30" i="21"/>
  <c r="E30" i="21" s="1"/>
  <c r="D29" i="21"/>
  <c r="E29" i="21" s="1"/>
  <c r="D28" i="21"/>
  <c r="E28" i="21" s="1"/>
  <c r="E66" i="21"/>
  <c r="E55" i="21"/>
  <c r="D88" i="21"/>
  <c r="D84" i="21" l="1"/>
  <c r="C10" i="12" l="1"/>
  <c r="C21" i="12"/>
  <c r="C20" i="12"/>
  <c r="C19" i="12"/>
  <c r="C18" i="12"/>
  <c r="C17" i="12"/>
  <c r="C16" i="12"/>
  <c r="C13" i="12"/>
  <c r="C11" i="12"/>
  <c r="C10" i="10"/>
  <c r="C13" i="10"/>
  <c r="C14" i="10"/>
  <c r="C15" i="10"/>
  <c r="C16" i="10"/>
  <c r="C17" i="10"/>
  <c r="C18" i="10"/>
  <c r="C19" i="10"/>
  <c r="C20" i="10"/>
  <c r="C21" i="10"/>
  <c r="C25" i="10"/>
  <c r="C28" i="10"/>
  <c r="C29" i="10"/>
  <c r="AR34" i="25" l="1"/>
  <c r="AQ34" i="25"/>
  <c r="AP34" i="25"/>
  <c r="AR23" i="25"/>
  <c r="AQ23" i="25"/>
  <c r="AP23" i="25"/>
  <c r="AR33" i="25"/>
  <c r="AQ33" i="25" s="1"/>
  <c r="AR22" i="25"/>
  <c r="AQ22" i="25" s="1"/>
  <c r="C22" i="25" l="1"/>
  <c r="F59" i="5" l="1"/>
  <c r="G17" i="7" l="1"/>
  <c r="F10" i="29" l="1"/>
  <c r="I65" i="13" l="1"/>
  <c r="D65" i="13"/>
  <c r="C65" i="13"/>
  <c r="C89" i="22" l="1"/>
  <c r="C83" i="22"/>
  <c r="C82" i="22"/>
  <c r="C71" i="22"/>
  <c r="C65" i="22"/>
  <c r="C22" i="22"/>
  <c r="C17" i="22"/>
  <c r="C15" i="22"/>
  <c r="C87" i="23"/>
  <c r="H19" i="23"/>
  <c r="C80" i="22"/>
  <c r="B89" i="22" l="1"/>
  <c r="B84" i="22"/>
  <c r="B83" i="22"/>
  <c r="B82" i="22"/>
  <c r="B71" i="22"/>
  <c r="B65" i="22"/>
  <c r="B60" i="22"/>
  <c r="B30" i="22"/>
  <c r="B29" i="22"/>
  <c r="B26" i="22"/>
  <c r="B25" i="22"/>
  <c r="B22" i="22"/>
  <c r="B18" i="22"/>
  <c r="B17" i="22"/>
  <c r="B15" i="22"/>
  <c r="B10" i="22" l="1"/>
  <c r="AM26" i="25"/>
  <c r="AO26" i="25"/>
  <c r="AN26" i="25"/>
  <c r="AQ26" i="25"/>
  <c r="F33" i="6"/>
  <c r="AR32" i="25"/>
  <c r="AR31" i="25"/>
  <c r="AR30" i="25"/>
  <c r="AR29" i="25"/>
  <c r="AR28" i="25"/>
  <c r="AR27" i="25"/>
  <c r="AR26" i="25"/>
  <c r="AR21" i="25"/>
  <c r="AR20" i="25"/>
  <c r="AR19" i="25"/>
  <c r="AR18" i="25"/>
  <c r="AR17" i="25"/>
  <c r="AR16" i="25"/>
  <c r="AR15" i="25"/>
  <c r="AP27" i="25"/>
  <c r="AP26" i="25"/>
  <c r="AL15" i="25"/>
  <c r="AQ32" i="25"/>
  <c r="AQ31" i="25"/>
  <c r="AQ30" i="25"/>
  <c r="AQ28" i="25"/>
  <c r="AQ27" i="25"/>
  <c r="AQ29" i="25"/>
  <c r="AO21" i="25"/>
  <c r="AQ21" i="25"/>
  <c r="AQ20" i="25"/>
  <c r="AQ19" i="25"/>
  <c r="AQ18" i="25"/>
  <c r="AQ17" i="25"/>
  <c r="AQ16" i="25"/>
  <c r="AQ15" i="25"/>
  <c r="AP15" i="25"/>
  <c r="C33" i="25"/>
  <c r="C21" i="25"/>
  <c r="D33" i="25"/>
  <c r="D22" i="25"/>
  <c r="D21" i="25"/>
  <c r="B93" i="21" l="1"/>
  <c r="B88" i="21"/>
  <c r="B87" i="21"/>
  <c r="B86" i="21"/>
  <c r="B75" i="21"/>
  <c r="B69" i="21"/>
  <c r="B64" i="21"/>
  <c r="B40" i="21"/>
  <c r="B39" i="21"/>
  <c r="B26" i="21"/>
  <c r="B22" i="21"/>
  <c r="B18" i="21"/>
  <c r="B17" i="21"/>
  <c r="B15" i="21"/>
  <c r="K94" i="18"/>
  <c r="I92" i="18"/>
  <c r="G92" i="18"/>
  <c r="E92" i="18"/>
  <c r="B10" i="21" l="1"/>
  <c r="K88" i="18"/>
  <c r="K87" i="18"/>
  <c r="K86" i="18"/>
  <c r="K85" i="18"/>
  <c r="K84" i="18"/>
  <c r="K83" i="18"/>
  <c r="K82" i="18"/>
  <c r="K81" i="18"/>
  <c r="K80" i="18"/>
  <c r="K79" i="18"/>
  <c r="K78" i="18"/>
  <c r="K77" i="18"/>
  <c r="K76" i="18"/>
  <c r="K75" i="18"/>
  <c r="K74" i="18"/>
  <c r="K73" i="18"/>
  <c r="K72" i="18"/>
  <c r="K71" i="18"/>
  <c r="K70" i="18"/>
  <c r="K69" i="18"/>
  <c r="K68" i="18"/>
  <c r="K67" i="18"/>
  <c r="K66" i="18"/>
  <c r="K65" i="18"/>
  <c r="K64" i="18"/>
  <c r="K63" i="18"/>
  <c r="K62" i="18"/>
  <c r="K61" i="18"/>
  <c r="K60" i="18"/>
  <c r="K59" i="18"/>
  <c r="K58" i="18"/>
  <c r="K57" i="18"/>
  <c r="K56" i="18"/>
  <c r="K55" i="18"/>
  <c r="K54" i="18"/>
  <c r="K53" i="18"/>
  <c r="K52" i="18"/>
  <c r="K51" i="18"/>
  <c r="K50" i="18"/>
  <c r="K49" i="18"/>
  <c r="K48" i="18"/>
  <c r="K47" i="18"/>
  <c r="K46" i="18"/>
  <c r="K45" i="18"/>
  <c r="K44" i="18"/>
  <c r="K43" i="18"/>
  <c r="K42" i="18"/>
  <c r="K41" i="18"/>
  <c r="K40" i="18"/>
  <c r="K39" i="18"/>
  <c r="K38" i="18"/>
  <c r="K37" i="18"/>
  <c r="K36" i="18"/>
  <c r="K35" i="18"/>
  <c r="K34" i="18"/>
  <c r="K33" i="18"/>
  <c r="K32" i="18"/>
  <c r="K31" i="18"/>
  <c r="K30" i="18"/>
  <c r="K29" i="18"/>
  <c r="K28" i="18"/>
  <c r="K27" i="18"/>
  <c r="K26" i="18"/>
  <c r="K25" i="18"/>
  <c r="K24" i="18"/>
  <c r="K23" i="18"/>
  <c r="K22" i="18"/>
  <c r="K21" i="18"/>
  <c r="K20" i="18"/>
  <c r="K19" i="18"/>
  <c r="K18" i="18"/>
  <c r="K17" i="18"/>
  <c r="K16" i="18"/>
  <c r="K15" i="18"/>
  <c r="K14" i="18"/>
  <c r="K13" i="18"/>
  <c r="K12" i="18"/>
  <c r="K11" i="18"/>
  <c r="K10" i="18"/>
  <c r="F11" i="29" l="1"/>
  <c r="M15" i="32" l="1"/>
  <c r="M14" i="32"/>
  <c r="M13" i="32"/>
  <c r="M12" i="32"/>
  <c r="N12" i="32" s="1"/>
  <c r="M11" i="32"/>
  <c r="M10" i="32"/>
  <c r="M9" i="32"/>
  <c r="N9" i="32" s="1"/>
  <c r="M8" i="32"/>
  <c r="N8" i="32" s="1"/>
  <c r="M7" i="32"/>
  <c r="M6" i="32"/>
  <c r="M5" i="32"/>
  <c r="M4" i="32"/>
  <c r="N4" i="32" s="1"/>
  <c r="R4" i="32"/>
  <c r="R15" i="32"/>
  <c r="R14" i="32"/>
  <c r="R13" i="32"/>
  <c r="R12" i="32"/>
  <c r="R11" i="32"/>
  <c r="R10" i="32"/>
  <c r="R9" i="32"/>
  <c r="R8" i="32"/>
  <c r="R7" i="32"/>
  <c r="R6" i="32"/>
  <c r="R5" i="32"/>
  <c r="Q15" i="32"/>
  <c r="Q14" i="32"/>
  <c r="Q13" i="32"/>
  <c r="Q12" i="32"/>
  <c r="Q11" i="32"/>
  <c r="Q10" i="32"/>
  <c r="Q9" i="32"/>
  <c r="Q8" i="32"/>
  <c r="Q7" i="32"/>
  <c r="Q6" i="32"/>
  <c r="Q5" i="32"/>
  <c r="Q4" i="32"/>
  <c r="N15" i="32"/>
  <c r="N14" i="32"/>
  <c r="N13" i="32"/>
  <c r="N11" i="32"/>
  <c r="N10" i="32"/>
  <c r="N7" i="32"/>
  <c r="N6" i="32"/>
  <c r="N5" i="32"/>
  <c r="J15" i="32"/>
  <c r="J14" i="32"/>
  <c r="J13" i="32"/>
  <c r="J12" i="32"/>
  <c r="J11" i="32"/>
  <c r="J10" i="32"/>
  <c r="J9" i="32"/>
  <c r="J8" i="32"/>
  <c r="J7" i="32"/>
  <c r="J6" i="32"/>
  <c r="J5" i="32"/>
  <c r="J4" i="32"/>
  <c r="E15" i="32"/>
  <c r="E14" i="32"/>
  <c r="E13" i="32"/>
  <c r="E12" i="32"/>
  <c r="E11" i="32"/>
  <c r="E10" i="32"/>
  <c r="E9" i="32"/>
  <c r="E8" i="32"/>
  <c r="E7" i="32"/>
  <c r="E6" i="32"/>
  <c r="E5" i="32"/>
  <c r="E4" i="32"/>
  <c r="B16" i="31"/>
  <c r="R15" i="31"/>
  <c r="R14" i="31"/>
  <c r="R13" i="31"/>
  <c r="R12" i="31"/>
  <c r="R11" i="31"/>
  <c r="R10" i="31"/>
  <c r="R8" i="31"/>
  <c r="R7" i="31"/>
  <c r="R6" i="31"/>
  <c r="R5" i="31"/>
  <c r="R4" i="31"/>
  <c r="Q15" i="31"/>
  <c r="Q14" i="31"/>
  <c r="Q13" i="31"/>
  <c r="Q12" i="31"/>
  <c r="Q11" i="31"/>
  <c r="Q10" i="31"/>
  <c r="Q9" i="31"/>
  <c r="R9" i="31" s="1"/>
  <c r="Q8" i="31"/>
  <c r="Q7" i="31"/>
  <c r="Q6" i="31"/>
  <c r="Q5" i="31"/>
  <c r="Q4" i="31"/>
  <c r="N15" i="31"/>
  <c r="N14" i="31"/>
  <c r="N13" i="31"/>
  <c r="N12" i="31"/>
  <c r="N11" i="31"/>
  <c r="N10" i="31"/>
  <c r="N9" i="31"/>
  <c r="N8" i="31"/>
  <c r="N7" i="31"/>
  <c r="N6" i="31"/>
  <c r="N5" i="31"/>
  <c r="N4" i="31" l="1"/>
  <c r="M15" i="31"/>
  <c r="M14" i="31"/>
  <c r="M13" i="31"/>
  <c r="M12" i="31"/>
  <c r="M11" i="31"/>
  <c r="M10" i="31"/>
  <c r="M9" i="31"/>
  <c r="M8" i="31"/>
  <c r="M7" i="31"/>
  <c r="M6" i="31"/>
  <c r="M5" i="31"/>
  <c r="M4" i="31"/>
  <c r="J15" i="31"/>
  <c r="J14" i="31"/>
  <c r="J13" i="31"/>
  <c r="J12" i="31"/>
  <c r="J11" i="31"/>
  <c r="J10" i="31"/>
  <c r="J9" i="31"/>
  <c r="J8" i="31"/>
  <c r="J7" i="31"/>
  <c r="J6" i="31"/>
  <c r="J5" i="31"/>
  <c r="J4" i="31"/>
  <c r="E15" i="31"/>
  <c r="E14" i="31"/>
  <c r="E13" i="31"/>
  <c r="E12" i="31"/>
  <c r="E11" i="31"/>
  <c r="E10" i="31"/>
  <c r="E9" i="31"/>
  <c r="E8" i="31"/>
  <c r="E7" i="31"/>
  <c r="E6" i="31"/>
  <c r="E5" i="31"/>
  <c r="E4" i="31"/>
  <c r="H16" i="31"/>
  <c r="D11" i="29"/>
  <c r="D8" i="20"/>
  <c r="B27" i="15"/>
  <c r="C24" i="15"/>
  <c r="B10" i="10" l="1"/>
  <c r="B31" i="10" s="1"/>
  <c r="C31" i="10"/>
  <c r="C24" i="10"/>
  <c r="B24" i="15"/>
  <c r="B10" i="12"/>
  <c r="B24" i="10"/>
  <c r="K48" i="2" l="1"/>
  <c r="K37" i="2"/>
  <c r="K11" i="2"/>
  <c r="K10" i="2"/>
  <c r="K3" i="2"/>
  <c r="J3" i="2"/>
  <c r="H19" i="9" l="1"/>
  <c r="K19" i="4" l="1"/>
  <c r="K15" i="4"/>
  <c r="AP32" i="25" l="1"/>
  <c r="AP21" i="25"/>
  <c r="C32" i="25"/>
  <c r="AO32" i="25" l="1"/>
  <c r="D94" i="22" l="1"/>
  <c r="E97" i="21"/>
  <c r="D64" i="22" l="1"/>
  <c r="E68" i="21"/>
  <c r="D80" i="22" l="1"/>
  <c r="E84" i="21"/>
  <c r="AM15" i="25" l="1"/>
  <c r="AO15" i="25"/>
  <c r="C31" i="25"/>
  <c r="C30" i="25"/>
  <c r="C20" i="25"/>
  <c r="C19" i="25"/>
  <c r="D32" i="25"/>
  <c r="AO11" i="25"/>
  <c r="C97" i="23" l="1"/>
  <c r="D93" i="21" l="1"/>
  <c r="D87" i="21"/>
  <c r="D86" i="21"/>
  <c r="D75" i="21"/>
  <c r="D69" i="21"/>
  <c r="D64" i="21"/>
  <c r="D22" i="21"/>
  <c r="D17" i="21"/>
  <c r="D15" i="21"/>
  <c r="G10" i="29"/>
  <c r="E21" i="29"/>
  <c r="D64" i="13" l="1"/>
  <c r="I64" i="13" s="1"/>
  <c r="D63" i="13"/>
  <c r="I63" i="13" s="1"/>
  <c r="E23" i="20" l="1"/>
  <c r="G90" i="18" l="1"/>
  <c r="E90" i="18"/>
  <c r="AN31" i="25" l="1"/>
  <c r="AP31" i="25" s="1"/>
  <c r="AN20" i="25"/>
  <c r="D31" i="25"/>
  <c r="D20" i="25"/>
  <c r="AO31" i="25" l="1"/>
  <c r="AM31" i="25"/>
  <c r="AM20" i="25"/>
  <c r="AP20" i="25"/>
  <c r="J11" i="30"/>
  <c r="J12" i="30" s="1"/>
  <c r="J13" i="30" s="1"/>
  <c r="AO20" i="25" l="1"/>
  <c r="AM11" i="25"/>
  <c r="D76" i="22" l="1"/>
  <c r="E80" i="21"/>
  <c r="I90" i="18" l="1"/>
  <c r="G53" i="5" l="1"/>
  <c r="F53" i="5"/>
  <c r="D61" i="13"/>
  <c r="I61" i="13" s="1"/>
  <c r="D60" i="13"/>
  <c r="I60" i="13" s="1"/>
  <c r="D59" i="13"/>
  <c r="I59" i="13" s="1"/>
  <c r="A70" i="30" l="1"/>
  <c r="L63" i="30"/>
  <c r="L56" i="30"/>
  <c r="A52" i="30"/>
  <c r="L45" i="30"/>
  <c r="L38" i="30"/>
  <c r="L27" i="30"/>
  <c r="L20" i="30"/>
  <c r="A34" i="30"/>
  <c r="C38" i="14" l="1"/>
  <c r="B38" i="14"/>
  <c r="C24" i="14"/>
  <c r="B24" i="14"/>
  <c r="A56" i="30"/>
  <c r="A38" i="30"/>
  <c r="A20" i="30"/>
  <c r="D12" i="13" l="1"/>
  <c r="I12" i="13" l="1"/>
  <c r="B25" i="32" l="1"/>
  <c r="C20" i="15" l="1"/>
  <c r="B20" i="15"/>
  <c r="C24" i="13"/>
  <c r="B24" i="13"/>
  <c r="D11" i="15" l="1"/>
  <c r="D12" i="15"/>
  <c r="I12" i="15" s="1"/>
  <c r="D19" i="25" l="1"/>
  <c r="AL19" i="25"/>
  <c r="AK19" i="25" l="1"/>
  <c r="AN19" i="25"/>
  <c r="AP19" i="25" s="1"/>
  <c r="D30" i="25"/>
  <c r="AL30" i="25"/>
  <c r="AO19" i="25" l="1"/>
  <c r="AK30" i="25"/>
  <c r="AN30" i="25"/>
  <c r="AP30" i="25" s="1"/>
  <c r="AM19" i="25"/>
  <c r="AK11" i="25"/>
  <c r="AO30" i="25" l="1"/>
  <c r="AM30" i="25"/>
  <c r="D98" i="22" l="1"/>
  <c r="D26" i="22"/>
  <c r="E101" i="21" l="1"/>
  <c r="E26" i="21" l="1"/>
  <c r="D24" i="15" l="1"/>
  <c r="D25" i="15"/>
  <c r="I25" i="15" s="1"/>
  <c r="X16" i="25" l="1"/>
  <c r="X17" i="25" s="1"/>
  <c r="X27" i="25"/>
  <c r="X28" i="25" s="1"/>
  <c r="A3" i="23"/>
  <c r="A3" i="22"/>
  <c r="A3" i="21"/>
  <c r="A3" i="20"/>
  <c r="A3" i="19"/>
  <c r="A3" i="18"/>
  <c r="A3" i="17"/>
  <c r="A3" i="16"/>
  <c r="A3" i="15"/>
  <c r="A3" i="14"/>
  <c r="A3" i="13"/>
  <c r="A3" i="12"/>
  <c r="A3" i="11"/>
  <c r="A3" i="10"/>
  <c r="A3" i="9"/>
  <c r="A3" i="8"/>
  <c r="A3" i="7"/>
  <c r="A3" i="6"/>
  <c r="A3" i="5"/>
  <c r="C34" i="12"/>
  <c r="B34" i="12"/>
  <c r="C41" i="10" l="1"/>
  <c r="B41" i="10"/>
  <c r="D55" i="13" l="1"/>
  <c r="I55" i="13" s="1"/>
  <c r="D56" i="13"/>
  <c r="I56" i="13" s="1"/>
  <c r="D57" i="13"/>
  <c r="I57" i="13" s="1"/>
  <c r="D58" i="13"/>
  <c r="I58" i="13" s="1"/>
  <c r="F10" i="9" l="1"/>
  <c r="E10" i="9"/>
  <c r="G21" i="9" l="1"/>
  <c r="H21" i="9" s="1"/>
  <c r="F8" i="9"/>
  <c r="E8" i="9"/>
  <c r="C107" i="22" l="1"/>
  <c r="AJ29" i="25" l="1"/>
  <c r="AJ18" i="25"/>
  <c r="D29" i="25"/>
  <c r="D18" i="25"/>
  <c r="AI29" i="25" l="1"/>
  <c r="AL29" i="25"/>
  <c r="AN29" i="25" s="1"/>
  <c r="AI18" i="25"/>
  <c r="AL18" i="25"/>
  <c r="AN18" i="25" s="1"/>
  <c r="AP18" i="25" s="1"/>
  <c r="B107" i="22"/>
  <c r="D105" i="22"/>
  <c r="D104" i="22"/>
  <c r="D103" i="22"/>
  <c r="I103" i="22" s="1"/>
  <c r="D102" i="22"/>
  <c r="D101" i="22"/>
  <c r="D100" i="22"/>
  <c r="D99" i="22"/>
  <c r="D97" i="22"/>
  <c r="D96" i="22"/>
  <c r="D95" i="22"/>
  <c r="D93" i="22"/>
  <c r="D92" i="22"/>
  <c r="D91" i="22"/>
  <c r="I91" i="22" s="1"/>
  <c r="D90" i="22"/>
  <c r="D89" i="22"/>
  <c r="I89" i="22" s="1"/>
  <c r="D88" i="22"/>
  <c r="D87" i="22"/>
  <c r="I87" i="22" s="1"/>
  <c r="D86" i="22"/>
  <c r="I86" i="22" s="1"/>
  <c r="D85" i="22"/>
  <c r="D84" i="22"/>
  <c r="D83" i="22"/>
  <c r="D82" i="22"/>
  <c r="D81" i="22"/>
  <c r="D79" i="22"/>
  <c r="I79" i="22" s="1"/>
  <c r="D78" i="22"/>
  <c r="D77" i="22"/>
  <c r="I77" i="22" s="1"/>
  <c r="D75" i="22"/>
  <c r="D74" i="22"/>
  <c r="D73" i="22"/>
  <c r="D72" i="22"/>
  <c r="D71" i="22"/>
  <c r="D70" i="22"/>
  <c r="D69" i="22"/>
  <c r="D68" i="22"/>
  <c r="D67" i="22"/>
  <c r="D66" i="22"/>
  <c r="D65" i="22"/>
  <c r="D63" i="22"/>
  <c r="D61" i="22"/>
  <c r="D60" i="22"/>
  <c r="D59" i="22"/>
  <c r="D58" i="22"/>
  <c r="D57" i="22"/>
  <c r="D56" i="22"/>
  <c r="I56" i="22" s="1"/>
  <c r="D55" i="22"/>
  <c r="I55" i="22" s="1"/>
  <c r="D54" i="22"/>
  <c r="I54" i="22" s="1"/>
  <c r="D53" i="22"/>
  <c r="D51" i="22"/>
  <c r="D50" i="22"/>
  <c r="D49" i="22"/>
  <c r="D48" i="22"/>
  <c r="D47" i="22"/>
  <c r="D46" i="22"/>
  <c r="D45" i="22"/>
  <c r="D44" i="22"/>
  <c r="I44" i="22" s="1"/>
  <c r="D43" i="22"/>
  <c r="I43" i="22" s="1"/>
  <c r="D42" i="22"/>
  <c r="I42" i="22" s="1"/>
  <c r="D41" i="22"/>
  <c r="I41" i="22" s="1"/>
  <c r="D40" i="22"/>
  <c r="I40" i="22" s="1"/>
  <c r="D39" i="22"/>
  <c r="I39" i="22" s="1"/>
  <c r="D38" i="22"/>
  <c r="I38" i="22" s="1"/>
  <c r="D37" i="22"/>
  <c r="I37" i="22" s="1"/>
  <c r="D36" i="22"/>
  <c r="I36" i="22" s="1"/>
  <c r="D35" i="22"/>
  <c r="I35" i="22" s="1"/>
  <c r="D34" i="22"/>
  <c r="I34" i="22" s="1"/>
  <c r="D33" i="22"/>
  <c r="I33" i="22" s="1"/>
  <c r="D32" i="22"/>
  <c r="I32" i="22" s="1"/>
  <c r="D31" i="22"/>
  <c r="D30" i="22"/>
  <c r="D29" i="22"/>
  <c r="D27" i="22"/>
  <c r="D25" i="22"/>
  <c r="I25" i="22" s="1"/>
  <c r="D24" i="22"/>
  <c r="D23" i="22"/>
  <c r="D22" i="22"/>
  <c r="D21" i="22"/>
  <c r="D20" i="22"/>
  <c r="D19" i="22"/>
  <c r="D18" i="22"/>
  <c r="I18" i="22" s="1"/>
  <c r="D17" i="22"/>
  <c r="I17" i="22" s="1"/>
  <c r="D16" i="22"/>
  <c r="D15" i="22"/>
  <c r="I15" i="22" s="1"/>
  <c r="D14" i="22"/>
  <c r="D13" i="22"/>
  <c r="D12" i="22"/>
  <c r="AO18" i="25" l="1"/>
  <c r="AM29" i="25"/>
  <c r="AP29" i="25"/>
  <c r="AK18" i="25"/>
  <c r="AM18" i="25"/>
  <c r="AK29" i="25"/>
  <c r="I71" i="22"/>
  <c r="AO29" i="25" l="1"/>
  <c r="G10" i="9"/>
  <c r="H10" i="9" s="1"/>
  <c r="H97" i="23" l="1"/>
  <c r="H78" i="23"/>
  <c r="E93" i="21"/>
  <c r="J93" i="21" s="1"/>
  <c r="E75" i="21"/>
  <c r="J75" i="21" s="1"/>
  <c r="H113" i="23" l="1"/>
  <c r="H99" i="23"/>
  <c r="H94" i="23"/>
  <c r="H93" i="23"/>
  <c r="B109" i="21"/>
  <c r="D109" i="21"/>
  <c r="E107" i="21"/>
  <c r="E106" i="21"/>
  <c r="J106" i="21" s="1"/>
  <c r="E105" i="21"/>
  <c r="E104" i="21"/>
  <c r="E103" i="21"/>
  <c r="E102" i="21"/>
  <c r="E100" i="21"/>
  <c r="E99" i="21"/>
  <c r="E98" i="21"/>
  <c r="E96" i="21"/>
  <c r="E95" i="21"/>
  <c r="J95" i="21" s="1"/>
  <c r="H18" i="23" l="1"/>
  <c r="K92" i="18"/>
  <c r="K97" i="18" s="1"/>
  <c r="B46" i="14" l="1"/>
  <c r="C46" i="14"/>
  <c r="D45" i="14"/>
  <c r="D62" i="13" l="1"/>
  <c r="I62" i="13" s="1"/>
  <c r="D54" i="13"/>
  <c r="I54" i="13" s="1"/>
  <c r="D53" i="13"/>
  <c r="I53" i="13" s="1"/>
  <c r="D52" i="13"/>
  <c r="I52" i="13" s="1"/>
  <c r="D51" i="13"/>
  <c r="I51" i="13" s="1"/>
  <c r="I57" i="19"/>
  <c r="E39" i="21" l="1"/>
  <c r="F31" i="5" l="1"/>
  <c r="G26" i="5"/>
  <c r="F26" i="5"/>
  <c r="AJ11" i="25" l="1"/>
  <c r="AI11" i="25"/>
  <c r="J58" i="2" l="1"/>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B10" i="14" s="1"/>
  <c r="J20" i="2"/>
  <c r="J19" i="2"/>
  <c r="J18" i="2"/>
  <c r="J17" i="2"/>
  <c r="J16" i="2"/>
  <c r="J15" i="2"/>
  <c r="J14" i="2"/>
  <c r="J13" i="2"/>
  <c r="J12" i="2"/>
  <c r="J11" i="2"/>
  <c r="J10" i="2"/>
  <c r="J9" i="2"/>
  <c r="J8" i="2"/>
  <c r="J7" i="2"/>
  <c r="J6" i="2"/>
  <c r="J5" i="2"/>
  <c r="J4" i="2"/>
  <c r="J2" i="2"/>
  <c r="D22" i="11" l="1"/>
  <c r="I22" i="11" s="1"/>
  <c r="N58" i="2" l="1"/>
  <c r="N57" i="2"/>
  <c r="N56" i="2"/>
  <c r="N55" i="2"/>
  <c r="N54" i="2"/>
  <c r="N53" i="2"/>
  <c r="N52" i="2"/>
  <c r="N51" i="2"/>
  <c r="N50" i="2"/>
  <c r="N49" i="2"/>
  <c r="N48" i="2"/>
  <c r="N47" i="2"/>
  <c r="N46" i="2"/>
  <c r="N45" i="2"/>
  <c r="G16" i="7" s="1"/>
  <c r="N44" i="2"/>
  <c r="N43" i="2"/>
  <c r="F44" i="6" s="1"/>
  <c r="N41" i="2"/>
  <c r="N39" i="2"/>
  <c r="N38" i="2"/>
  <c r="N37" i="2"/>
  <c r="N36" i="2"/>
  <c r="N35" i="2"/>
  <c r="N34" i="2"/>
  <c r="N32" i="2"/>
  <c r="N31" i="2"/>
  <c r="N30" i="2"/>
  <c r="N29" i="2"/>
  <c r="N28" i="2"/>
  <c r="N27" i="2"/>
  <c r="N26" i="2"/>
  <c r="N25" i="2"/>
  <c r="N23" i="2"/>
  <c r="N22" i="2"/>
  <c r="N21" i="2"/>
  <c r="C10" i="14" s="1"/>
  <c r="N20" i="2"/>
  <c r="N19" i="2"/>
  <c r="N18" i="2"/>
  <c r="N17" i="2"/>
  <c r="N16" i="2"/>
  <c r="N15" i="2"/>
  <c r="N14" i="2"/>
  <c r="N13" i="2"/>
  <c r="N12" i="2"/>
  <c r="N11" i="2"/>
  <c r="N10" i="2"/>
  <c r="N9" i="2"/>
  <c r="N8" i="2"/>
  <c r="N7" i="2"/>
  <c r="N6" i="2"/>
  <c r="N5" i="2"/>
  <c r="N4" i="2"/>
  <c r="N3" i="2"/>
  <c r="N2" i="2"/>
  <c r="N24" i="2" l="1"/>
  <c r="B27" i="32" l="1"/>
  <c r="B26" i="32"/>
  <c r="B24" i="32"/>
  <c r="B23" i="32"/>
  <c r="B22" i="32"/>
  <c r="B21" i="32"/>
  <c r="B20" i="32"/>
  <c r="B19" i="32"/>
  <c r="B18" i="32"/>
  <c r="B17" i="32"/>
  <c r="B16" i="32"/>
  <c r="Q20" i="32"/>
  <c r="J20" i="32"/>
  <c r="I20" i="32"/>
  <c r="H20" i="32"/>
  <c r="Q19" i="32"/>
  <c r="J19" i="32"/>
  <c r="I19" i="32"/>
  <c r="H19" i="32"/>
  <c r="Q18" i="32"/>
  <c r="J18" i="32"/>
  <c r="I18" i="32"/>
  <c r="H18" i="32"/>
  <c r="Q17" i="32"/>
  <c r="J17" i="32"/>
  <c r="I17" i="32"/>
  <c r="H17" i="32"/>
  <c r="Q16" i="32"/>
  <c r="J16" i="32"/>
  <c r="I16" i="32"/>
  <c r="H16" i="32"/>
  <c r="M16" i="32" l="1"/>
  <c r="M17" i="32"/>
  <c r="M18" i="32"/>
  <c r="M19" i="32"/>
  <c r="M20" i="32"/>
  <c r="G17" i="32"/>
  <c r="G18" i="32"/>
  <c r="G19" i="32"/>
  <c r="G20" i="32"/>
  <c r="G16" i="32"/>
  <c r="N33" i="2"/>
  <c r="F15" i="6" s="1"/>
  <c r="N40" i="2"/>
  <c r="N42" i="2" l="1"/>
  <c r="F20" i="5" l="1"/>
  <c r="F18" i="5"/>
  <c r="F17" i="5"/>
  <c r="F16" i="5"/>
  <c r="F14" i="5"/>
  <c r="F13" i="5"/>
  <c r="F12" i="5"/>
  <c r="F10" i="5"/>
  <c r="F24" i="5"/>
  <c r="F27" i="5"/>
  <c r="F29" i="5"/>
  <c r="F30" i="5"/>
  <c r="F33" i="5"/>
  <c r="F45" i="5"/>
  <c r="F46" i="5"/>
  <c r="F47" i="5"/>
  <c r="F48" i="5"/>
  <c r="F54" i="5"/>
  <c r="F55" i="5"/>
  <c r="F56" i="5"/>
  <c r="F65" i="5"/>
  <c r="F66" i="5"/>
  <c r="F72" i="5"/>
  <c r="F73" i="5"/>
  <c r="F41" i="5" l="1"/>
  <c r="F39" i="5"/>
  <c r="F75" i="5"/>
  <c r="F49" i="5"/>
  <c r="Q22" i="31" l="1"/>
  <c r="Q21" i="31"/>
  <c r="Q20" i="31"/>
  <c r="Q19" i="31"/>
  <c r="Q18" i="31"/>
  <c r="Q17" i="31"/>
  <c r="Q16" i="31"/>
  <c r="I20" i="31"/>
  <c r="H20" i="31"/>
  <c r="I19" i="31"/>
  <c r="H19" i="31"/>
  <c r="I18" i="31"/>
  <c r="H18" i="31"/>
  <c r="I17" i="31"/>
  <c r="H17" i="31"/>
  <c r="I16" i="31"/>
  <c r="G31" i="5" l="1"/>
  <c r="D21" i="29" l="1"/>
  <c r="AD27" i="25" l="1"/>
  <c r="AD28" i="25" s="1"/>
  <c r="AF28" i="25" s="1"/>
  <c r="AF26" i="25"/>
  <c r="AG23" i="25"/>
  <c r="AD16" i="25"/>
  <c r="AD17" i="25" s="1"/>
  <c r="AF17" i="25" s="1"/>
  <c r="AF15" i="25"/>
  <c r="AH11" i="25"/>
  <c r="AG11" i="25"/>
  <c r="AD11" i="25"/>
  <c r="D47" i="25"/>
  <c r="AF16" i="25" l="1"/>
  <c r="AF27" i="25"/>
  <c r="E82" i="21"/>
  <c r="E81" i="21"/>
  <c r="J81" i="21" s="1"/>
  <c r="E74" i="21"/>
  <c r="E69" i="21"/>
  <c r="E56" i="21"/>
  <c r="E52" i="21"/>
  <c r="E27" i="21"/>
  <c r="E24" i="21"/>
  <c r="E23" i="21"/>
  <c r="E15" i="21"/>
  <c r="J15" i="21" s="1"/>
  <c r="D50" i="13" l="1"/>
  <c r="I50" i="13" s="1"/>
  <c r="D49" i="13"/>
  <c r="I49" i="13" s="1"/>
  <c r="D48" i="13"/>
  <c r="I48" i="13" s="1"/>
  <c r="D47" i="13"/>
  <c r="I47" i="13" s="1"/>
  <c r="D46" i="13"/>
  <c r="I46" i="13" s="1"/>
  <c r="D45" i="13"/>
  <c r="I45" i="13" s="1"/>
  <c r="D44" i="13"/>
  <c r="K90" i="18" l="1"/>
  <c r="G19" i="7" l="1"/>
  <c r="F10" i="6"/>
  <c r="G56" i="5" l="1"/>
  <c r="C12" i="14"/>
  <c r="D10" i="14" l="1"/>
  <c r="B12" i="14"/>
  <c r="D12" i="14" s="1"/>
  <c r="I56" i="5"/>
  <c r="D44" i="14"/>
  <c r="J27" i="32" l="1"/>
  <c r="I27" i="32"/>
  <c r="H27" i="32"/>
  <c r="J26" i="32"/>
  <c r="I26" i="32"/>
  <c r="H26" i="32"/>
  <c r="J25" i="32"/>
  <c r="I25" i="32"/>
  <c r="H25" i="32"/>
  <c r="J24" i="32"/>
  <c r="I24" i="32"/>
  <c r="H24" i="32"/>
  <c r="J23" i="32"/>
  <c r="I23" i="32"/>
  <c r="H23" i="32"/>
  <c r="J22" i="32"/>
  <c r="I22" i="32"/>
  <c r="H22" i="32"/>
  <c r="J21" i="32"/>
  <c r="I21" i="32"/>
  <c r="H21" i="32"/>
  <c r="I27" i="31"/>
  <c r="H27" i="31"/>
  <c r="I26" i="31"/>
  <c r="H26" i="31"/>
  <c r="I25" i="31"/>
  <c r="H25" i="31"/>
  <c r="I24" i="31"/>
  <c r="H24" i="31"/>
  <c r="I23" i="31"/>
  <c r="H23" i="31"/>
  <c r="I22" i="31"/>
  <c r="H22" i="31"/>
  <c r="I21" i="31"/>
  <c r="H21" i="31"/>
  <c r="G24" i="32" l="1"/>
  <c r="G27" i="32"/>
  <c r="G21" i="32"/>
  <c r="G26" i="32"/>
  <c r="G22" i="32"/>
  <c r="G23" i="32"/>
  <c r="G25" i="32"/>
  <c r="C27" i="15" l="1"/>
  <c r="D23" i="15"/>
  <c r="D27" i="15" s="1"/>
  <c r="C117" i="23" l="1"/>
  <c r="E13" i="21"/>
  <c r="D21" i="12" l="1"/>
  <c r="D17" i="12"/>
  <c r="D16" i="12"/>
  <c r="D21" i="10"/>
  <c r="D20" i="10"/>
  <c r="D19" i="10"/>
  <c r="D18" i="10"/>
  <c r="D17" i="10"/>
  <c r="D16" i="10"/>
  <c r="E87" i="21" l="1"/>
  <c r="E76" i="21"/>
  <c r="E73" i="21"/>
  <c r="E72" i="21"/>
  <c r="E53" i="21"/>
  <c r="E17" i="21"/>
  <c r="J17" i="21" s="1"/>
  <c r="D43" i="13"/>
  <c r="D42" i="13"/>
  <c r="I42" i="13" s="1"/>
  <c r="D41" i="13"/>
  <c r="I41" i="13" s="1"/>
  <c r="D40" i="13"/>
  <c r="D39" i="13"/>
  <c r="I39" i="13" s="1"/>
  <c r="AA27" i="25" l="1"/>
  <c r="AA28" i="25" s="1"/>
  <c r="AA16" i="25"/>
  <c r="AA17" i="25" s="1"/>
  <c r="AC11" i="25"/>
  <c r="AB11" i="25"/>
  <c r="AA11" i="25"/>
  <c r="F11" i="6" l="1"/>
  <c r="E89" i="21" l="1"/>
  <c r="E88" i="21"/>
  <c r="E71" i="21"/>
  <c r="E62" i="21"/>
  <c r="E49" i="21"/>
  <c r="E25" i="21"/>
  <c r="J25" i="21" s="1"/>
  <c r="E14" i="21"/>
  <c r="D43" i="14" l="1"/>
  <c r="D28" i="13"/>
  <c r="I28" i="13" s="1"/>
  <c r="D11" i="12"/>
  <c r="D19" i="12"/>
  <c r="D18" i="12"/>
  <c r="D15" i="12"/>
  <c r="D27" i="10"/>
  <c r="D26" i="10"/>
  <c r="D15" i="10"/>
  <c r="D12" i="10"/>
  <c r="G10" i="7" l="1"/>
  <c r="D21" i="11" l="1"/>
  <c r="D20" i="11"/>
  <c r="C23" i="11"/>
  <c r="G46" i="5"/>
  <c r="G19" i="9"/>
  <c r="G18" i="9"/>
  <c r="H18" i="9" s="1"/>
  <c r="G17" i="9"/>
  <c r="H17" i="9" s="1"/>
  <c r="B23" i="11" l="1"/>
  <c r="D23" i="11" s="1"/>
  <c r="I46" i="5"/>
  <c r="D19" i="11"/>
  <c r="B17" i="26"/>
  <c r="B10" i="26"/>
  <c r="B11" i="26"/>
  <c r="B12" i="26"/>
  <c r="B13" i="26"/>
  <c r="B9" i="26"/>
  <c r="B7" i="26"/>
  <c r="B22" i="26" s="1"/>
  <c r="Z11" i="25"/>
  <c r="Y11" i="25"/>
  <c r="X11" i="25"/>
  <c r="E7" i="9"/>
  <c r="F19" i="5" s="1"/>
  <c r="F40" i="5" s="1"/>
  <c r="G34" i="7"/>
  <c r="G33" i="7"/>
  <c r="G29" i="7"/>
  <c r="G28" i="7"/>
  <c r="G27" i="7"/>
  <c r="F57" i="6"/>
  <c r="F37" i="6"/>
  <c r="F35" i="6"/>
  <c r="F32" i="6"/>
  <c r="F25" i="6"/>
  <c r="F19" i="6"/>
  <c r="F18" i="6"/>
  <c r="F17" i="6"/>
  <c r="F23" i="6" s="1"/>
  <c r="G73" i="5"/>
  <c r="G72" i="5"/>
  <c r="G55" i="5"/>
  <c r="G54" i="5"/>
  <c r="G48" i="5"/>
  <c r="G47" i="5"/>
  <c r="G45" i="5"/>
  <c r="G33" i="5"/>
  <c r="G30" i="5"/>
  <c r="G29" i="5"/>
  <c r="G27" i="5"/>
  <c r="G24" i="5"/>
  <c r="G20" i="5"/>
  <c r="G18" i="5"/>
  <c r="G17" i="5"/>
  <c r="G16" i="5"/>
  <c r="G14" i="5"/>
  <c r="G13" i="5"/>
  <c r="G24" i="7"/>
  <c r="F43" i="6"/>
  <c r="F20" i="6"/>
  <c r="A9" i="2"/>
  <c r="A7" i="2"/>
  <c r="A6" i="2"/>
  <c r="A5" i="2"/>
  <c r="G12" i="5"/>
  <c r="G10" i="5"/>
  <c r="A2" i="2"/>
  <c r="E24" i="20" l="1"/>
  <c r="D18" i="11"/>
  <c r="G24" i="19"/>
  <c r="G57" i="19"/>
  <c r="K57" i="19" s="1"/>
  <c r="G67" i="5" s="1"/>
  <c r="C21" i="29"/>
  <c r="I24" i="19" l="1"/>
  <c r="K24" i="19" s="1"/>
  <c r="F67" i="5" s="1"/>
  <c r="I18" i="11"/>
  <c r="G20" i="29"/>
  <c r="G19" i="29"/>
  <c r="G18" i="29"/>
  <c r="G17" i="29"/>
  <c r="G16" i="29"/>
  <c r="G15" i="29"/>
  <c r="G14" i="29"/>
  <c r="G13" i="29"/>
  <c r="G12" i="29"/>
  <c r="F21" i="29"/>
  <c r="F7" i="9" s="1"/>
  <c r="G9" i="29"/>
  <c r="F12" i="6"/>
  <c r="G16" i="9"/>
  <c r="H16" i="9" s="1"/>
  <c r="G30" i="9"/>
  <c r="H30" i="9" s="1"/>
  <c r="C47" i="25"/>
  <c r="F68" i="5" l="1"/>
  <c r="I67" i="5"/>
  <c r="M67" i="5" s="1"/>
  <c r="G11" i="29"/>
  <c r="G21" i="29" s="1"/>
  <c r="G19" i="5" l="1"/>
  <c r="U27" i="25" l="1"/>
  <c r="U28" i="25" s="1"/>
  <c r="P27" i="25"/>
  <c r="P28" i="25" s="1"/>
  <c r="G27" i="25"/>
  <c r="G28" i="25" s="1"/>
  <c r="M28" i="25" s="1"/>
  <c r="F27" i="25"/>
  <c r="F28" i="25" s="1"/>
  <c r="M26" i="25"/>
  <c r="H26" i="25"/>
  <c r="H27" i="25" s="1"/>
  <c r="E17" i="25"/>
  <c r="E28" i="25" s="1"/>
  <c r="D17" i="25"/>
  <c r="D28" i="25" s="1"/>
  <c r="J28" i="25" s="1"/>
  <c r="U16" i="25"/>
  <c r="U17" i="25" s="1"/>
  <c r="P16" i="25"/>
  <c r="P17" i="25" s="1"/>
  <c r="G16" i="25"/>
  <c r="G17" i="25" s="1"/>
  <c r="M17" i="25" s="1"/>
  <c r="F16" i="25"/>
  <c r="F17" i="25" s="1"/>
  <c r="E16" i="25"/>
  <c r="E27" i="25" s="1"/>
  <c r="D16" i="25"/>
  <c r="D27" i="25" s="1"/>
  <c r="M15" i="25"/>
  <c r="J26" i="25"/>
  <c r="H15" i="25"/>
  <c r="H16" i="25" s="1"/>
  <c r="E15" i="25"/>
  <c r="E26" i="25" s="1"/>
  <c r="D15" i="25"/>
  <c r="D26" i="25" s="1"/>
  <c r="W11" i="25"/>
  <c r="V11" i="25" s="1"/>
  <c r="U11" i="25"/>
  <c r="T11" i="25"/>
  <c r="S11" i="25" s="1"/>
  <c r="P11" i="25"/>
  <c r="O11" i="25"/>
  <c r="Q9" i="25" s="1"/>
  <c r="N11" i="25"/>
  <c r="K11" i="25"/>
  <c r="L11" i="25" s="1"/>
  <c r="I11" i="25"/>
  <c r="J11" i="25" s="1"/>
  <c r="H11" i="25"/>
  <c r="G11" i="25"/>
  <c r="F11" i="25"/>
  <c r="J27" i="25" l="1"/>
  <c r="J34" i="25" s="1"/>
  <c r="F21" i="5"/>
  <c r="G11" i="5"/>
  <c r="C36" i="25"/>
  <c r="G15" i="5"/>
  <c r="Q11" i="25"/>
  <c r="R11" i="25" s="1"/>
  <c r="K15" i="25"/>
  <c r="J16" i="25"/>
  <c r="M11" i="25"/>
  <c r="N9" i="25"/>
  <c r="H28" i="25"/>
  <c r="K28" i="25" s="1"/>
  <c r="L28" i="25" s="1"/>
  <c r="O28" i="25" s="1"/>
  <c r="R28" i="25" s="1"/>
  <c r="T28" i="25" s="1"/>
  <c r="W28" i="25" s="1"/>
  <c r="Z28" i="25" s="1"/>
  <c r="K27" i="25"/>
  <c r="J17" i="25"/>
  <c r="K16" i="25"/>
  <c r="H17" i="25"/>
  <c r="K17" i="25" s="1"/>
  <c r="J15" i="25"/>
  <c r="K26" i="25"/>
  <c r="L26" i="25" s="1"/>
  <c r="M27" i="25"/>
  <c r="M16" i="25"/>
  <c r="L27" i="25" l="1"/>
  <c r="Y28" i="25"/>
  <c r="AC28" i="25"/>
  <c r="O27" i="25"/>
  <c r="R27" i="25" s="1"/>
  <c r="T27" i="25" s="1"/>
  <c r="W27" i="25" s="1"/>
  <c r="Z27" i="25" s="1"/>
  <c r="K23" i="25"/>
  <c r="L17" i="25"/>
  <c r="O17" i="25" s="1"/>
  <c r="R17" i="25" s="1"/>
  <c r="T17" i="25" s="1"/>
  <c r="W17" i="25" s="1"/>
  <c r="Z17" i="25" s="1"/>
  <c r="L16" i="25"/>
  <c r="O16" i="25" s="1"/>
  <c r="R16" i="25" s="1"/>
  <c r="T16" i="25" s="1"/>
  <c r="W16" i="25" s="1"/>
  <c r="Z16" i="25" s="1"/>
  <c r="J23" i="25"/>
  <c r="J36" i="25" s="1"/>
  <c r="L15" i="25"/>
  <c r="L34" i="25"/>
  <c r="O26" i="25"/>
  <c r="R26" i="25" s="1"/>
  <c r="T26" i="25" s="1"/>
  <c r="W26" i="25" s="1"/>
  <c r="Z26" i="25" s="1"/>
  <c r="M34" i="25"/>
  <c r="K34" i="25"/>
  <c r="K36" i="25" s="1"/>
  <c r="M23" i="25"/>
  <c r="Y16" i="25" l="1"/>
  <c r="AC16" i="25"/>
  <c r="Y27" i="25"/>
  <c r="AC27" i="25"/>
  <c r="Y17" i="25"/>
  <c r="AC17" i="25"/>
  <c r="AB28" i="25"/>
  <c r="AH28" i="25"/>
  <c r="Y26" i="25"/>
  <c r="AC26" i="25"/>
  <c r="Z34" i="25"/>
  <c r="M36" i="25"/>
  <c r="S17" i="25"/>
  <c r="V17" i="25" s="1"/>
  <c r="S28" i="25"/>
  <c r="V28" i="25" s="1"/>
  <c r="S27" i="25"/>
  <c r="V27" i="25" s="1"/>
  <c r="S16" i="25"/>
  <c r="V16" i="25" s="1"/>
  <c r="O34" i="25"/>
  <c r="R34" i="25"/>
  <c r="L23" i="25"/>
  <c r="L36" i="25" s="1"/>
  <c r="O15" i="25"/>
  <c r="R15" i="25" s="1"/>
  <c r="T15" i="25" s="1"/>
  <c r="AG28" i="25" l="1"/>
  <c r="AG34" i="25" s="1"/>
  <c r="AG36" i="25" s="1"/>
  <c r="AJ28" i="25"/>
  <c r="AB27" i="25"/>
  <c r="AH27" i="25"/>
  <c r="AJ27" i="25" s="1"/>
  <c r="AB17" i="25"/>
  <c r="AH17" i="25"/>
  <c r="AJ17" i="25" s="1"/>
  <c r="AB16" i="25"/>
  <c r="AH16" i="25"/>
  <c r="AJ16" i="25" s="1"/>
  <c r="AL16" i="25" s="1"/>
  <c r="AB26" i="25"/>
  <c r="AH26" i="25"/>
  <c r="AC34" i="25"/>
  <c r="Y34" i="25"/>
  <c r="S15" i="25"/>
  <c r="W15" i="25"/>
  <c r="Z15" i="25" s="1"/>
  <c r="T34" i="25"/>
  <c r="S26" i="25"/>
  <c r="S34" i="25" s="1"/>
  <c r="O23" i="25"/>
  <c r="O36" i="25" s="1"/>
  <c r="R23" i="25"/>
  <c r="R36" i="25" s="1"/>
  <c r="AN16" i="25" l="1"/>
  <c r="AK16" i="25"/>
  <c r="AI28" i="25"/>
  <c r="AL28" i="25"/>
  <c r="AI27" i="25"/>
  <c r="AL27" i="25"/>
  <c r="AI17" i="25"/>
  <c r="AL17" i="25"/>
  <c r="AJ26" i="25"/>
  <c r="AH34" i="25"/>
  <c r="AB34" i="25"/>
  <c r="AI16" i="25"/>
  <c r="Y15" i="25"/>
  <c r="Y23" i="25" s="1"/>
  <c r="Y36" i="25" s="1"/>
  <c r="AC15" i="25"/>
  <c r="Z23" i="25"/>
  <c r="Z36" i="25" s="1"/>
  <c r="T23" i="25"/>
  <c r="S23" i="25"/>
  <c r="S36" i="25" s="1"/>
  <c r="AM16" i="25" l="1"/>
  <c r="AN23" i="25"/>
  <c r="AP16" i="25"/>
  <c r="AK28" i="25"/>
  <c r="AN28" i="25"/>
  <c r="AK27" i="25"/>
  <c r="AN27" i="25"/>
  <c r="AK17" i="25"/>
  <c r="AN17" i="25"/>
  <c r="AP17" i="25" s="1"/>
  <c r="AJ34" i="25"/>
  <c r="AL26" i="25"/>
  <c r="AL34" i="25" s="1"/>
  <c r="AI26" i="25"/>
  <c r="AI34" i="25" s="1"/>
  <c r="AB15" i="25"/>
  <c r="AB23" i="25" s="1"/>
  <c r="AB36" i="25" s="1"/>
  <c r="AH15" i="25"/>
  <c r="AJ15" i="25" s="1"/>
  <c r="AC23" i="25"/>
  <c r="T36" i="25"/>
  <c r="W34" i="25"/>
  <c r="V26" i="25"/>
  <c r="V34" i="25" s="1"/>
  <c r="AO17" i="25" l="1"/>
  <c r="AM28" i="25"/>
  <c r="AP28" i="25"/>
  <c r="AM27" i="25"/>
  <c r="AO16" i="25"/>
  <c r="F38" i="5"/>
  <c r="AN34" i="25"/>
  <c r="AM17" i="25"/>
  <c r="AK26" i="25"/>
  <c r="AK34" i="25" s="1"/>
  <c r="AH23" i="25"/>
  <c r="AC36" i="25"/>
  <c r="W23" i="25"/>
  <c r="W36" i="25" s="1"/>
  <c r="V15" i="25"/>
  <c r="V23" i="25" s="1"/>
  <c r="V36" i="25" s="1"/>
  <c r="AO28" i="25" l="1"/>
  <c r="AO27" i="25"/>
  <c r="AO23" i="25"/>
  <c r="AK15" i="25"/>
  <c r="AN15" i="25"/>
  <c r="AL23" i="25"/>
  <c r="AH36" i="25"/>
  <c r="AI15" i="25"/>
  <c r="AI23" i="25" s="1"/>
  <c r="AI36" i="25" s="1"/>
  <c r="AJ23" i="25"/>
  <c r="I62" i="5"/>
  <c r="I61" i="5"/>
  <c r="M61" i="5" s="1"/>
  <c r="AM23" i="25" l="1"/>
  <c r="AM34" i="25"/>
  <c r="AM36" i="25" s="1"/>
  <c r="AO34" i="25"/>
  <c r="AN36" i="25"/>
  <c r="AL36" i="25"/>
  <c r="F37" i="5"/>
  <c r="AK23" i="25"/>
  <c r="AK36" i="25" s="1"/>
  <c r="AJ36" i="25"/>
  <c r="F47" i="28"/>
  <c r="F46" i="28"/>
  <c r="F45" i="28"/>
  <c r="F44" i="28"/>
  <c r="F43" i="28"/>
  <c r="F42" i="28"/>
  <c r="F41" i="28"/>
  <c r="F40" i="28"/>
  <c r="F39" i="28"/>
  <c r="F38" i="28"/>
  <c r="F37" i="28"/>
  <c r="F36" i="28"/>
  <c r="F35" i="28"/>
  <c r="F34" i="28"/>
  <c r="F33" i="28"/>
  <c r="Q27" i="32"/>
  <c r="Q26" i="32"/>
  <c r="Q25" i="32"/>
  <c r="Q24" i="32"/>
  <c r="Q23" i="32"/>
  <c r="Q22" i="32"/>
  <c r="Q21" i="32"/>
  <c r="D29" i="32"/>
  <c r="Q27" i="31"/>
  <c r="Q26" i="31"/>
  <c r="Q25" i="31"/>
  <c r="Q24" i="31"/>
  <c r="Q23" i="31"/>
  <c r="G38" i="5" l="1"/>
  <c r="AP36" i="25"/>
  <c r="AR36" i="25"/>
  <c r="AQ36" i="25"/>
  <c r="AO36" i="25"/>
  <c r="Q29" i="31"/>
  <c r="G19" i="27" s="1"/>
  <c r="E29" i="32"/>
  <c r="E31" i="32" s="1"/>
  <c r="G28" i="28" s="1"/>
  <c r="Q29" i="32"/>
  <c r="G19" i="28" s="1"/>
  <c r="D29" i="31"/>
  <c r="M27" i="32" l="1"/>
  <c r="M25" i="32"/>
  <c r="M21" i="32"/>
  <c r="M23" i="32"/>
  <c r="H29" i="32"/>
  <c r="M26" i="32"/>
  <c r="M24" i="32"/>
  <c r="M22" i="32"/>
  <c r="H29" i="31"/>
  <c r="J29" i="32" l="1"/>
  <c r="J31" i="32" s="1"/>
  <c r="G14" i="28" s="1"/>
  <c r="G43" i="27" l="1"/>
  <c r="G47" i="27" l="1"/>
  <c r="G46" i="27"/>
  <c r="G45" i="27"/>
  <c r="G44" i="27"/>
  <c r="G42" i="27"/>
  <c r="G41" i="27"/>
  <c r="G40" i="27"/>
  <c r="G39" i="27"/>
  <c r="G38" i="27"/>
  <c r="G37" i="27"/>
  <c r="G36" i="27"/>
  <c r="G35" i="27"/>
  <c r="G34" i="27"/>
  <c r="G33" i="27"/>
  <c r="G48" i="27" l="1"/>
  <c r="D24" i="30" s="1"/>
  <c r="D10" i="10"/>
  <c r="I10" i="10" s="1"/>
  <c r="H10" i="23"/>
  <c r="D10" i="22"/>
  <c r="I10" i="22" s="1"/>
  <c r="D107" i="22" l="1"/>
  <c r="D4" i="30"/>
  <c r="D6" i="30"/>
  <c r="D8" i="30"/>
  <c r="D10" i="30"/>
  <c r="D12" i="30"/>
  <c r="D14" i="30"/>
  <c r="D5" i="30"/>
  <c r="D7" i="30"/>
  <c r="D9" i="30"/>
  <c r="D11" i="30"/>
  <c r="D13" i="30"/>
  <c r="D3" i="30"/>
  <c r="D30" i="30"/>
  <c r="D28" i="30"/>
  <c r="D26" i="30"/>
  <c r="D22" i="30"/>
  <c r="D20" i="30"/>
  <c r="D31" i="30"/>
  <c r="D29" i="30"/>
  <c r="D27" i="30"/>
  <c r="D25" i="30"/>
  <c r="D23" i="30"/>
  <c r="D21" i="30"/>
  <c r="E79" i="21"/>
  <c r="E78" i="21"/>
  <c r="E10" i="21" l="1"/>
  <c r="J10" i="21" s="1"/>
  <c r="E109" i="21" l="1"/>
  <c r="F13" i="6"/>
  <c r="G47" i="28" l="1"/>
  <c r="G46" i="28"/>
  <c r="G45" i="28"/>
  <c r="G44" i="28"/>
  <c r="G43" i="28"/>
  <c r="G42" i="28"/>
  <c r="G41" i="28"/>
  <c r="G40" i="28"/>
  <c r="G39" i="28"/>
  <c r="G38" i="28"/>
  <c r="G37" i="28"/>
  <c r="G36" i="28"/>
  <c r="G35" i="28"/>
  <c r="G34" i="28"/>
  <c r="G33" i="28"/>
  <c r="G48" i="28" l="1"/>
  <c r="D66" i="30" l="1"/>
  <c r="D64" i="30"/>
  <c r="D62" i="30"/>
  <c r="D60" i="30"/>
  <c r="D58" i="30"/>
  <c r="D56" i="30"/>
  <c r="D48" i="30"/>
  <c r="D46" i="30"/>
  <c r="D44" i="30"/>
  <c r="D42" i="30"/>
  <c r="D40" i="30"/>
  <c r="D38" i="30"/>
  <c r="D67" i="30"/>
  <c r="D65" i="30"/>
  <c r="D63" i="30"/>
  <c r="D61" i="30"/>
  <c r="D59" i="30"/>
  <c r="D57" i="30"/>
  <c r="D49" i="30"/>
  <c r="D47" i="30"/>
  <c r="D45" i="30"/>
  <c r="D43" i="30"/>
  <c r="D41" i="30"/>
  <c r="D39" i="30"/>
  <c r="G7" i="9" l="1"/>
  <c r="H7" i="9" s="1"/>
  <c r="G8" i="9"/>
  <c r="H8" i="9" s="1"/>
  <c r="E48" i="21"/>
  <c r="E51" i="21"/>
  <c r="E50" i="21"/>
  <c r="E64" i="21"/>
  <c r="E63" i="21"/>
  <c r="E91" i="21"/>
  <c r="J91" i="21" s="1"/>
  <c r="E77" i="21"/>
  <c r="E65" i="21"/>
  <c r="E22" i="21"/>
  <c r="E21" i="21"/>
  <c r="E90" i="21"/>
  <c r="J90" i="21" s="1"/>
  <c r="E16" i="21"/>
  <c r="E59" i="21"/>
  <c r="J59" i="21" s="1"/>
  <c r="E46" i="21"/>
  <c r="J46" i="21" s="1"/>
  <c r="E61" i="21"/>
  <c r="E85" i="21"/>
  <c r="E43" i="21"/>
  <c r="J43" i="21" s="1"/>
  <c r="E60" i="21"/>
  <c r="J60" i="21" s="1"/>
  <c r="E19" i="21"/>
  <c r="E40" i="21"/>
  <c r="E12" i="21"/>
  <c r="E94" i="21"/>
  <c r="E44" i="21"/>
  <c r="J44" i="21" s="1"/>
  <c r="E41" i="21"/>
  <c r="E45" i="21"/>
  <c r="J45" i="21" s="1"/>
  <c r="E58" i="21"/>
  <c r="E57" i="21"/>
  <c r="J57" i="21" s="1"/>
  <c r="E70" i="21"/>
  <c r="E83" i="21"/>
  <c r="J83" i="21" s="1"/>
  <c r="E18" i="21"/>
  <c r="J18" i="21" s="1"/>
  <c r="E67" i="21"/>
  <c r="E54" i="21"/>
  <c r="E86" i="21"/>
  <c r="E92" i="21"/>
  <c r="E47" i="21"/>
  <c r="J47" i="21" s="1"/>
  <c r="E20" i="21"/>
  <c r="E42" i="21"/>
  <c r="J42" i="21" s="1"/>
  <c r="E11" i="21"/>
  <c r="H57" i="9" l="1"/>
  <c r="H53" i="9"/>
  <c r="G53" i="9"/>
  <c r="G57" i="9"/>
  <c r="D11" i="22"/>
  <c r="E20" i="20" l="1"/>
  <c r="I28" i="4" l="1"/>
  <c r="E25" i="20"/>
  <c r="I19" i="5"/>
  <c r="G36" i="9" l="1"/>
  <c r="H36" i="9" s="1"/>
  <c r="K28" i="4"/>
  <c r="M37" i="5"/>
  <c r="C14" i="15" l="1"/>
  <c r="B14" i="15"/>
  <c r="I8" i="17" l="1"/>
  <c r="I10" i="17" l="1"/>
  <c r="K43" i="19"/>
  <c r="K45" i="19" s="1"/>
  <c r="I43" i="19"/>
  <c r="G43" i="19"/>
  <c r="E45" i="19" s="1"/>
  <c r="I15" i="4" s="1"/>
  <c r="E43" i="19"/>
  <c r="G45" i="19" l="1"/>
  <c r="B23" i="12"/>
  <c r="F52" i="5"/>
  <c r="F57" i="5" s="1"/>
  <c r="D46" i="14" l="1"/>
  <c r="G11" i="16"/>
  <c r="D10" i="12" l="1"/>
  <c r="I10" i="12" s="1"/>
  <c r="D24" i="10" l="1"/>
  <c r="I18" i="5" l="1"/>
  <c r="I13" i="5"/>
  <c r="I12" i="5" l="1"/>
  <c r="D38" i="13" l="1"/>
  <c r="I38" i="13" s="1"/>
  <c r="D37" i="13"/>
  <c r="I37" i="13" s="1"/>
  <c r="D36" i="13"/>
  <c r="I36" i="13" s="1"/>
  <c r="D31" i="10" l="1"/>
  <c r="G37" i="5"/>
  <c r="I26" i="5" l="1"/>
  <c r="I31" i="5"/>
  <c r="I28" i="5" l="1"/>
  <c r="I25" i="5"/>
  <c r="I11" i="5"/>
  <c r="I14" i="5"/>
  <c r="I15" i="5"/>
  <c r="G8" i="7" l="1"/>
  <c r="G12" i="7" s="1"/>
  <c r="D35" i="13"/>
  <c r="I35" i="13" s="1"/>
  <c r="D34" i="13"/>
  <c r="I34" i="13" s="1"/>
  <c r="D33" i="13"/>
  <c r="I33" i="13" s="1"/>
  <c r="D32" i="13"/>
  <c r="I32" i="13" s="1"/>
  <c r="D31" i="13"/>
  <c r="D30" i="13"/>
  <c r="I30" i="13" s="1"/>
  <c r="D29" i="13"/>
  <c r="I29" i="13" s="1"/>
  <c r="D27" i="13"/>
  <c r="B67" i="13"/>
  <c r="C67" i="13"/>
  <c r="D67" i="13" l="1"/>
  <c r="I27" i="13"/>
  <c r="I54" i="5"/>
  <c r="D37" i="12"/>
  <c r="D10" i="15"/>
  <c r="D14" i="15" s="1"/>
  <c r="B30" i="14" l="1"/>
  <c r="C30" i="14"/>
  <c r="D11" i="13"/>
  <c r="D10" i="13"/>
  <c r="B14" i="13"/>
  <c r="D41" i="14"/>
  <c r="D42" i="14"/>
  <c r="D28" i="14"/>
  <c r="D27" i="14"/>
  <c r="I27" i="14" s="1"/>
  <c r="B47" i="10"/>
  <c r="C47" i="10"/>
  <c r="D45" i="10"/>
  <c r="D44" i="10"/>
  <c r="D11" i="11"/>
  <c r="D30" i="14" l="1"/>
  <c r="D47" i="10"/>
  <c r="D10" i="11" l="1"/>
  <c r="B15" i="11"/>
  <c r="D13" i="10"/>
  <c r="D14" i="10"/>
  <c r="D22" i="10"/>
  <c r="D23" i="10"/>
  <c r="D25" i="10"/>
  <c r="D28" i="10"/>
  <c r="D29" i="10"/>
  <c r="D11" i="10"/>
  <c r="I10" i="11" l="1"/>
  <c r="D20" i="12"/>
  <c r="D14" i="12"/>
  <c r="D12" i="12"/>
  <c r="D13" i="12"/>
  <c r="I45" i="5"/>
  <c r="I53" i="5" l="1"/>
  <c r="I59" i="5" l="1"/>
  <c r="I29" i="5"/>
  <c r="I73" i="5" l="1"/>
  <c r="I72" i="5"/>
  <c r="I24" i="5"/>
  <c r="I27" i="5"/>
  <c r="G41" i="5"/>
  <c r="G39" i="5"/>
  <c r="I30" i="5"/>
  <c r="I33" i="5"/>
  <c r="I20" i="5"/>
  <c r="G21" i="5"/>
  <c r="I16" i="5"/>
  <c r="I37" i="5"/>
  <c r="I39" i="5" l="1"/>
  <c r="I38" i="5"/>
  <c r="I41" i="5"/>
  <c r="C23" i="12"/>
  <c r="D23" i="12" s="1"/>
  <c r="I10" i="5"/>
  <c r="I17" i="5"/>
  <c r="C14" i="13"/>
  <c r="D14" i="13" s="1"/>
  <c r="G52" i="5"/>
  <c r="G57" i="5" s="1"/>
  <c r="G54" i="9" l="1"/>
  <c r="I52" i="5"/>
  <c r="F54" i="6"/>
  <c r="G55" i="9" l="1"/>
  <c r="F36" i="6" s="1"/>
  <c r="G20" i="9" s="1"/>
  <c r="H20" i="9" s="1"/>
  <c r="H54" i="9"/>
  <c r="H55" i="9" s="1"/>
  <c r="F42" i="5"/>
  <c r="F77" i="5" s="1"/>
  <c r="F34" i="5"/>
  <c r="I48" i="5"/>
  <c r="I12" i="17"/>
  <c r="I14" i="17" s="1"/>
  <c r="I25" i="17"/>
  <c r="D13" i="11"/>
  <c r="D12" i="11"/>
  <c r="G32" i="5" l="1"/>
  <c r="G40" i="5" s="1"/>
  <c r="G42" i="5" s="1"/>
  <c r="F39" i="6"/>
  <c r="E9" i="9"/>
  <c r="E11" i="9" s="1"/>
  <c r="D15" i="11"/>
  <c r="C15" i="11"/>
  <c r="G18" i="7"/>
  <c r="F9" i="9" l="1"/>
  <c r="F11" i="9" s="1"/>
  <c r="I32" i="5"/>
  <c r="G34" i="5"/>
  <c r="I40" i="5"/>
  <c r="G9" i="9"/>
  <c r="G49" i="5"/>
  <c r="I47" i="5"/>
  <c r="G11" i="9" l="1"/>
  <c r="H9" i="9"/>
  <c r="H11" i="9" s="1"/>
  <c r="G35" i="7"/>
  <c r="G30" i="7"/>
  <c r="G37" i="7" l="1"/>
  <c r="D41" i="7" s="1"/>
  <c r="I55" i="5"/>
  <c r="I57" i="5" s="1"/>
  <c r="D40" i="7" l="1"/>
  <c r="G10" i="16"/>
  <c r="G15" i="16"/>
  <c r="G12" i="16"/>
  <c r="B18" i="16"/>
  <c r="M59" i="5" l="1"/>
  <c r="F21" i="6" l="1"/>
  <c r="G13" i="7"/>
  <c r="F67" i="23" l="1"/>
  <c r="H67" i="23" s="1"/>
  <c r="F56" i="23"/>
  <c r="H56" i="23" s="1"/>
  <c r="G52" i="22"/>
  <c r="I52" i="22" s="1"/>
  <c r="G62" i="22"/>
  <c r="I62" i="22" s="1"/>
  <c r="H38" i="21"/>
  <c r="J38" i="21" s="1"/>
  <c r="H36" i="21"/>
  <c r="J36" i="21" s="1"/>
  <c r="H34" i="21"/>
  <c r="J34" i="21" s="1"/>
  <c r="H55" i="21"/>
  <c r="J55" i="21" s="1"/>
  <c r="H37" i="21"/>
  <c r="J37" i="21" s="1"/>
  <c r="H35" i="21"/>
  <c r="J35" i="21" s="1"/>
  <c r="H66" i="21"/>
  <c r="J66" i="21" s="1"/>
  <c r="F69" i="23"/>
  <c r="H69" i="23" s="1"/>
  <c r="G64" i="22"/>
  <c r="I64" i="22" s="1"/>
  <c r="H68" i="21"/>
  <c r="J68" i="21" s="1"/>
  <c r="H80" i="21"/>
  <c r="J80" i="21" s="1"/>
  <c r="F83" i="23"/>
  <c r="H83" i="23" s="1"/>
  <c r="G76" i="22"/>
  <c r="I76" i="22" s="1"/>
  <c r="F102" i="23"/>
  <c r="H102" i="23" s="1"/>
  <c r="G98" i="22"/>
  <c r="H101" i="21"/>
  <c r="J101" i="21" s="1"/>
  <c r="H65" i="21"/>
  <c r="J65" i="21" s="1"/>
  <c r="H67" i="21"/>
  <c r="J67" i="21" s="1"/>
  <c r="F111" i="23"/>
  <c r="H111" i="23" s="1"/>
  <c r="F107" i="23"/>
  <c r="H107" i="23" s="1"/>
  <c r="F100" i="23"/>
  <c r="H100" i="23" s="1"/>
  <c r="F90" i="23"/>
  <c r="H90" i="23" s="1"/>
  <c r="F82" i="23"/>
  <c r="H82" i="23" s="1"/>
  <c r="F61" i="23"/>
  <c r="F32" i="23"/>
  <c r="F14" i="23"/>
  <c r="H14" i="23" s="1"/>
  <c r="H103" i="21"/>
  <c r="J103" i="21" s="1"/>
  <c r="H96" i="21"/>
  <c r="J96" i="21" s="1"/>
  <c r="H87" i="21"/>
  <c r="J87" i="21" s="1"/>
  <c r="H79" i="21"/>
  <c r="J79" i="21" s="1"/>
  <c r="H39" i="21"/>
  <c r="J39" i="21" s="1"/>
  <c r="H13" i="21"/>
  <c r="J13" i="21" s="1"/>
  <c r="F110" i="23"/>
  <c r="H110" i="23" s="1"/>
  <c r="F106" i="23"/>
  <c r="H106" i="23" s="1"/>
  <c r="F98" i="23"/>
  <c r="H98" i="23" s="1"/>
  <c r="F89" i="23"/>
  <c r="H89" i="23" s="1"/>
  <c r="F70" i="23"/>
  <c r="H70" i="23" s="1"/>
  <c r="F60" i="23"/>
  <c r="F30" i="23"/>
  <c r="H30" i="23" s="1"/>
  <c r="F13" i="23"/>
  <c r="H13" i="23" s="1"/>
  <c r="H102" i="21"/>
  <c r="J102" i="21" s="1"/>
  <c r="H94" i="21"/>
  <c r="J94" i="21" s="1"/>
  <c r="H86" i="21"/>
  <c r="J86" i="21" s="1"/>
  <c r="H58" i="21"/>
  <c r="J58" i="21" s="1"/>
  <c r="H27" i="21"/>
  <c r="J27" i="21" s="1"/>
  <c r="F109" i="23"/>
  <c r="H109" i="23" s="1"/>
  <c r="F105" i="23"/>
  <c r="H105" i="23" s="1"/>
  <c r="F92" i="23"/>
  <c r="F88" i="23"/>
  <c r="H88" i="23" s="1"/>
  <c r="F68" i="23"/>
  <c r="H68" i="23" s="1"/>
  <c r="F55" i="23"/>
  <c r="F29" i="23"/>
  <c r="H29" i="23" s="1"/>
  <c r="H100" i="21"/>
  <c r="J100" i="21" s="1"/>
  <c r="H89" i="21"/>
  <c r="J89" i="21" s="1"/>
  <c r="H85" i="21"/>
  <c r="J85" i="21" s="1"/>
  <c r="H54" i="21"/>
  <c r="J54" i="21" s="1"/>
  <c r="H19" i="21"/>
  <c r="J19" i="21" s="1"/>
  <c r="F108" i="23"/>
  <c r="H108" i="23" s="1"/>
  <c r="F104" i="23"/>
  <c r="H104" i="23" s="1"/>
  <c r="F91" i="23"/>
  <c r="F85" i="23"/>
  <c r="H85" i="23" s="1"/>
  <c r="F66" i="23"/>
  <c r="H66" i="23" s="1"/>
  <c r="F54" i="23"/>
  <c r="F20" i="23"/>
  <c r="H104" i="21"/>
  <c r="J104" i="21" s="1"/>
  <c r="H99" i="21"/>
  <c r="J99" i="21" s="1"/>
  <c r="H88" i="21"/>
  <c r="J88" i="21" s="1"/>
  <c r="H82" i="21"/>
  <c r="J82" i="21" s="1"/>
  <c r="H40" i="21"/>
  <c r="J40" i="21" s="1"/>
  <c r="H14" i="21"/>
  <c r="J14" i="21" s="1"/>
  <c r="G101" i="22"/>
  <c r="I101" i="22" s="1"/>
  <c r="G96" i="22"/>
  <c r="I96" i="22" s="1"/>
  <c r="G85" i="22"/>
  <c r="I85" i="22" s="1"/>
  <c r="G81" i="22"/>
  <c r="I81" i="22" s="1"/>
  <c r="G61" i="22"/>
  <c r="I61" i="22" s="1"/>
  <c r="G27" i="22"/>
  <c r="I27" i="22" s="1"/>
  <c r="G100" i="22"/>
  <c r="I100" i="22" s="1"/>
  <c r="G93" i="22"/>
  <c r="I93" i="22" s="1"/>
  <c r="G84" i="22"/>
  <c r="I84" i="22" s="1"/>
  <c r="G78" i="22"/>
  <c r="I78" i="22" s="1"/>
  <c r="G19" i="22"/>
  <c r="I19" i="22" s="1"/>
  <c r="G99" i="22"/>
  <c r="I99" i="22" s="1"/>
  <c r="G92" i="22"/>
  <c r="I92" i="22" s="1"/>
  <c r="G83" i="22"/>
  <c r="I83" i="22" s="1"/>
  <c r="G75" i="22"/>
  <c r="I75" i="22" s="1"/>
  <c r="G30" i="22"/>
  <c r="I30" i="22" s="1"/>
  <c r="G14" i="22"/>
  <c r="I14" i="22" s="1"/>
  <c r="G97" i="22"/>
  <c r="I97" i="22" s="1"/>
  <c r="G90" i="22"/>
  <c r="I90" i="22" s="1"/>
  <c r="G82" i="22"/>
  <c r="I82" i="22" s="1"/>
  <c r="G63" i="22"/>
  <c r="I63" i="22" s="1"/>
  <c r="G29" i="22"/>
  <c r="I29" i="22" s="1"/>
  <c r="G13" i="22"/>
  <c r="I13" i="22" s="1"/>
  <c r="G51" i="22"/>
  <c r="I51" i="22" s="1"/>
  <c r="H16" i="23"/>
  <c r="H41" i="23"/>
  <c r="H15" i="23"/>
  <c r="G11" i="11"/>
  <c r="I11" i="11" s="1"/>
  <c r="G19" i="11"/>
  <c r="H86" i="23"/>
  <c r="H43" i="23"/>
  <c r="H84" i="23"/>
  <c r="H27" i="23"/>
  <c r="H44" i="23"/>
  <c r="H40" i="23"/>
  <c r="I38" i="6"/>
  <c r="J38" i="6" s="1"/>
  <c r="I34" i="6"/>
  <c r="J34" i="6" s="1"/>
  <c r="L62" i="5"/>
  <c r="M62" i="5" s="1"/>
  <c r="I28" i="17"/>
  <c r="I15" i="17"/>
  <c r="I16" i="17" s="1"/>
  <c r="I18" i="17" s="1"/>
  <c r="I34" i="17" s="1"/>
  <c r="L28" i="5"/>
  <c r="M28" i="5" s="1"/>
  <c r="I33" i="6"/>
  <c r="J33" i="6" s="1"/>
  <c r="I25" i="6"/>
  <c r="L71" i="5"/>
  <c r="L15" i="5"/>
  <c r="M15" i="5" s="1"/>
  <c r="I13" i="6"/>
  <c r="I32" i="6"/>
  <c r="L72" i="5"/>
  <c r="L14" i="5"/>
  <c r="L27" i="5"/>
  <c r="F56" i="6"/>
  <c r="F59" i="6" l="1"/>
  <c r="J26" i="6"/>
  <c r="M27" i="5"/>
  <c r="M39" i="5"/>
  <c r="J25" i="6" l="1"/>
  <c r="G25" i="7" l="1"/>
  <c r="E40" i="7" s="1"/>
  <c r="G40" i="7" s="1"/>
  <c r="G20" i="7"/>
  <c r="I49" i="5"/>
  <c r="I34" i="5"/>
  <c r="I21" i="5"/>
  <c r="G58" i="9" l="1"/>
  <c r="G41" i="7"/>
  <c r="M72" i="5"/>
  <c r="J32" i="6"/>
  <c r="M14" i="5"/>
  <c r="M38" i="5" s="1"/>
  <c r="J13" i="6"/>
  <c r="I42" i="5"/>
  <c r="G21" i="7"/>
  <c r="F31" i="23" l="1"/>
  <c r="H31" i="23" s="1"/>
  <c r="G28" i="22"/>
  <c r="I28" i="22" s="1"/>
  <c r="H32" i="21"/>
  <c r="J32" i="21" s="1"/>
  <c r="H30" i="21"/>
  <c r="J30" i="21" s="1"/>
  <c r="H28" i="21"/>
  <c r="J28" i="21" s="1"/>
  <c r="H33" i="21"/>
  <c r="J33" i="21" s="1"/>
  <c r="H31" i="21"/>
  <c r="J31" i="21" s="1"/>
  <c r="H29" i="21"/>
  <c r="J29" i="21" s="1"/>
  <c r="I44" i="13"/>
  <c r="I31" i="13"/>
  <c r="I43" i="13"/>
  <c r="I40" i="13"/>
  <c r="G59" i="9"/>
  <c r="F24" i="6" s="1"/>
  <c r="G22" i="9" s="1"/>
  <c r="H22" i="9" s="1"/>
  <c r="H58" i="9"/>
  <c r="H59" i="9" s="1"/>
  <c r="F115" i="23"/>
  <c r="H115" i="23" s="1"/>
  <c r="H97" i="21"/>
  <c r="J97" i="21" s="1"/>
  <c r="F101" i="23"/>
  <c r="H101" i="23" s="1"/>
  <c r="G94" i="22"/>
  <c r="I94" i="22" s="1"/>
  <c r="H84" i="21"/>
  <c r="J84" i="21" s="1"/>
  <c r="F87" i="23"/>
  <c r="H87" i="23" s="1"/>
  <c r="G80" i="22"/>
  <c r="I80" i="22" s="1"/>
  <c r="F28" i="23"/>
  <c r="H28" i="23" s="1"/>
  <c r="G26" i="22"/>
  <c r="I26" i="22" s="1"/>
  <c r="H26" i="21"/>
  <c r="J26" i="21" s="1"/>
  <c r="G24" i="15"/>
  <c r="I24" i="15" s="1"/>
  <c r="G11" i="15"/>
  <c r="I11" i="15" s="1"/>
  <c r="G45" i="14"/>
  <c r="I45" i="14" s="1"/>
  <c r="F103" i="23"/>
  <c r="H103" i="23" s="1"/>
  <c r="F80" i="23"/>
  <c r="H80" i="23" s="1"/>
  <c r="F75" i="23"/>
  <c r="H75" i="23" s="1"/>
  <c r="F71" i="23"/>
  <c r="H71" i="23" s="1"/>
  <c r="F62" i="23"/>
  <c r="H62" i="23" s="1"/>
  <c r="F51" i="23"/>
  <c r="H51" i="23" s="1"/>
  <c r="F34" i="23"/>
  <c r="H34" i="23" s="1"/>
  <c r="F24" i="23"/>
  <c r="H24" i="23" s="1"/>
  <c r="F17" i="23"/>
  <c r="H17" i="23" s="1"/>
  <c r="H92" i="21"/>
  <c r="J92" i="21" s="1"/>
  <c r="H74" i="21"/>
  <c r="J74" i="21" s="1"/>
  <c r="H70" i="21"/>
  <c r="J70" i="21" s="1"/>
  <c r="H62" i="21"/>
  <c r="J62" i="21" s="1"/>
  <c r="H52" i="21"/>
  <c r="J52" i="21" s="1"/>
  <c r="H48" i="21"/>
  <c r="J48" i="21" s="1"/>
  <c r="H22" i="21"/>
  <c r="J22" i="21" s="1"/>
  <c r="H12" i="21"/>
  <c r="J12" i="21" s="1"/>
  <c r="F96" i="23"/>
  <c r="H96" i="23" s="1"/>
  <c r="F79" i="23"/>
  <c r="H79" i="23" s="1"/>
  <c r="F74" i="23"/>
  <c r="H74" i="23" s="1"/>
  <c r="F65" i="23"/>
  <c r="H65" i="23" s="1"/>
  <c r="F57" i="23"/>
  <c r="H57" i="23" s="1"/>
  <c r="F50" i="23"/>
  <c r="H50" i="23" s="1"/>
  <c r="F33" i="23"/>
  <c r="H33" i="23" s="1"/>
  <c r="F23" i="23"/>
  <c r="H23" i="23" s="1"/>
  <c r="F12" i="23"/>
  <c r="H12" i="23" s="1"/>
  <c r="H78" i="21"/>
  <c r="J78" i="21" s="1"/>
  <c r="H69" i="21"/>
  <c r="J69" i="21" s="1"/>
  <c r="H51" i="21"/>
  <c r="J51" i="21" s="1"/>
  <c r="H21" i="21"/>
  <c r="J21" i="21" s="1"/>
  <c r="F114" i="23"/>
  <c r="H114" i="23" s="1"/>
  <c r="F95" i="23"/>
  <c r="H95" i="23" s="1"/>
  <c r="F77" i="23"/>
  <c r="H77" i="23" s="1"/>
  <c r="F73" i="23"/>
  <c r="H73" i="23" s="1"/>
  <c r="F64" i="23"/>
  <c r="H64" i="23" s="1"/>
  <c r="F53" i="23"/>
  <c r="H53" i="23" s="1"/>
  <c r="F49" i="23"/>
  <c r="H49" i="23" s="1"/>
  <c r="F26" i="23"/>
  <c r="H26" i="23" s="1"/>
  <c r="F22" i="23"/>
  <c r="H22" i="23" s="1"/>
  <c r="F11" i="23"/>
  <c r="H11" i="23" s="1"/>
  <c r="H105" i="21"/>
  <c r="J105" i="21" s="1"/>
  <c r="H77" i="21"/>
  <c r="J77" i="21" s="1"/>
  <c r="H72" i="21"/>
  <c r="J72" i="21" s="1"/>
  <c r="H64" i="21"/>
  <c r="J64" i="21" s="1"/>
  <c r="H56" i="21"/>
  <c r="J56" i="21" s="1"/>
  <c r="H50" i="21"/>
  <c r="J50" i="21" s="1"/>
  <c r="H24" i="21"/>
  <c r="J24" i="21" s="1"/>
  <c r="H20" i="21"/>
  <c r="J20" i="21" s="1"/>
  <c r="F112" i="23"/>
  <c r="H112" i="23" s="1"/>
  <c r="F81" i="23"/>
  <c r="H81" i="23" s="1"/>
  <c r="F76" i="23"/>
  <c r="H76" i="23" s="1"/>
  <c r="F72" i="23"/>
  <c r="H72" i="23" s="1"/>
  <c r="F63" i="23"/>
  <c r="H63" i="23" s="1"/>
  <c r="F52" i="23"/>
  <c r="H52" i="23" s="1"/>
  <c r="F48" i="23"/>
  <c r="H48" i="23" s="1"/>
  <c r="F25" i="23"/>
  <c r="H25" i="23" s="1"/>
  <c r="F21" i="23"/>
  <c r="H21" i="23" s="1"/>
  <c r="H98" i="21"/>
  <c r="J98" i="21" s="1"/>
  <c r="H76" i="21"/>
  <c r="J76" i="21" s="1"/>
  <c r="H71" i="21"/>
  <c r="J71" i="21" s="1"/>
  <c r="H63" i="21"/>
  <c r="J63" i="21" s="1"/>
  <c r="H53" i="21"/>
  <c r="J53" i="21" s="1"/>
  <c r="H49" i="21"/>
  <c r="J49" i="21" s="1"/>
  <c r="H23" i="21"/>
  <c r="J23" i="21" s="1"/>
  <c r="H16" i="21"/>
  <c r="J16" i="21" s="1"/>
  <c r="H107" i="21"/>
  <c r="J107" i="21" s="1"/>
  <c r="H73" i="21"/>
  <c r="J73" i="21" s="1"/>
  <c r="H61" i="21"/>
  <c r="J61" i="21" s="1"/>
  <c r="H41" i="21"/>
  <c r="J41" i="21" s="1"/>
  <c r="H11" i="21"/>
  <c r="J11" i="21" s="1"/>
  <c r="G105" i="22"/>
  <c r="I105" i="22" s="1"/>
  <c r="G88" i="22"/>
  <c r="I88" i="22" s="1"/>
  <c r="G70" i="22"/>
  <c r="I70" i="22" s="1"/>
  <c r="G66" i="22"/>
  <c r="I66" i="22" s="1"/>
  <c r="G58" i="22"/>
  <c r="I58" i="22" s="1"/>
  <c r="G49" i="22"/>
  <c r="I49" i="22" s="1"/>
  <c r="G45" i="22"/>
  <c r="I45" i="22" s="1"/>
  <c r="G22" i="22"/>
  <c r="I22" i="22" s="1"/>
  <c r="G12" i="22"/>
  <c r="I12" i="22" s="1"/>
  <c r="G74" i="22"/>
  <c r="I74" i="22" s="1"/>
  <c r="G65" i="22"/>
  <c r="I65" i="22" s="1"/>
  <c r="G48" i="22"/>
  <c r="I48" i="22" s="1"/>
  <c r="G21" i="22"/>
  <c r="I21" i="22" s="1"/>
  <c r="G102" i="22"/>
  <c r="I102" i="22" s="1"/>
  <c r="G73" i="22"/>
  <c r="I73" i="22" s="1"/>
  <c r="G68" i="22"/>
  <c r="I68" i="22" s="1"/>
  <c r="G60" i="22"/>
  <c r="I60" i="22" s="1"/>
  <c r="G53" i="22"/>
  <c r="I53" i="22" s="1"/>
  <c r="G47" i="22"/>
  <c r="I47" i="22" s="1"/>
  <c r="G24" i="22"/>
  <c r="I24" i="22" s="1"/>
  <c r="G20" i="22"/>
  <c r="I20" i="22" s="1"/>
  <c r="G95" i="22"/>
  <c r="I95" i="22" s="1"/>
  <c r="G72" i="22"/>
  <c r="I72" i="22" s="1"/>
  <c r="G67" i="22"/>
  <c r="I67" i="22" s="1"/>
  <c r="G59" i="22"/>
  <c r="I59" i="22" s="1"/>
  <c r="G50" i="22"/>
  <c r="I50" i="22" s="1"/>
  <c r="G46" i="22"/>
  <c r="I46" i="22" s="1"/>
  <c r="G23" i="22"/>
  <c r="I23" i="22" s="1"/>
  <c r="G16" i="22"/>
  <c r="I16" i="22" s="1"/>
  <c r="G104" i="22"/>
  <c r="I104" i="22" s="1"/>
  <c r="G69" i="22"/>
  <c r="I69" i="22" s="1"/>
  <c r="G57" i="22"/>
  <c r="I57" i="22" s="1"/>
  <c r="G31" i="22"/>
  <c r="I31" i="22" s="1"/>
  <c r="G11" i="22"/>
  <c r="I11" i="22" s="1"/>
  <c r="H47" i="23"/>
  <c r="H92" i="23"/>
  <c r="H60" i="23"/>
  <c r="H54" i="23"/>
  <c r="H46" i="23"/>
  <c r="H61" i="23"/>
  <c r="H58" i="23"/>
  <c r="H55" i="23"/>
  <c r="H45" i="23"/>
  <c r="H39" i="23"/>
  <c r="H37" i="23"/>
  <c r="H35" i="23"/>
  <c r="H20" i="23"/>
  <c r="H38" i="23"/>
  <c r="H36" i="23"/>
  <c r="G23" i="15"/>
  <c r="I23" i="15" s="1"/>
  <c r="G44" i="14"/>
  <c r="I44" i="14" s="1"/>
  <c r="F45" i="6"/>
  <c r="G23" i="9" s="1"/>
  <c r="H23" i="9" s="1"/>
  <c r="H91" i="23"/>
  <c r="H42" i="23"/>
  <c r="H32" i="23"/>
  <c r="H59" i="23"/>
  <c r="G21" i="12"/>
  <c r="I21" i="12" s="1"/>
  <c r="I17" i="12"/>
  <c r="G16" i="12"/>
  <c r="I16" i="12" s="1"/>
  <c r="G16" i="10"/>
  <c r="I16" i="10" s="1"/>
  <c r="I21" i="10"/>
  <c r="G43" i="14"/>
  <c r="I43" i="14" s="1"/>
  <c r="I19" i="12"/>
  <c r="G15" i="12"/>
  <c r="I15" i="12" s="1"/>
  <c r="G11" i="12"/>
  <c r="I11" i="12" s="1"/>
  <c r="G27" i="10"/>
  <c r="I27" i="10" s="1"/>
  <c r="G18" i="12"/>
  <c r="I18" i="12" s="1"/>
  <c r="G26" i="10"/>
  <c r="I26" i="10" s="1"/>
  <c r="I19" i="10"/>
  <c r="G15" i="10"/>
  <c r="I15" i="10" s="1"/>
  <c r="I12" i="10"/>
  <c r="G21" i="11"/>
  <c r="I21" i="11" s="1"/>
  <c r="G20" i="11"/>
  <c r="I20" i="11" s="1"/>
  <c r="I19" i="11"/>
  <c r="L32" i="5"/>
  <c r="M32" i="5" s="1"/>
  <c r="G13" i="11"/>
  <c r="I13" i="11" s="1"/>
  <c r="G12" i="11"/>
  <c r="I12" i="11" s="1"/>
  <c r="I36" i="6"/>
  <c r="J36" i="6" s="1"/>
  <c r="L19" i="5"/>
  <c r="M19" i="5" s="1"/>
  <c r="G42" i="7"/>
  <c r="F55" i="6" s="1"/>
  <c r="E14" i="16"/>
  <c r="G14" i="16" s="1"/>
  <c r="G20" i="12"/>
  <c r="I20" i="12" s="1"/>
  <c r="G13" i="10"/>
  <c r="I13" i="10" s="1"/>
  <c r="L31" i="5"/>
  <c r="M31" i="5" s="1"/>
  <c r="L18" i="5"/>
  <c r="M18" i="5" s="1"/>
  <c r="G10" i="13"/>
  <c r="I10" i="13" s="1"/>
  <c r="G11" i="13"/>
  <c r="I11" i="13" s="1"/>
  <c r="G14" i="12"/>
  <c r="G37" i="12"/>
  <c r="I37" i="12" s="1"/>
  <c r="I40" i="12" s="1"/>
  <c r="G45" i="10"/>
  <c r="I45" i="10" s="1"/>
  <c r="G44" i="10"/>
  <c r="I44" i="10" s="1"/>
  <c r="I21" i="6"/>
  <c r="G11" i="10"/>
  <c r="I11" i="10" s="1"/>
  <c r="G23" i="10"/>
  <c r="I23" i="10" s="1"/>
  <c r="G20" i="10"/>
  <c r="I20" i="10" s="1"/>
  <c r="I25" i="10"/>
  <c r="G22" i="10"/>
  <c r="I22" i="10" s="1"/>
  <c r="G17" i="10"/>
  <c r="I17" i="10" s="1"/>
  <c r="G10" i="15"/>
  <c r="G41" i="14"/>
  <c r="I41" i="14" s="1"/>
  <c r="G42" i="14"/>
  <c r="I42" i="14" s="1"/>
  <c r="E16" i="16"/>
  <c r="G16" i="16" s="1"/>
  <c r="I43" i="6"/>
  <c r="J43" i="6" s="1"/>
  <c r="I35" i="6"/>
  <c r="J35" i="6" s="1"/>
  <c r="L52" i="5"/>
  <c r="M52" i="5" s="1"/>
  <c r="L73" i="5"/>
  <c r="M73" i="5" s="1"/>
  <c r="L53" i="5"/>
  <c r="M53" i="5" s="1"/>
  <c r="L30" i="5"/>
  <c r="M30" i="5" s="1"/>
  <c r="L17" i="5"/>
  <c r="M17" i="5" s="1"/>
  <c r="I67" i="13" l="1"/>
  <c r="M54" i="5" s="1"/>
  <c r="H24" i="9"/>
  <c r="H117" i="23"/>
  <c r="I27" i="15"/>
  <c r="I46" i="14"/>
  <c r="J109" i="21"/>
  <c r="I107" i="22"/>
  <c r="M40" i="5"/>
  <c r="F46" i="6"/>
  <c r="G24" i="9"/>
  <c r="G13" i="9" s="1"/>
  <c r="I23" i="11"/>
  <c r="M47" i="5" s="1"/>
  <c r="I47" i="10"/>
  <c r="J21" i="6"/>
  <c r="I22" i="17"/>
  <c r="I14" i="13"/>
  <c r="I14" i="12"/>
  <c r="I10" i="15"/>
  <c r="I14" i="15" s="1"/>
  <c r="I15" i="11"/>
  <c r="M46" i="5" s="1"/>
  <c r="G14" i="9" l="1"/>
  <c r="G26" i="9" s="1"/>
  <c r="H13" i="9"/>
  <c r="H14" i="9" s="1"/>
  <c r="J37" i="6"/>
  <c r="J39" i="6" s="1"/>
  <c r="M20" i="5"/>
  <c r="M21" i="5" s="1"/>
  <c r="L21" i="5" s="1"/>
  <c r="G27" i="9" l="1"/>
  <c r="H27" i="9" s="1"/>
  <c r="H26" i="9"/>
  <c r="I45" i="6"/>
  <c r="J45" i="6" s="1"/>
  <c r="L56" i="5"/>
  <c r="M33" i="5"/>
  <c r="M34" i="5" s="1"/>
  <c r="I44" i="6"/>
  <c r="J44" i="6" s="1"/>
  <c r="I24" i="6"/>
  <c r="J24" i="6" s="1"/>
  <c r="I23" i="6"/>
  <c r="J23" i="6" s="1"/>
  <c r="L74" i="5"/>
  <c r="M74" i="5" s="1"/>
  <c r="G29" i="9" l="1"/>
  <c r="G34" i="9" s="1"/>
  <c r="L18" i="32" s="1"/>
  <c r="N18" i="32" s="1"/>
  <c r="H29" i="9"/>
  <c r="H34" i="9" s="1"/>
  <c r="H38" i="9" s="1"/>
  <c r="J29" i="6"/>
  <c r="J46" i="6"/>
  <c r="M56" i="5"/>
  <c r="G10" i="14"/>
  <c r="I10" i="14" s="1"/>
  <c r="I12" i="14" s="1"/>
  <c r="M41" i="5"/>
  <c r="M42" i="5" s="1"/>
  <c r="L24" i="32" l="1"/>
  <c r="N24" i="32" s="1"/>
  <c r="L25" i="32"/>
  <c r="N25" i="32" s="1"/>
  <c r="L23" i="32"/>
  <c r="N23" i="32" s="1"/>
  <c r="L26" i="32"/>
  <c r="N26" i="32" s="1"/>
  <c r="L27" i="32"/>
  <c r="N27" i="32" s="1"/>
  <c r="L19" i="32"/>
  <c r="N19" i="32" s="1"/>
  <c r="L20" i="32"/>
  <c r="N20" i="32" s="1"/>
  <c r="L17" i="32"/>
  <c r="N17" i="32" s="1"/>
  <c r="G38" i="9"/>
  <c r="G40" i="9" s="1"/>
  <c r="G46" i="9" s="1"/>
  <c r="L16" i="32"/>
  <c r="N16" i="32" s="1"/>
  <c r="L22" i="32"/>
  <c r="N22" i="32" s="1"/>
  <c r="L21" i="32"/>
  <c r="N21" i="32" s="1"/>
  <c r="H42" i="9"/>
  <c r="H40" i="9"/>
  <c r="H39" i="9"/>
  <c r="H41" i="9"/>
  <c r="G71" i="5"/>
  <c r="G75" i="5" s="1"/>
  <c r="L42" i="5"/>
  <c r="G18" i="10" s="1"/>
  <c r="G45" i="9" l="1"/>
  <c r="G49" i="9" s="1"/>
  <c r="N29" i="32"/>
  <c r="G9" i="28" s="1"/>
  <c r="G10" i="28" s="1"/>
  <c r="G41" i="9"/>
  <c r="G42" i="9"/>
  <c r="G39" i="9"/>
  <c r="P20" i="32" s="1"/>
  <c r="R20" i="32" s="1"/>
  <c r="H46" i="9"/>
  <c r="H50" i="9" s="1"/>
  <c r="H45" i="9"/>
  <c r="H49" i="9" s="1"/>
  <c r="P25" i="32"/>
  <c r="R25" i="32" s="1"/>
  <c r="P24" i="32"/>
  <c r="R24" i="32" s="1"/>
  <c r="P27" i="32"/>
  <c r="R27" i="32" s="1"/>
  <c r="P23" i="32"/>
  <c r="R23" i="32" s="1"/>
  <c r="P26" i="32"/>
  <c r="R26" i="32" s="1"/>
  <c r="I59" i="6"/>
  <c r="J59" i="6" s="1"/>
  <c r="I24" i="10"/>
  <c r="I71" i="5"/>
  <c r="G50" i="9"/>
  <c r="G12" i="12"/>
  <c r="I12" i="12" s="1"/>
  <c r="G28" i="14"/>
  <c r="I28" i="14" s="1"/>
  <c r="I30" i="14" s="1"/>
  <c r="M55" i="5" s="1"/>
  <c r="M57" i="5" s="1"/>
  <c r="G28" i="10"/>
  <c r="I28" i="10" s="1"/>
  <c r="I18" i="10"/>
  <c r="G13" i="12"/>
  <c r="I13" i="12" s="1"/>
  <c r="G14" i="10"/>
  <c r="I14" i="10" s="1"/>
  <c r="G29" i="10"/>
  <c r="I29" i="10" s="1"/>
  <c r="P17" i="32" l="1"/>
  <c r="R17" i="32" s="1"/>
  <c r="P22" i="32"/>
  <c r="R22" i="32" s="1"/>
  <c r="P21" i="32"/>
  <c r="R21" i="32" s="1"/>
  <c r="P19" i="32"/>
  <c r="R19" i="32" s="1"/>
  <c r="P18" i="32"/>
  <c r="R18" i="32" s="1"/>
  <c r="P16" i="32"/>
  <c r="R16" i="32" s="1"/>
  <c r="B46" i="30"/>
  <c r="H46" i="30" s="1"/>
  <c r="B43" i="30"/>
  <c r="H43" i="30" s="1"/>
  <c r="B40" i="30"/>
  <c r="H40" i="30" s="1"/>
  <c r="B48" i="30"/>
  <c r="H48" i="30" s="1"/>
  <c r="B45" i="30"/>
  <c r="H45" i="30" s="1"/>
  <c r="B42" i="30"/>
  <c r="H42" i="30" s="1"/>
  <c r="B47" i="30"/>
  <c r="H47" i="30" s="1"/>
  <c r="B39" i="30"/>
  <c r="H39" i="30" s="1"/>
  <c r="B49" i="30"/>
  <c r="H49" i="30" s="1"/>
  <c r="B44" i="30"/>
  <c r="H44" i="30" s="1"/>
  <c r="B41" i="30"/>
  <c r="H41" i="30" s="1"/>
  <c r="B38" i="30"/>
  <c r="H38" i="30" s="1"/>
  <c r="M71" i="5"/>
  <c r="M75" i="5" s="1"/>
  <c r="I75" i="5"/>
  <c r="I23" i="12"/>
  <c r="M48" i="5" s="1"/>
  <c r="I31" i="10"/>
  <c r="M45" i="5" s="1"/>
  <c r="I23" i="17"/>
  <c r="I27" i="17" s="1"/>
  <c r="R29" i="32" l="1"/>
  <c r="G21" i="28"/>
  <c r="G23" i="28" s="1"/>
  <c r="G25" i="28" s="1"/>
  <c r="B62" i="30" s="1"/>
  <c r="H62" i="30" s="1"/>
  <c r="B50" i="30"/>
  <c r="H50" i="30"/>
  <c r="M49" i="5"/>
  <c r="I29" i="17"/>
  <c r="I31" i="17" s="1"/>
  <c r="I35" i="17" s="1"/>
  <c r="I36" i="17" s="1"/>
  <c r="G13" i="16" s="1"/>
  <c r="G18" i="16" s="1"/>
  <c r="I11" i="4" s="1"/>
  <c r="K11" i="4" s="1"/>
  <c r="B61" i="30" l="1"/>
  <c r="B56" i="30"/>
  <c r="H56" i="30" s="1"/>
  <c r="B64" i="30"/>
  <c r="H64" i="30" s="1"/>
  <c r="B63" i="30"/>
  <c r="H63" i="30" s="1"/>
  <c r="B66" i="30"/>
  <c r="H66" i="30" s="1"/>
  <c r="B65" i="30"/>
  <c r="H65" i="30" s="1"/>
  <c r="B60" i="30"/>
  <c r="H60" i="30" s="1"/>
  <c r="B58" i="30"/>
  <c r="H58" i="30" s="1"/>
  <c r="B57" i="30"/>
  <c r="H57" i="30" s="1"/>
  <c r="B59" i="30"/>
  <c r="H59" i="30" s="1"/>
  <c r="B67" i="30"/>
  <c r="H67" i="30" s="1"/>
  <c r="J50" i="30"/>
  <c r="B52" i="30" s="1"/>
  <c r="H52" i="30" s="1"/>
  <c r="J52" i="30" s="1"/>
  <c r="M38" i="30" s="1"/>
  <c r="Q38" i="30" s="1"/>
  <c r="H61" i="30"/>
  <c r="K12" i="19"/>
  <c r="H68" i="30" l="1"/>
  <c r="B68" i="30"/>
  <c r="S38" i="30"/>
  <c r="S40" i="30" s="1"/>
  <c r="D11" i="20"/>
  <c r="I19" i="4" s="1"/>
  <c r="M31" i="19"/>
  <c r="J68" i="30" l="1"/>
  <c r="B70" i="30" s="1"/>
  <c r="H70" i="30" s="1"/>
  <c r="J70" i="30" s="1"/>
  <c r="M56" i="30" s="1"/>
  <c r="Q56" i="30" s="1"/>
  <c r="S45" i="30"/>
  <c r="S42" i="30"/>
  <c r="S49" i="30"/>
  <c r="U38" i="30"/>
  <c r="M39" i="30" s="1"/>
  <c r="Q39" i="30" s="1"/>
  <c r="S44" i="30"/>
  <c r="S48" i="30"/>
  <c r="S43" i="30"/>
  <c r="S47" i="30"/>
  <c r="S41" i="30"/>
  <c r="S46" i="30"/>
  <c r="S39" i="30"/>
  <c r="M32" i="19"/>
  <c r="M33" i="19" s="1"/>
  <c r="M34" i="19" s="1"/>
  <c r="M35" i="19" s="1"/>
  <c r="M36" i="19" s="1"/>
  <c r="M37" i="19" s="1"/>
  <c r="M38" i="19" s="1"/>
  <c r="M39" i="19" s="1"/>
  <c r="M40" i="19" s="1"/>
  <c r="M41" i="19" s="1"/>
  <c r="M42" i="19" s="1"/>
  <c r="S56" i="30" l="1"/>
  <c r="S57" i="30" s="1"/>
  <c r="S58" i="30" s="1"/>
  <c r="S59" i="30" s="1"/>
  <c r="S60" i="30" s="1"/>
  <c r="S61" i="30" s="1"/>
  <c r="S62" i="30" s="1"/>
  <c r="S63" i="30" s="1"/>
  <c r="S64" i="30" s="1"/>
  <c r="S65" i="30" s="1"/>
  <c r="S66" i="30" s="1"/>
  <c r="S67" i="30" s="1"/>
  <c r="U39" i="30"/>
  <c r="M40" i="30" s="1"/>
  <c r="Q40" i="30" s="1"/>
  <c r="U40" i="30" s="1"/>
  <c r="M41" i="30" s="1"/>
  <c r="Q41" i="30" s="1"/>
  <c r="U41" i="30" s="1"/>
  <c r="M42" i="30" s="1"/>
  <c r="Q42" i="30" s="1"/>
  <c r="U42" i="30" s="1"/>
  <c r="M43" i="30" s="1"/>
  <c r="Q43" i="30" s="1"/>
  <c r="U43" i="30" s="1"/>
  <c r="M44" i="30" s="1"/>
  <c r="Q44" i="30" s="1"/>
  <c r="U44" i="30" s="1"/>
  <c r="M45" i="30" s="1"/>
  <c r="I48" i="19"/>
  <c r="G65" i="5" s="1"/>
  <c r="K48" i="19"/>
  <c r="G66" i="5" s="1"/>
  <c r="U56" i="30" l="1"/>
  <c r="M57" i="30" s="1"/>
  <c r="Q57" i="30" s="1"/>
  <c r="G68" i="5"/>
  <c r="G77" i="5" s="1"/>
  <c r="I65" i="5"/>
  <c r="I66" i="5"/>
  <c r="M66" i="5" s="1"/>
  <c r="Q45" i="30"/>
  <c r="U45" i="30" s="1"/>
  <c r="M46" i="30" s="1"/>
  <c r="M48" i="19"/>
  <c r="U57" i="30" l="1"/>
  <c r="M58" i="30" s="1"/>
  <c r="Q58" i="30" s="1"/>
  <c r="U58" i="30" s="1"/>
  <c r="M59" i="30" s="1"/>
  <c r="Q59" i="30" s="1"/>
  <c r="U59" i="30" s="1"/>
  <c r="M60" i="30" s="1"/>
  <c r="Q60" i="30" s="1"/>
  <c r="U60" i="30" s="1"/>
  <c r="M61" i="30" s="1"/>
  <c r="Q61" i="30" s="1"/>
  <c r="U61" i="30" s="1"/>
  <c r="M62" i="30" s="1"/>
  <c r="Q62" i="30" s="1"/>
  <c r="U62" i="30" s="1"/>
  <c r="M63" i="30" s="1"/>
  <c r="Q63" i="30" s="1"/>
  <c r="U63" i="30" s="1"/>
  <c r="M64" i="30" s="1"/>
  <c r="Q64" i="30" s="1"/>
  <c r="U64" i="30" s="1"/>
  <c r="M65" i="30" s="1"/>
  <c r="Q65" i="30" s="1"/>
  <c r="U65" i="30" s="1"/>
  <c r="M66" i="30" s="1"/>
  <c r="Q66" i="30" s="1"/>
  <c r="U66" i="30" s="1"/>
  <c r="M67" i="30" s="1"/>
  <c r="Q67" i="30" s="1"/>
  <c r="Q68" i="30" s="1"/>
  <c r="G26" i="28" s="1"/>
  <c r="G30" i="28" s="1"/>
  <c r="M65" i="5"/>
  <c r="M68" i="5" s="1"/>
  <c r="M77" i="5" s="1"/>
  <c r="J49" i="6" s="1"/>
  <c r="I68" i="5"/>
  <c r="I77" i="5" s="1"/>
  <c r="Q46" i="30"/>
  <c r="U46" i="30" s="1"/>
  <c r="M47" i="30" s="1"/>
  <c r="U67" i="30" l="1"/>
  <c r="F58" i="6"/>
  <c r="J58" i="6"/>
  <c r="J60" i="6" s="1"/>
  <c r="Q47" i="30"/>
  <c r="U47" i="30" s="1"/>
  <c r="M48" i="30" s="1"/>
  <c r="J63" i="6" l="1"/>
  <c r="I8" i="4" s="1"/>
  <c r="K8" i="4" s="1"/>
  <c r="Q48" i="30"/>
  <c r="U48" i="30" s="1"/>
  <c r="M49" i="30" s="1"/>
  <c r="Q49" i="30" l="1"/>
  <c r="Q50" i="30" s="1"/>
  <c r="G12" i="28" s="1"/>
  <c r="G16" i="28" s="1"/>
  <c r="U49" i="30" l="1"/>
  <c r="I12" i="4" l="1"/>
  <c r="I13" i="4" l="1"/>
  <c r="I23" i="4" s="1"/>
  <c r="I26" i="4" s="1"/>
  <c r="L19" i="31" s="1"/>
  <c r="K12" i="4"/>
  <c r="K13" i="4" s="1"/>
  <c r="K23" i="4" s="1"/>
  <c r="K26" i="4" s="1"/>
  <c r="L20" i="31" l="1"/>
  <c r="L16" i="31"/>
  <c r="L17" i="31"/>
  <c r="L21" i="31"/>
  <c r="L18" i="31"/>
  <c r="L22" i="31"/>
  <c r="I30" i="4"/>
  <c r="I32" i="4" s="1"/>
  <c r="L24" i="31"/>
  <c r="L26" i="31"/>
  <c r="L23" i="31"/>
  <c r="L25" i="31"/>
  <c r="K30" i="4"/>
  <c r="L27" i="31"/>
  <c r="I34" i="4" l="1"/>
  <c r="I38" i="4" s="1"/>
  <c r="I42" i="4" s="1"/>
  <c r="K32" i="4"/>
  <c r="K34" i="4"/>
  <c r="P18" i="31"/>
  <c r="R18" i="31" s="1"/>
  <c r="P22" i="31"/>
  <c r="R22" i="31" s="1"/>
  <c r="P21" i="31"/>
  <c r="R21" i="31" s="1"/>
  <c r="P20" i="31"/>
  <c r="R20" i="31" s="1"/>
  <c r="P19" i="31"/>
  <c r="R19" i="31" s="1"/>
  <c r="P17" i="31"/>
  <c r="R17" i="31" s="1"/>
  <c r="P16" i="31"/>
  <c r="R16" i="31" s="1"/>
  <c r="I37" i="4" l="1"/>
  <c r="I41" i="4" s="1"/>
  <c r="K37" i="4"/>
  <c r="K41" i="4" s="1"/>
  <c r="K38" i="4"/>
  <c r="K42" i="4" s="1"/>
  <c r="P27" i="31"/>
  <c r="R27" i="31" s="1"/>
  <c r="P23" i="31"/>
  <c r="R23" i="31" s="1"/>
  <c r="P26" i="31"/>
  <c r="R26" i="31" s="1"/>
  <c r="P24" i="31"/>
  <c r="R24" i="31" s="1"/>
  <c r="P25" i="31"/>
  <c r="R25" i="31" s="1"/>
  <c r="G21" i="27" l="1"/>
  <c r="G23" i="27" s="1"/>
  <c r="G25" i="27" s="1"/>
  <c r="B29" i="30" s="1"/>
  <c r="H29" i="30" s="1"/>
  <c r="R29" i="31"/>
  <c r="B24" i="30" l="1"/>
  <c r="H24" i="30" s="1"/>
  <c r="B25" i="30"/>
  <c r="H25" i="30" s="1"/>
  <c r="B26" i="30"/>
  <c r="H26" i="30" s="1"/>
  <c r="B30" i="30"/>
  <c r="H30" i="30" s="1"/>
  <c r="B28" i="30"/>
  <c r="H28" i="30" s="1"/>
  <c r="B27" i="30"/>
  <c r="H27" i="30" s="1"/>
  <c r="B20" i="30"/>
  <c r="H20" i="30" s="1"/>
  <c r="B21" i="30"/>
  <c r="H21" i="30" s="1"/>
  <c r="B31" i="30"/>
  <c r="H31" i="30" s="1"/>
  <c r="B22" i="30"/>
  <c r="H22" i="30" s="1"/>
  <c r="B23" i="30"/>
  <c r="H23" i="30" s="1"/>
  <c r="H32" i="30" l="1"/>
  <c r="B32" i="30"/>
  <c r="J32" i="30" l="1"/>
  <c r="B34" i="30" s="1"/>
  <c r="H34" i="30" s="1"/>
  <c r="J34" i="30" s="1"/>
  <c r="M20" i="30" s="1"/>
  <c r="S20" i="30" s="1"/>
  <c r="S21" i="30" s="1"/>
  <c r="S22" i="30" s="1"/>
  <c r="S23" i="30" s="1"/>
  <c r="S24" i="30" s="1"/>
  <c r="S25" i="30" s="1"/>
  <c r="S26" i="30" s="1"/>
  <c r="S27" i="30" s="1"/>
  <c r="S28" i="30" s="1"/>
  <c r="S29" i="30" s="1"/>
  <c r="S30" i="30" s="1"/>
  <c r="S31" i="30" s="1"/>
  <c r="Q20" i="30" l="1"/>
  <c r="U20" i="30" s="1"/>
  <c r="M21" i="30" s="1"/>
  <c r="Q21" i="30" s="1"/>
  <c r="U21" i="30" s="1"/>
  <c r="M22" i="30" s="1"/>
  <c r="Q22" i="30" s="1"/>
  <c r="U22" i="30" s="1"/>
  <c r="M23" i="30" s="1"/>
  <c r="Q23" i="30" s="1"/>
  <c r="U23" i="30" s="1"/>
  <c r="M24" i="30" s="1"/>
  <c r="Q24" i="30" s="1"/>
  <c r="U24" i="30" s="1"/>
  <c r="M25" i="30" s="1"/>
  <c r="Q25" i="30" s="1"/>
  <c r="U25" i="30" s="1"/>
  <c r="M26" i="30" s="1"/>
  <c r="Q26" i="30" s="1"/>
  <c r="U26" i="30" s="1"/>
  <c r="M27" i="30" s="1"/>
  <c r="Q27" i="30" s="1"/>
  <c r="U27" i="30" s="1"/>
  <c r="M28" i="30" s="1"/>
  <c r="Q28" i="30" s="1"/>
  <c r="U28" i="30" s="1"/>
  <c r="M29" i="30" s="1"/>
  <c r="Q29" i="30" s="1"/>
  <c r="U29" i="30" s="1"/>
  <c r="M30" i="30" s="1"/>
  <c r="Q30" i="30" s="1"/>
  <c r="U30" i="30" s="1"/>
  <c r="M31" i="30" s="1"/>
  <c r="Q31" i="30" s="1"/>
  <c r="Q32" i="30" s="1"/>
  <c r="G26" i="27" s="1"/>
  <c r="B25" i="31"/>
  <c r="B20" i="31"/>
  <c r="B19" i="31"/>
  <c r="B27" i="31"/>
  <c r="B18" i="31"/>
  <c r="B17" i="31"/>
  <c r="B24" i="31"/>
  <c r="B23" i="31"/>
  <c r="B21" i="31"/>
  <c r="B22" i="31"/>
  <c r="B26" i="31"/>
  <c r="J20" i="31"/>
  <c r="G20" i="31" s="1"/>
  <c r="J25" i="31"/>
  <c r="M25" i="31" s="1"/>
  <c r="N25" i="31" s="1"/>
  <c r="G25" i="31"/>
  <c r="J23" i="31"/>
  <c r="J17" i="31"/>
  <c r="G17" i="31" s="1"/>
  <c r="M17" i="31"/>
  <c r="N17" i="31" s="1"/>
  <c r="J21" i="31"/>
  <c r="G21" i="31" s="1"/>
  <c r="J27" i="31"/>
  <c r="G27" i="31" s="1"/>
  <c r="J19" i="31"/>
  <c r="G19" i="31" s="1"/>
  <c r="E29" i="31"/>
  <c r="E31" i="31" s="1"/>
  <c r="G28" i="27" s="1"/>
  <c r="J22" i="31"/>
  <c r="J26" i="31"/>
  <c r="J18" i="31"/>
  <c r="G18" i="31" s="1"/>
  <c r="J24" i="31"/>
  <c r="G24" i="31" s="1"/>
  <c r="J16" i="31"/>
  <c r="M19" i="31" l="1"/>
  <c r="N19" i="31" s="1"/>
  <c r="G30" i="27"/>
  <c r="U31" i="30"/>
  <c r="M24" i="31"/>
  <c r="N24" i="31" s="1"/>
  <c r="J29" i="31"/>
  <c r="J31" i="31" s="1"/>
  <c r="G14" i="27" s="1"/>
  <c r="M20" i="31"/>
  <c r="N20" i="31" s="1"/>
  <c r="M27" i="31"/>
  <c r="N27" i="31" s="1"/>
  <c r="M16" i="31"/>
  <c r="N16" i="31" s="1"/>
  <c r="M18" i="31"/>
  <c r="N18" i="31" s="1"/>
  <c r="M21" i="31"/>
  <c r="N21" i="31" s="1"/>
  <c r="G22" i="31"/>
  <c r="M22" i="31"/>
  <c r="N22" i="31" s="1"/>
  <c r="G23" i="31"/>
  <c r="M23" i="31"/>
  <c r="N23" i="31" s="1"/>
  <c r="M26" i="31"/>
  <c r="N26" i="31" s="1"/>
  <c r="G26" i="31"/>
  <c r="G16" i="31"/>
  <c r="N29" i="31" l="1"/>
  <c r="G9" i="27" s="1"/>
  <c r="G10" i="27" s="1"/>
  <c r="B5" i="30" s="1"/>
  <c r="H5" i="30" s="1"/>
  <c r="B6" i="30" l="1"/>
  <c r="H6" i="30" s="1"/>
  <c r="B7" i="30"/>
  <c r="H7" i="30" s="1"/>
  <c r="B13" i="30"/>
  <c r="H13" i="30" s="1"/>
  <c r="B14" i="30"/>
  <c r="H14" i="30" s="1"/>
  <c r="B10" i="30"/>
  <c r="H10" i="30" s="1"/>
  <c r="B11" i="30"/>
  <c r="H11" i="30" s="1"/>
  <c r="B4" i="30"/>
  <c r="H4" i="30" s="1"/>
  <c r="B12" i="30"/>
  <c r="H12" i="30" s="1"/>
  <c r="B3" i="30"/>
  <c r="H3" i="30" s="1"/>
  <c r="B8" i="30"/>
  <c r="H8" i="30" s="1"/>
  <c r="B9" i="30"/>
  <c r="H9" i="30" s="1"/>
  <c r="B15" i="30" l="1"/>
  <c r="H15" i="30"/>
  <c r="J15" i="30" l="1"/>
  <c r="B17" i="30" s="1"/>
  <c r="H17" i="30" s="1"/>
  <c r="J17" i="30" l="1"/>
  <c r="M3" i="30" s="1"/>
  <c r="Q3" i="30" l="1"/>
  <c r="S3" i="30"/>
  <c r="U3" i="30" l="1"/>
  <c r="M4" i="30" s="1"/>
  <c r="Q4" i="30" s="1"/>
  <c r="S6" i="30"/>
  <c r="S11" i="30"/>
  <c r="S10" i="30"/>
  <c r="S13" i="30"/>
  <c r="S14" i="30"/>
  <c r="S9" i="30"/>
  <c r="S8" i="30"/>
  <c r="S7" i="30"/>
  <c r="S5" i="30"/>
  <c r="S4" i="30"/>
  <c r="S12" i="30"/>
  <c r="U4" i="30" l="1"/>
  <c r="M5" i="30" s="1"/>
  <c r="Q5" i="30" s="1"/>
  <c r="U5" i="30" s="1"/>
  <c r="M6" i="30" s="1"/>
  <c r="Q6" i="30" l="1"/>
  <c r="U6" i="30" s="1"/>
  <c r="M7" i="30" s="1"/>
  <c r="Q7" i="30" l="1"/>
  <c r="U7" i="30" s="1"/>
  <c r="M8" i="30" s="1"/>
  <c r="Q8" i="30" l="1"/>
  <c r="U8" i="30" s="1"/>
  <c r="M9" i="30" s="1"/>
  <c r="Q9" i="30" l="1"/>
  <c r="U9" i="30" s="1"/>
  <c r="M10" i="30" s="1"/>
  <c r="Q10" i="30" l="1"/>
  <c r="U10" i="30" s="1"/>
  <c r="M11" i="30" s="1"/>
  <c r="Q11" i="30" l="1"/>
  <c r="U11" i="30" s="1"/>
  <c r="M12" i="30" s="1"/>
  <c r="Q12" i="30" l="1"/>
  <c r="U12" i="30" s="1"/>
  <c r="M13" i="30" s="1"/>
  <c r="Q13" i="30" l="1"/>
  <c r="U13" i="30" s="1"/>
  <c r="M14" i="30" s="1"/>
  <c r="Q14" i="30" l="1"/>
  <c r="Q15" i="30" s="1"/>
  <c r="G12" i="27" s="1"/>
  <c r="G16" i="27" s="1"/>
  <c r="U14" i="30" l="1"/>
</calcChain>
</file>

<file path=xl/comments1.xml><?xml version="1.0" encoding="utf-8"?>
<comments xmlns="http://schemas.openxmlformats.org/spreadsheetml/2006/main">
  <authors>
    <author>Blevins, Drew</author>
  </authors>
  <commentList>
    <comment ref="M5" authorId="0">
      <text>
        <r>
          <rPr>
            <b/>
            <sz val="9"/>
            <color indexed="81"/>
            <rFont val="Tahoma"/>
            <family val="2"/>
          </rPr>
          <t>Blevins, Drew:</t>
        </r>
        <r>
          <rPr>
            <sz val="9"/>
            <color indexed="81"/>
            <rFont val="Tahoma"/>
            <family val="2"/>
          </rPr>
          <t xml:space="preserve">
Asset Reclassification</t>
        </r>
      </text>
    </comment>
    <comment ref="M6" authorId="0">
      <text>
        <r>
          <rPr>
            <b/>
            <sz val="9"/>
            <color indexed="81"/>
            <rFont val="Tahoma"/>
            <family val="2"/>
          </rPr>
          <t>Blevins, Drew:</t>
        </r>
        <r>
          <rPr>
            <sz val="9"/>
            <color indexed="81"/>
            <rFont val="Tahoma"/>
            <family val="2"/>
          </rPr>
          <t xml:space="preserve">
Asset Reclassification</t>
        </r>
      </text>
    </comment>
    <comment ref="M11" authorId="0">
      <text>
        <r>
          <rPr>
            <b/>
            <sz val="9"/>
            <color indexed="81"/>
            <rFont val="Tahoma"/>
            <family val="2"/>
          </rPr>
          <t>Blevins, Drew:</t>
        </r>
        <r>
          <rPr>
            <sz val="9"/>
            <color indexed="81"/>
            <rFont val="Tahoma"/>
            <family val="2"/>
          </rPr>
          <t xml:space="preserve">
Asset Reclassification</t>
        </r>
      </text>
    </comment>
    <comment ref="M12" authorId="0">
      <text>
        <r>
          <rPr>
            <b/>
            <sz val="9"/>
            <color indexed="81"/>
            <rFont val="Tahoma"/>
            <family val="2"/>
          </rPr>
          <t>Blevins, Drew:</t>
        </r>
        <r>
          <rPr>
            <sz val="9"/>
            <color indexed="81"/>
            <rFont val="Tahoma"/>
            <family val="2"/>
          </rPr>
          <t xml:space="preserve">
Asset Reclassification</t>
        </r>
      </text>
    </comment>
    <comment ref="I15" authorId="0">
      <text>
        <r>
          <rPr>
            <b/>
            <sz val="9"/>
            <color indexed="81"/>
            <rFont val="Tahoma"/>
            <family val="2"/>
          </rPr>
          <t>Blevins, Drew:</t>
        </r>
        <r>
          <rPr>
            <sz val="9"/>
            <color indexed="81"/>
            <rFont val="Tahoma"/>
            <family val="2"/>
          </rPr>
          <t xml:space="preserve">
No CTA Def Tax</t>
        </r>
      </text>
    </comment>
    <comment ref="M15" authorId="0">
      <text>
        <r>
          <rPr>
            <b/>
            <sz val="9"/>
            <color indexed="81"/>
            <rFont val="Tahoma"/>
            <family val="2"/>
          </rPr>
          <t>Blevins, Drew:</t>
        </r>
        <r>
          <rPr>
            <sz val="9"/>
            <color indexed="81"/>
            <rFont val="Tahoma"/>
            <family val="2"/>
          </rPr>
          <t xml:space="preserve">
Federal tax rate change. No CTA Def Tax</t>
        </r>
      </text>
    </comment>
    <comment ref="G16" authorId="0">
      <text>
        <r>
          <rPr>
            <b/>
            <sz val="9"/>
            <color indexed="81"/>
            <rFont val="Tahoma"/>
            <family val="2"/>
          </rPr>
          <t>Blevins, Drew:</t>
        </r>
        <r>
          <rPr>
            <sz val="9"/>
            <color indexed="81"/>
            <rFont val="Tahoma"/>
            <family val="2"/>
          </rPr>
          <t xml:space="preserve">
No balance CY or PY for acct 281 on pp 272-273</t>
        </r>
      </text>
    </comment>
    <comment ref="K16" authorId="0">
      <text>
        <r>
          <rPr>
            <b/>
            <sz val="9"/>
            <color indexed="81"/>
            <rFont val="Tahoma"/>
            <family val="2"/>
          </rPr>
          <t>Blevins, Drew:</t>
        </r>
        <r>
          <rPr>
            <sz val="9"/>
            <color indexed="81"/>
            <rFont val="Tahoma"/>
            <family val="2"/>
          </rPr>
          <t xml:space="preserve">
No balance CY or PY for acct 281 on pp 272-273</t>
        </r>
      </text>
    </comment>
    <comment ref="M17" authorId="0">
      <text>
        <r>
          <rPr>
            <b/>
            <sz val="9"/>
            <color indexed="81"/>
            <rFont val="Tahoma"/>
            <charset val="1"/>
          </rPr>
          <t>Blevins, Drew:</t>
        </r>
        <r>
          <rPr>
            <sz val="9"/>
            <color indexed="81"/>
            <rFont val="Tahoma"/>
            <charset val="1"/>
          </rPr>
          <t xml:space="preserve">
Federal tax rate change</t>
        </r>
      </text>
    </comment>
    <comment ref="M18" authorId="0">
      <text>
        <r>
          <rPr>
            <b/>
            <sz val="9"/>
            <color indexed="81"/>
            <rFont val="Tahoma"/>
            <charset val="1"/>
          </rPr>
          <t>Blevins, Drew:</t>
        </r>
        <r>
          <rPr>
            <sz val="9"/>
            <color indexed="81"/>
            <rFont val="Tahoma"/>
            <charset val="1"/>
          </rPr>
          <t xml:space="preserve">
Federal tax rate change</t>
        </r>
      </text>
    </comment>
    <comment ref="I22" authorId="0">
      <text>
        <r>
          <rPr>
            <b/>
            <sz val="9"/>
            <color indexed="81"/>
            <rFont val="Tahoma"/>
            <family val="2"/>
          </rPr>
          <t>Blevins, Drew:</t>
        </r>
        <r>
          <rPr>
            <sz val="9"/>
            <color indexed="81"/>
            <rFont val="Tahoma"/>
            <family val="2"/>
          </rPr>
          <t xml:space="preserve">
50% of 44kv per 2016 OATT settlement</t>
        </r>
      </text>
    </comment>
    <comment ref="M24" authorId="0">
      <text>
        <r>
          <rPr>
            <b/>
            <sz val="9"/>
            <color indexed="81"/>
            <rFont val="Tahoma"/>
            <charset val="1"/>
          </rPr>
          <t>Blevins, Drew:</t>
        </r>
        <r>
          <rPr>
            <sz val="9"/>
            <color indexed="81"/>
            <rFont val="Tahoma"/>
            <charset val="1"/>
          </rPr>
          <t xml:space="preserve">
Remove Customer owned facilities (Summary Ln 6)</t>
        </r>
      </text>
    </comment>
    <comment ref="M30" authorId="0">
      <text>
        <r>
          <rPr>
            <b/>
            <sz val="9"/>
            <color indexed="81"/>
            <rFont val="Tahoma"/>
            <charset val="1"/>
          </rPr>
          <t>Blevins, Drew:</t>
        </r>
        <r>
          <rPr>
            <sz val="9"/>
            <color indexed="81"/>
            <rFont val="Tahoma"/>
            <charset val="1"/>
          </rPr>
          <t xml:space="preserve">
zero out 561.6 and 561.7 for studies</t>
        </r>
      </text>
    </comment>
    <comment ref="M31" authorId="0">
      <text>
        <r>
          <rPr>
            <b/>
            <sz val="9"/>
            <color indexed="81"/>
            <rFont val="Tahoma"/>
            <charset val="1"/>
          </rPr>
          <t>Blevins, Drew:</t>
        </r>
        <r>
          <rPr>
            <sz val="9"/>
            <color indexed="81"/>
            <rFont val="Tahoma"/>
            <charset val="1"/>
          </rPr>
          <t xml:space="preserve">
zero out 561.6 and 561.7 for studies</t>
        </r>
      </text>
    </comment>
    <comment ref="D33" authorId="0">
      <text>
        <r>
          <rPr>
            <b/>
            <sz val="9"/>
            <color indexed="81"/>
            <rFont val="Tahoma"/>
            <family val="2"/>
          </rPr>
          <t>Blevins, Drew:</t>
        </r>
        <r>
          <rPr>
            <sz val="9"/>
            <color indexed="81"/>
            <rFont val="Tahoma"/>
            <family val="2"/>
          </rPr>
          <t xml:space="preserve">
line 197 total incl lines 185, 189 and 191</t>
        </r>
      </text>
    </comment>
    <comment ref="I33" authorId="0">
      <text>
        <r>
          <rPr>
            <b/>
            <sz val="9"/>
            <color indexed="81"/>
            <rFont val="Tahoma"/>
            <family val="2"/>
          </rPr>
          <t>Blevins, Drew:</t>
        </r>
        <r>
          <rPr>
            <sz val="9"/>
            <color indexed="81"/>
            <rFont val="Tahoma"/>
            <family val="2"/>
          </rPr>
          <t xml:space="preserve">
FERC Labor Audit 239,862. DOJ 2,195,617. ATL 37,486. ATL 18,034,939. ATL 701,885. ATL 193,544. ATL 3,532,922. ATL 1,897. ATL 26,290. ATL 1,368,000</t>
        </r>
      </text>
    </comment>
    <comment ref="M33" authorId="0">
      <text>
        <r>
          <rPr>
            <b/>
            <sz val="9"/>
            <color indexed="81"/>
            <rFont val="Tahoma"/>
            <family val="2"/>
          </rPr>
          <t>Blevins, Drew:</t>
        </r>
        <r>
          <rPr>
            <sz val="9"/>
            <color indexed="81"/>
            <rFont val="Tahoma"/>
            <family val="2"/>
          </rPr>
          <t xml:space="preserve">
Project Hawaii $210,216.72; FERC Labor Audit $1,865.50; DOJ $1,923,019.75; ATL $5,772,352.93; ATL $5,439,844.25; ATL $267,083.13; ATL $44,644.15; ATL $113,377.56; ATL $16,513.18; ATL $26,798.00</t>
        </r>
      </text>
    </comment>
    <comment ref="D34" authorId="0">
      <text>
        <r>
          <rPr>
            <b/>
            <sz val="9"/>
            <color indexed="81"/>
            <rFont val="Tahoma"/>
            <family val="2"/>
          </rPr>
          <t>Blevins, Drew:</t>
        </r>
        <r>
          <rPr>
            <sz val="9"/>
            <color indexed="81"/>
            <rFont val="Tahoma"/>
            <family val="2"/>
          </rPr>
          <t xml:space="preserve">
924</t>
        </r>
      </text>
    </comment>
    <comment ref="D35" authorId="0">
      <text>
        <r>
          <rPr>
            <b/>
            <sz val="9"/>
            <color indexed="81"/>
            <rFont val="Tahoma"/>
            <family val="2"/>
          </rPr>
          <t>Blevins, Drew:</t>
        </r>
        <r>
          <rPr>
            <sz val="9"/>
            <color indexed="81"/>
            <rFont val="Tahoma"/>
            <family val="2"/>
          </rPr>
          <t xml:space="preserve">
928</t>
        </r>
      </text>
    </comment>
    <comment ref="I35" authorId="0">
      <text>
        <r>
          <rPr>
            <b/>
            <sz val="9"/>
            <color indexed="81"/>
            <rFont val="Tahoma"/>
            <family val="2"/>
          </rPr>
          <t>Blevins, Drew:</t>
        </r>
        <r>
          <rPr>
            <sz val="9"/>
            <color indexed="81"/>
            <rFont val="Tahoma"/>
            <family val="2"/>
          </rPr>
          <t xml:space="preserve">
ATL 701,885</t>
        </r>
      </text>
    </comment>
    <comment ref="D36" authorId="0">
      <text>
        <r>
          <rPr>
            <b/>
            <sz val="9"/>
            <color indexed="81"/>
            <rFont val="Tahoma"/>
            <family val="2"/>
          </rPr>
          <t>Blevins, Drew:</t>
        </r>
        <r>
          <rPr>
            <sz val="9"/>
            <color indexed="81"/>
            <rFont val="Tahoma"/>
            <family val="2"/>
          </rPr>
          <t xml:space="preserve">
930.1</t>
        </r>
      </text>
    </comment>
    <comment ref="I36" authorId="0">
      <text>
        <r>
          <rPr>
            <b/>
            <sz val="9"/>
            <color indexed="81"/>
            <rFont val="Tahoma"/>
            <family val="2"/>
          </rPr>
          <t>Blevins, Drew:</t>
        </r>
        <r>
          <rPr>
            <sz val="9"/>
            <color indexed="81"/>
            <rFont val="Tahoma"/>
            <family val="2"/>
          </rPr>
          <t xml:space="preserve">
ATL 3,532,922</t>
        </r>
      </text>
    </comment>
    <comment ref="M36" authorId="0">
      <text>
        <r>
          <rPr>
            <b/>
            <sz val="9"/>
            <color indexed="81"/>
            <rFont val="Tahoma"/>
            <charset val="1"/>
          </rPr>
          <t>Blevins, Drew:</t>
        </r>
        <r>
          <rPr>
            <sz val="9"/>
            <color indexed="81"/>
            <rFont val="Tahoma"/>
            <charset val="1"/>
          </rPr>
          <t xml:space="preserve">
ATL $5,439,844.25</t>
        </r>
      </text>
    </comment>
    <comment ref="D37" authorId="0">
      <text>
        <r>
          <rPr>
            <b/>
            <sz val="9"/>
            <color indexed="81"/>
            <rFont val="Tahoma"/>
            <family val="2"/>
          </rPr>
          <t>Blevins, Drew:</t>
        </r>
        <r>
          <rPr>
            <sz val="9"/>
            <color indexed="81"/>
            <rFont val="Tahoma"/>
            <family val="2"/>
          </rPr>
          <t xml:space="preserve">
line #s will change from year to year since this page is blank and a list is keyed in; 2015 lines: 1-3</t>
        </r>
      </text>
    </comment>
    <comment ref="D38" authorId="0">
      <text>
        <r>
          <rPr>
            <b/>
            <sz val="9"/>
            <color indexed="81"/>
            <rFont val="Tahoma"/>
            <family val="2"/>
          </rPr>
          <t>Blevins, Drew:</t>
        </r>
        <r>
          <rPr>
            <sz val="9"/>
            <color indexed="81"/>
            <rFont val="Tahoma"/>
            <family val="2"/>
          </rPr>
          <t xml:space="preserve">
2015 line 18</t>
        </r>
      </text>
    </comment>
    <comment ref="M39" authorId="0">
      <text>
        <r>
          <rPr>
            <b/>
            <sz val="9"/>
            <color indexed="81"/>
            <rFont val="Tahoma"/>
            <family val="2"/>
          </rPr>
          <t>Blevins, Drew:</t>
        </r>
        <r>
          <rPr>
            <sz val="9"/>
            <color indexed="81"/>
            <rFont val="Tahoma"/>
            <family val="2"/>
          </rPr>
          <t xml:space="preserve">
$73,292.62 Asset Reclassification; $7,103.36 ATL</t>
        </r>
      </text>
    </comment>
    <comment ref="D42" authorId="0">
      <text>
        <r>
          <rPr>
            <b/>
            <sz val="9"/>
            <color indexed="81"/>
            <rFont val="Tahoma"/>
            <family val="2"/>
          </rPr>
          <t>Blevins, Drew:</t>
        </r>
        <r>
          <rPr>
            <sz val="9"/>
            <color indexed="81"/>
            <rFont val="Tahoma"/>
            <family val="2"/>
          </rPr>
          <t xml:space="preserve">
Line #s can change each year; 2017 lines:
5,17,27-33,37,38</t>
        </r>
      </text>
    </comment>
    <comment ref="I42" authorId="0">
      <text>
        <r>
          <rPr>
            <b/>
            <sz val="9"/>
            <color indexed="81"/>
            <rFont val="Tahoma"/>
            <family val="2"/>
          </rPr>
          <t>Blevins, Drew:</t>
        </r>
        <r>
          <rPr>
            <sz val="9"/>
            <color indexed="81"/>
            <rFont val="Tahoma"/>
            <family val="2"/>
          </rPr>
          <t xml:space="preserve">
DOJ 27,388. Payroll Tax FERC Audit 21,088. ATL 9,435</t>
        </r>
      </text>
    </comment>
    <comment ref="M42" authorId="0">
      <text>
        <r>
          <rPr>
            <b/>
            <sz val="9"/>
            <color indexed="81"/>
            <rFont val="Tahoma"/>
            <charset val="1"/>
          </rPr>
          <t>Blevins, Drew:</t>
        </r>
        <r>
          <rPr>
            <sz val="9"/>
            <color indexed="81"/>
            <rFont val="Tahoma"/>
            <charset val="1"/>
          </rPr>
          <t xml:space="preserve">
DOJ $32,585.78; ATL $1,118.78; ATL $5,242.75</t>
        </r>
      </text>
    </comment>
    <comment ref="D43" authorId="0">
      <text>
        <r>
          <rPr>
            <b/>
            <sz val="9"/>
            <color indexed="81"/>
            <rFont val="Tahoma"/>
            <family val="2"/>
          </rPr>
          <t>Blevins, Drew:</t>
        </r>
        <r>
          <rPr>
            <sz val="9"/>
            <color indexed="81"/>
            <rFont val="Tahoma"/>
            <family val="2"/>
          </rPr>
          <t xml:space="preserve">
Line #s can change each year; 2017 lines: 10,23,39</t>
        </r>
      </text>
    </comment>
    <comment ref="I43" authorId="0">
      <text>
        <r>
          <rPr>
            <b/>
            <sz val="9"/>
            <color indexed="81"/>
            <rFont val="Tahoma"/>
            <family val="2"/>
          </rPr>
          <t>Blevins, Drew:</t>
        </r>
        <r>
          <rPr>
            <sz val="9"/>
            <color indexed="81"/>
            <rFont val="Tahoma"/>
            <family val="2"/>
          </rPr>
          <t xml:space="preserve">
ATL 132,928. ATL 193,370.</t>
        </r>
      </text>
    </comment>
    <comment ref="M43" authorId="0">
      <text>
        <r>
          <rPr>
            <b/>
            <sz val="9"/>
            <color indexed="81"/>
            <rFont val="Tahoma"/>
            <charset val="1"/>
          </rPr>
          <t>Blevins, Drew:</t>
        </r>
        <r>
          <rPr>
            <sz val="9"/>
            <color indexed="81"/>
            <rFont val="Tahoma"/>
            <charset val="1"/>
          </rPr>
          <t xml:space="preserve">
ATL 194,255.64</t>
        </r>
      </text>
    </comment>
    <comment ref="I45" authorId="0">
      <text>
        <r>
          <rPr>
            <b/>
            <sz val="9"/>
            <color indexed="81"/>
            <rFont val="Tahoma"/>
            <family val="2"/>
          </rPr>
          <t>Blevins, Drew:</t>
        </r>
        <r>
          <rPr>
            <sz val="9"/>
            <color indexed="81"/>
            <rFont val="Tahoma"/>
            <family val="2"/>
          </rPr>
          <t xml:space="preserve">
FERC Labor Audit 340,727</t>
        </r>
      </text>
    </comment>
    <comment ref="M45" authorId="0">
      <text>
        <r>
          <rPr>
            <b/>
            <sz val="9"/>
            <color indexed="81"/>
            <rFont val="Tahoma"/>
            <family val="2"/>
          </rPr>
          <t>Blevins, Drew:</t>
        </r>
        <r>
          <rPr>
            <sz val="9"/>
            <color indexed="81"/>
            <rFont val="Tahoma"/>
            <family val="2"/>
          </rPr>
          <t xml:space="preserve">
FERC Labor Audit 1,866</t>
        </r>
      </text>
    </comment>
  </commentList>
</comments>
</file>

<file path=xl/comments10.xml><?xml version="1.0" encoding="utf-8"?>
<comments xmlns="http://schemas.openxmlformats.org/spreadsheetml/2006/main">
  <authors>
    <author>Blevins, Drew</author>
  </authors>
  <commentList>
    <comment ref="B14" authorId="0">
      <text>
        <r>
          <rPr>
            <b/>
            <sz val="9"/>
            <color indexed="81"/>
            <rFont val="Tahoma"/>
            <family val="2"/>
          </rPr>
          <t>Blevins, Drew:</t>
        </r>
        <r>
          <rPr>
            <sz val="9"/>
            <color indexed="81"/>
            <rFont val="Tahoma"/>
            <family val="2"/>
          </rPr>
          <t xml:space="preserve">
Since these accounts are immaterial, transient in nature and are mostly offset by customer payments, we are electing to change the values for both Acct 561.6 and 561.7 to zero both this year and in future years thus removing their impact on the OATT .
</t>
        </r>
      </text>
    </comment>
    <comment ref="B15" authorId="0">
      <text>
        <r>
          <rPr>
            <b/>
            <sz val="9"/>
            <color indexed="81"/>
            <rFont val="Tahoma"/>
            <family val="2"/>
          </rPr>
          <t>Blevins, Drew:</t>
        </r>
        <r>
          <rPr>
            <sz val="9"/>
            <color indexed="81"/>
            <rFont val="Tahoma"/>
            <family val="2"/>
          </rPr>
          <t xml:space="preserve">
Since these accounts are immaterial, transient in nature and are mostly offset by customer payments, we are electing to change the values for both Acct 561.6 and 561.7 to zero both this year and in future years thus removing their impact on the OATT .
</t>
        </r>
      </text>
    </comment>
  </commentList>
</comments>
</file>

<file path=xl/comments2.xml><?xml version="1.0" encoding="utf-8"?>
<comments xmlns="http://schemas.openxmlformats.org/spreadsheetml/2006/main">
  <authors>
    <author>Blevins, Drew</author>
  </authors>
  <commentList>
    <comment ref="I17" authorId="0">
      <text>
        <r>
          <rPr>
            <b/>
            <sz val="9"/>
            <color indexed="81"/>
            <rFont val="Tahoma"/>
            <family val="2"/>
          </rPr>
          <t>Blevins, Drew:</t>
        </r>
        <r>
          <rPr>
            <sz val="9"/>
            <color indexed="81"/>
            <rFont val="Tahoma"/>
            <family val="2"/>
          </rPr>
          <t xml:space="preserve">
Query</t>
        </r>
      </text>
    </comment>
    <comment ref="K17" authorId="0">
      <text>
        <r>
          <rPr>
            <b/>
            <sz val="9"/>
            <color indexed="81"/>
            <rFont val="Tahoma"/>
            <family val="2"/>
          </rPr>
          <t>Blevins, Drew:</t>
        </r>
        <r>
          <rPr>
            <sz val="9"/>
            <color indexed="81"/>
            <rFont val="Tahoma"/>
            <family val="2"/>
          </rPr>
          <t xml:space="preserve">
Query</t>
        </r>
      </text>
    </comment>
  </commentList>
</comments>
</file>

<file path=xl/comments3.xml><?xml version="1.0" encoding="utf-8"?>
<comments xmlns="http://schemas.openxmlformats.org/spreadsheetml/2006/main">
  <authors>
    <author>Blevins, Drew</author>
  </authors>
  <commentList>
    <comment ref="F32" authorId="0">
      <text>
        <r>
          <rPr>
            <b/>
            <sz val="9"/>
            <color indexed="81"/>
            <rFont val="Tahoma"/>
            <family val="2"/>
          </rPr>
          <t>Blevins, Drew:</t>
        </r>
        <r>
          <rPr>
            <sz val="9"/>
            <color indexed="81"/>
            <rFont val="Tahoma"/>
            <family val="2"/>
          </rPr>
          <t xml:space="preserve">
Cell G32 PY Rate Base Tab</t>
        </r>
      </text>
    </comment>
    <comment ref="F59" authorId="0">
      <text>
        <r>
          <rPr>
            <b/>
            <sz val="9"/>
            <color indexed="81"/>
            <rFont val="Tahoma"/>
            <family val="2"/>
          </rPr>
          <t>Blevins, Drew:</t>
        </r>
        <r>
          <rPr>
            <sz val="9"/>
            <color indexed="81"/>
            <rFont val="Tahoma"/>
            <family val="2"/>
          </rPr>
          <t xml:space="preserve">
cell G59 PY Rate Base Tab</t>
        </r>
      </text>
    </comment>
    <comment ref="L61" authorId="0">
      <text>
        <r>
          <rPr>
            <b/>
            <sz val="9"/>
            <color indexed="81"/>
            <rFont val="Tahoma"/>
            <family val="2"/>
          </rPr>
          <t>Blevins, Drew:</t>
        </r>
        <r>
          <rPr>
            <sz val="9"/>
            <color indexed="81"/>
            <rFont val="Tahoma"/>
            <family val="2"/>
          </rPr>
          <t xml:space="preserve">
Half year convention for CWIP - leave this amount</t>
        </r>
      </text>
    </comment>
    <comment ref="L65" authorId="0">
      <text>
        <r>
          <rPr>
            <b/>
            <sz val="9"/>
            <color indexed="81"/>
            <rFont val="Tahoma"/>
            <family val="2"/>
          </rPr>
          <t>Blevins, Drew:</t>
        </r>
        <r>
          <rPr>
            <sz val="9"/>
            <color indexed="81"/>
            <rFont val="Tahoma"/>
            <family val="2"/>
          </rPr>
          <t xml:space="preserve">
Leave this as -1</t>
        </r>
      </text>
    </comment>
    <comment ref="L66" authorId="0">
      <text>
        <r>
          <rPr>
            <b/>
            <sz val="9"/>
            <color indexed="81"/>
            <rFont val="Tahoma"/>
            <family val="2"/>
          </rPr>
          <t>Blevins, Drew:</t>
        </r>
        <r>
          <rPr>
            <sz val="9"/>
            <color indexed="81"/>
            <rFont val="Tahoma"/>
            <family val="2"/>
          </rPr>
          <t xml:space="preserve">
Leave this as 1</t>
        </r>
      </text>
    </comment>
    <comment ref="L67" authorId="0">
      <text>
        <r>
          <rPr>
            <b/>
            <sz val="9"/>
            <color indexed="81"/>
            <rFont val="Tahoma"/>
            <family val="2"/>
          </rPr>
          <t>Blevins, Drew:</t>
        </r>
        <r>
          <rPr>
            <sz val="9"/>
            <color indexed="81"/>
            <rFont val="Tahoma"/>
            <family val="2"/>
          </rPr>
          <t xml:space="preserve">
Leave this as 1</t>
        </r>
      </text>
    </comment>
    <comment ref="F71" authorId="0">
      <text>
        <r>
          <rPr>
            <b/>
            <sz val="9"/>
            <color indexed="81"/>
            <rFont val="Tahoma"/>
            <family val="2"/>
          </rPr>
          <t>Blevins, Drew:</t>
        </r>
        <r>
          <rPr>
            <sz val="9"/>
            <color indexed="81"/>
            <rFont val="Tahoma"/>
            <family val="2"/>
          </rPr>
          <t xml:space="preserve">
cell G71 PY Rate Base Tab edited with details</t>
        </r>
      </text>
    </comment>
  </commentList>
</comments>
</file>

<file path=xl/comments4.xml><?xml version="1.0" encoding="utf-8"?>
<comments xmlns="http://schemas.openxmlformats.org/spreadsheetml/2006/main">
  <authors>
    <author>West, Jeanette N</author>
  </authors>
  <commentList>
    <comment ref="F33" authorId="0">
      <text>
        <r>
          <rPr>
            <b/>
            <sz val="9"/>
            <color indexed="81"/>
            <rFont val="Tahoma"/>
            <family val="2"/>
          </rPr>
          <t>West, Jeanette N:</t>
        </r>
        <r>
          <rPr>
            <sz val="9"/>
            <color indexed="81"/>
            <rFont val="Tahoma"/>
            <family val="2"/>
          </rPr>
          <t xml:space="preserve">
update formula to the appropriate column from Att P each year</t>
        </r>
      </text>
    </comment>
  </commentList>
</comments>
</file>

<file path=xl/comments5.xml><?xml version="1.0" encoding="utf-8"?>
<comments xmlns="http://schemas.openxmlformats.org/spreadsheetml/2006/main">
  <authors>
    <author>Haskett, Tim</author>
    <author>Blevins, Drew</author>
  </authors>
  <commentList>
    <comment ref="G9" authorId="0">
      <text>
        <r>
          <rPr>
            <b/>
            <sz val="9"/>
            <color indexed="81"/>
            <rFont val="Tahoma"/>
            <family val="2"/>
          </rPr>
          <t>Haskett, Tim:</t>
        </r>
        <r>
          <rPr>
            <sz val="9"/>
            <color indexed="81"/>
            <rFont val="Tahoma"/>
            <family val="2"/>
          </rPr>
          <t xml:space="preserve">
Always review for Interconnect Facilities/GSUs that have retired or been reimbursed by a 3rd party generator owner in the current Form 1 year.</t>
        </r>
      </text>
    </comment>
    <comment ref="D41" authorId="1">
      <text>
        <r>
          <rPr>
            <b/>
            <sz val="9"/>
            <color indexed="81"/>
            <rFont val="Tahoma"/>
            <family val="2"/>
          </rPr>
          <t>Blevins, Drew:</t>
        </r>
        <r>
          <rPr>
            <sz val="9"/>
            <color indexed="81"/>
            <rFont val="Tahoma"/>
            <family val="2"/>
          </rPr>
          <t xml:space="preserve">
Note V</t>
        </r>
      </text>
    </comment>
    <comment ref="E41" authorId="1">
      <text>
        <r>
          <rPr>
            <b/>
            <sz val="9"/>
            <color indexed="81"/>
            <rFont val="Tahoma"/>
            <family val="2"/>
          </rPr>
          <t>Blevins, Drew:</t>
        </r>
        <r>
          <rPr>
            <sz val="9"/>
            <color indexed="81"/>
            <rFont val="Tahoma"/>
            <family val="2"/>
          </rPr>
          <t xml:space="preserve">
Per ROE Settlement</t>
        </r>
      </text>
    </comment>
  </commentList>
</comments>
</file>

<file path=xl/comments6.xml><?xml version="1.0" encoding="utf-8"?>
<comments xmlns="http://schemas.openxmlformats.org/spreadsheetml/2006/main">
  <authors>
    <author>Blevins, Drew</author>
  </authors>
  <commentList>
    <comment ref="B25" authorId="0">
      <text>
        <r>
          <rPr>
            <b/>
            <sz val="9"/>
            <color indexed="81"/>
            <rFont val="Tahoma"/>
            <family val="2"/>
          </rPr>
          <t>Blevins, Drew:</t>
        </r>
        <r>
          <rPr>
            <sz val="9"/>
            <color indexed="81"/>
            <rFont val="Tahoma"/>
            <family val="2"/>
          </rPr>
          <t xml:space="preserve">
No CTA Def Tax in 2016</t>
        </r>
      </text>
    </comment>
    <comment ref="C25" authorId="0">
      <text>
        <r>
          <rPr>
            <b/>
            <sz val="9"/>
            <color indexed="81"/>
            <rFont val="Tahoma"/>
            <family val="2"/>
          </rPr>
          <t>Blevins, Drew:</t>
        </r>
        <r>
          <rPr>
            <sz val="9"/>
            <color indexed="81"/>
            <rFont val="Tahoma"/>
            <family val="2"/>
          </rPr>
          <t xml:space="preserve">
No CTA Def Tax in 2016</t>
        </r>
      </text>
    </comment>
  </commentList>
</comments>
</file>

<file path=xl/comments7.xml><?xml version="1.0" encoding="utf-8"?>
<comments xmlns="http://schemas.openxmlformats.org/spreadsheetml/2006/main">
  <authors>
    <author>Collis, Steve</author>
  </authors>
  <commentList>
    <comment ref="B19" authorId="0">
      <text>
        <r>
          <rPr>
            <b/>
            <sz val="9"/>
            <color indexed="81"/>
            <rFont val="Tahoma"/>
            <family val="2"/>
          </rPr>
          <t>Collis, Steve:</t>
        </r>
        <r>
          <rPr>
            <sz val="9"/>
            <color indexed="81"/>
            <rFont val="Tahoma"/>
            <family val="2"/>
          </rPr>
          <t xml:space="preserve">
CTA Adjustment per CTA Deferred Income Taxes Schedule
</t>
        </r>
      </text>
    </comment>
    <comment ref="C19" authorId="0">
      <text>
        <r>
          <rPr>
            <b/>
            <sz val="9"/>
            <color indexed="81"/>
            <rFont val="Tahoma"/>
            <family val="2"/>
          </rPr>
          <t>Collis, Steve:</t>
        </r>
        <r>
          <rPr>
            <sz val="9"/>
            <color indexed="81"/>
            <rFont val="Tahoma"/>
            <family val="2"/>
          </rPr>
          <t xml:space="preserve">
CTA Adjustment per CTA Deferred Income Taxes Schedule
</t>
        </r>
      </text>
    </comment>
  </commentList>
</comments>
</file>

<file path=xl/comments8.xml><?xml version="1.0" encoding="utf-8"?>
<comments xmlns="http://schemas.openxmlformats.org/spreadsheetml/2006/main">
  <authors>
    <author>Blevins, Drew</author>
  </authors>
  <commentList>
    <comment ref="G13" authorId="0">
      <text>
        <r>
          <rPr>
            <b/>
            <sz val="9"/>
            <color indexed="81"/>
            <rFont val="Tahoma"/>
            <family val="2"/>
          </rPr>
          <t>Blevins, Drew:</t>
        </r>
        <r>
          <rPr>
            <sz val="9"/>
            <color indexed="81"/>
            <rFont val="Tahoma"/>
            <family val="2"/>
          </rPr>
          <t xml:space="preserve">
Attachment H Line 21</t>
        </r>
      </text>
    </comment>
  </commentList>
</comments>
</file>

<file path=xl/comments9.xml><?xml version="1.0" encoding="utf-8"?>
<comments xmlns="http://schemas.openxmlformats.org/spreadsheetml/2006/main">
  <authors>
    <author>Blevins, Drew</author>
  </authors>
  <commentList>
    <comment ref="D7" authorId="0">
      <text>
        <r>
          <rPr>
            <b/>
            <sz val="9"/>
            <color indexed="81"/>
            <rFont val="Tahoma"/>
            <family val="2"/>
          </rPr>
          <t>Blevins, Drew:</t>
        </r>
        <r>
          <rPr>
            <sz val="9"/>
            <color indexed="81"/>
            <rFont val="Tahoma"/>
            <family val="2"/>
          </rPr>
          <t xml:space="preserve">
Remains same</t>
        </r>
      </text>
    </comment>
    <comment ref="D11" authorId="0">
      <text>
        <r>
          <rPr>
            <b/>
            <sz val="9"/>
            <color indexed="81"/>
            <rFont val="Tahoma"/>
            <family val="2"/>
          </rPr>
          <t>Blevins, Drew:</t>
        </r>
        <r>
          <rPr>
            <sz val="9"/>
            <color indexed="81"/>
            <rFont val="Tahoma"/>
            <family val="2"/>
          </rPr>
          <t xml:space="preserve">
2010 thru 2016 (data years)  7 yrs amortization</t>
        </r>
      </text>
    </comment>
    <comment ref="E22" authorId="0">
      <text>
        <r>
          <rPr>
            <b/>
            <sz val="9"/>
            <color indexed="81"/>
            <rFont val="Tahoma"/>
            <charset val="1"/>
          </rPr>
          <t>Blevins, Drew:</t>
        </r>
        <r>
          <rPr>
            <sz val="9"/>
            <color indexed="81"/>
            <rFont val="Tahoma"/>
            <charset val="1"/>
          </rPr>
          <t xml:space="preserve">
per Ann Warren 4/27 email counter offer</t>
        </r>
      </text>
    </comment>
  </commentList>
</comments>
</file>

<file path=xl/sharedStrings.xml><?xml version="1.0" encoding="utf-8"?>
<sst xmlns="http://schemas.openxmlformats.org/spreadsheetml/2006/main" count="2867" uniqueCount="1360">
  <si>
    <t>Duke Energy Carolinas, LLC</t>
  </si>
  <si>
    <t>Development of Rate Base</t>
  </si>
  <si>
    <t xml:space="preserve">Line </t>
  </si>
  <si>
    <t>Rate Base:</t>
  </si>
  <si>
    <t>Reference</t>
  </si>
  <si>
    <t xml:space="preserve">Total </t>
  </si>
  <si>
    <t>Allocator</t>
  </si>
  <si>
    <t xml:space="preserve">OATT </t>
  </si>
  <si>
    <t>Total Gross Plant</t>
  </si>
  <si>
    <t xml:space="preserve">     Production Plant</t>
  </si>
  <si>
    <t xml:space="preserve">     Transmission Plant</t>
  </si>
  <si>
    <t xml:space="preserve">     Distribution Plant</t>
  </si>
  <si>
    <t xml:space="preserve">     General Plant</t>
  </si>
  <si>
    <t xml:space="preserve">     Intangible Plant</t>
  </si>
  <si>
    <t>Accumulated Depreciation</t>
  </si>
  <si>
    <t>Total Accumulated Depr.</t>
  </si>
  <si>
    <t xml:space="preserve">     Production Depr. Reserve</t>
  </si>
  <si>
    <t xml:space="preserve">     Transmission Depr. Reserve</t>
  </si>
  <si>
    <t xml:space="preserve">     Distribution Depr. Reserve</t>
  </si>
  <si>
    <t xml:space="preserve">     General Depr. Reserve</t>
  </si>
  <si>
    <t xml:space="preserve">     Intangible Depr. Reserve</t>
  </si>
  <si>
    <t>Net Plant in Service</t>
  </si>
  <si>
    <t xml:space="preserve">     Net Production Plant</t>
  </si>
  <si>
    <t xml:space="preserve">     Net Transmission Plant</t>
  </si>
  <si>
    <t xml:space="preserve">     Net Distribution Plant</t>
  </si>
  <si>
    <t xml:space="preserve">     Net General Plant</t>
  </si>
  <si>
    <t xml:space="preserve">     Net Intangible Plant</t>
  </si>
  <si>
    <t>Total Net Plant</t>
  </si>
  <si>
    <t>Adjustments to Rate Base - Deferred Taxes</t>
  </si>
  <si>
    <t xml:space="preserve">     ADIT - 190</t>
  </si>
  <si>
    <t xml:space="preserve">     ADIT - 283</t>
  </si>
  <si>
    <t>Total Deferred Tax Adjustments</t>
  </si>
  <si>
    <t>Plant Held For Future Use</t>
  </si>
  <si>
    <t xml:space="preserve">     Balance - Network Prepayments</t>
  </si>
  <si>
    <t xml:space="preserve">     Accrued Interest Balance</t>
  </si>
  <si>
    <t>Total Network Upgrade Prepayment Adjustments</t>
  </si>
  <si>
    <t>Working Capital</t>
  </si>
  <si>
    <t xml:space="preserve">     Cash Working Captial (1/8 O&amp;M)</t>
  </si>
  <si>
    <t xml:space="preserve">     Prepayments</t>
  </si>
  <si>
    <t>Total Working Capital</t>
  </si>
  <si>
    <t>Line 3 - Line 9</t>
  </si>
  <si>
    <t>Line 5 - Line 11</t>
  </si>
  <si>
    <t>Supporting Allocation Factor and Return Calculations</t>
  </si>
  <si>
    <t>Transmission Plant Included in OATT Rate</t>
  </si>
  <si>
    <t xml:space="preserve">      Total Transmission Plant</t>
  </si>
  <si>
    <t xml:space="preserve">     Trans Plant for OATT Rate</t>
  </si>
  <si>
    <t>TP Allocator (Line 4/Line1)</t>
  </si>
  <si>
    <t>Labor Allocation Factor</t>
  </si>
  <si>
    <t xml:space="preserve">     Total Direct Payroll - O&amp;M Labor</t>
  </si>
  <si>
    <t xml:space="preserve">     A&amp;G Labor</t>
  </si>
  <si>
    <t xml:space="preserve">     Transmission O&amp;M Labor</t>
  </si>
  <si>
    <t>Return and Capitalization:</t>
  </si>
  <si>
    <t xml:space="preserve">     Long Term Interest Expense </t>
  </si>
  <si>
    <t xml:space="preserve">     Net Long Term Interest Expense</t>
  </si>
  <si>
    <t xml:space="preserve">     Long Term Debt</t>
  </si>
  <si>
    <t xml:space="preserve">      Less Loss on Reacquired Debt</t>
  </si>
  <si>
    <t xml:space="preserve">      Plus Gain on Reacquired Debt</t>
  </si>
  <si>
    <t xml:space="preserve">     Net Long Term Debt</t>
  </si>
  <si>
    <t>Common Stock Development</t>
  </si>
  <si>
    <t xml:space="preserve">     Proprietary Capital </t>
  </si>
  <si>
    <t xml:space="preserve">     Common Stock</t>
  </si>
  <si>
    <t xml:space="preserve">      Less Account 216.1</t>
  </si>
  <si>
    <r>
      <t xml:space="preserve">        </t>
    </r>
    <r>
      <rPr>
        <b/>
        <sz val="11"/>
        <color theme="1"/>
        <rFont val="Calibri"/>
        <family val="2"/>
        <scheme val="minor"/>
      </rPr>
      <t xml:space="preserve">Overall Return:  </t>
    </r>
  </si>
  <si>
    <t>112.24.c</t>
  </si>
  <si>
    <t>111.81.c</t>
  </si>
  <si>
    <t>113.61.c</t>
  </si>
  <si>
    <t>112.16.c</t>
  </si>
  <si>
    <t>112.12.c</t>
  </si>
  <si>
    <t>Weight</t>
  </si>
  <si>
    <t>Cost</t>
  </si>
  <si>
    <t>Weighted Cost</t>
  </si>
  <si>
    <t xml:space="preserve">     Less:  Gen. Step-up Transformers and Interconnection Facilities</t>
  </si>
  <si>
    <t>N/A</t>
  </si>
  <si>
    <t>TP</t>
  </si>
  <si>
    <t>OATT Labor</t>
  </si>
  <si>
    <t>GP</t>
  </si>
  <si>
    <t>Development of Revenue Requirement</t>
  </si>
  <si>
    <t>Expenses</t>
  </si>
  <si>
    <t>TOTAL Transmission Expenses</t>
  </si>
  <si>
    <t xml:space="preserve">    Net Transmission O&amp;M</t>
  </si>
  <si>
    <t xml:space="preserve">     Less (924) Property Insurance</t>
  </si>
  <si>
    <t xml:space="preserve">     Less (928) Regulatory Commission Expense</t>
  </si>
  <si>
    <t xml:space="preserve">     Less (930.1) General Advertising Expenses</t>
  </si>
  <si>
    <t xml:space="preserve">     Net Labor Related A&amp;G</t>
  </si>
  <si>
    <t xml:space="preserve">    (924) Property Insurance</t>
  </si>
  <si>
    <t xml:space="preserve">     Trans. Related Regulatory Expense</t>
  </si>
  <si>
    <t xml:space="preserve">     Trans. Related Advertising Exp.</t>
  </si>
  <si>
    <t>Depreciation Expense</t>
  </si>
  <si>
    <t>Total Depreciation</t>
  </si>
  <si>
    <t xml:space="preserve">     Transmission Depr. Expense</t>
  </si>
  <si>
    <t xml:space="preserve">     General Depr. Expense</t>
  </si>
  <si>
    <t>321.112.b</t>
  </si>
  <si>
    <t>323.185.b</t>
  </si>
  <si>
    <t>323.189.b</t>
  </si>
  <si>
    <t>323.191.b</t>
  </si>
  <si>
    <t>D/A</t>
  </si>
  <si>
    <t xml:space="preserve">     Labor Related</t>
  </si>
  <si>
    <t xml:space="preserve">     Property Related</t>
  </si>
  <si>
    <t>Total Other Taxes</t>
  </si>
  <si>
    <t>Return</t>
  </si>
  <si>
    <t>Income Taxes</t>
  </si>
  <si>
    <t xml:space="preserve">     NC/SC Composite</t>
  </si>
  <si>
    <t xml:space="preserve">     Federal </t>
  </si>
  <si>
    <t xml:space="preserve">     Tax Rev. Req't Factor = T/(1-T) * (1 - Wtd.Debt.Cost/R)</t>
  </si>
  <si>
    <r>
      <t xml:space="preserve">     </t>
    </r>
    <r>
      <rPr>
        <sz val="11"/>
        <color theme="1"/>
        <rFont val="Calibri"/>
        <family val="2"/>
        <scheme val="minor"/>
      </rPr>
      <t>ITC Gross Up Factor = 1 / (1-T)</t>
    </r>
  </si>
  <si>
    <t>Total Income Taxes</t>
  </si>
  <si>
    <t>336.1.f</t>
  </si>
  <si>
    <t>266.8.f</t>
  </si>
  <si>
    <t>NP</t>
  </si>
  <si>
    <t>Summary of Rates</t>
  </si>
  <si>
    <t>OATT</t>
  </si>
  <si>
    <t>Revenue Credits:</t>
  </si>
  <si>
    <t>Total Revenue Credits</t>
  </si>
  <si>
    <t>Interest Disbursed w/ Network Prepay Refunds</t>
  </si>
  <si>
    <t>On-Peak Days</t>
  </si>
  <si>
    <t>Off-Peak Days</t>
  </si>
  <si>
    <t xml:space="preserve">     Less:  Transmission under 44KV</t>
  </si>
  <si>
    <t>Transmission Rate Formula Support</t>
  </si>
  <si>
    <t>Deferred Income Tax Balances - GL Account 190</t>
  </si>
  <si>
    <t>123R stock option</t>
  </si>
  <si>
    <t>Employee Benefits</t>
  </si>
  <si>
    <t>Environmental</t>
  </si>
  <si>
    <t>Hedging</t>
  </si>
  <si>
    <t>OPEB</t>
  </si>
  <si>
    <t>Phantom Stk Awards</t>
  </si>
  <si>
    <t>Severance Accrual</t>
  </si>
  <si>
    <t>Surplus Inventory Write-off</t>
  </si>
  <si>
    <t>Surplus Inventory Write-off - Current</t>
  </si>
  <si>
    <t>OATT Amount</t>
  </si>
  <si>
    <t>Allocation</t>
  </si>
  <si>
    <t>Factor</t>
  </si>
  <si>
    <t>GL Balance</t>
  </si>
  <si>
    <t>Dr(Cr)</t>
  </si>
  <si>
    <t>Total</t>
  </si>
  <si>
    <t>GP=</t>
  </si>
  <si>
    <t>NP=</t>
  </si>
  <si>
    <t>Deferred Income Tax Balances - GL Account 283</t>
  </si>
  <si>
    <t>Thorpe Rewind</t>
  </si>
  <si>
    <t>Bond Loss Amoritization</t>
  </si>
  <si>
    <t>Auction Rate securities</t>
  </si>
  <si>
    <t>Other</t>
  </si>
  <si>
    <t>Production</t>
  </si>
  <si>
    <t>Distribution</t>
  </si>
  <si>
    <t>Company Records</t>
  </si>
  <si>
    <t>Transmission of Electricity for Others</t>
  </si>
  <si>
    <t>Classification</t>
  </si>
  <si>
    <t>Total Revenue</t>
  </si>
  <si>
    <t>Revenue</t>
  </si>
  <si>
    <t>Ancillary/Other</t>
  </si>
  <si>
    <t>Payment by</t>
  </si>
  <si>
    <t>Form 1</t>
  </si>
  <si>
    <t>(Column (d))</t>
  </si>
  <si>
    <t>(Column (k))</t>
  </si>
  <si>
    <t>(Column (m))</t>
  </si>
  <si>
    <t>(Column (n))</t>
  </si>
  <si>
    <t>Calpine Power Services Company</t>
  </si>
  <si>
    <t>The Energy Authority</t>
  </si>
  <si>
    <t>Westar Energy</t>
  </si>
  <si>
    <t>OS</t>
  </si>
  <si>
    <t>SFP</t>
  </si>
  <si>
    <t>LFP</t>
  </si>
  <si>
    <t xml:space="preserve">Energy </t>
  </si>
  <si>
    <t>Charges</t>
  </si>
  <si>
    <t>(Column (l))</t>
  </si>
  <si>
    <t>North Carolina Municipal Power Agency 1</t>
  </si>
  <si>
    <t>City of Seneca</t>
  </si>
  <si>
    <t>Account 454 Reconciliation - Rents</t>
  </si>
  <si>
    <t>Amount</t>
  </si>
  <si>
    <t>North Carolina</t>
  </si>
  <si>
    <t>0454200 - Pole and Line Attachments</t>
  </si>
  <si>
    <t>0454300 - Tower Lease Revenues</t>
  </si>
  <si>
    <t>0454400 - Other Electric Rents</t>
  </si>
  <si>
    <t>0454500 - Leased Facilities Fee - Catawba</t>
  </si>
  <si>
    <t>0454510 - Return and Dep - Catawba Gen Plt</t>
  </si>
  <si>
    <t>117.62-67.c</t>
  </si>
  <si>
    <t xml:space="preserve">     Acct 454 - Allocable to Transmission</t>
  </si>
  <si>
    <t>Gross Revenue Requirement</t>
  </si>
  <si>
    <t>200.21.c</t>
  </si>
  <si>
    <t xml:space="preserve">     Intangible Amortization</t>
  </si>
  <si>
    <t>335.1-3.b</t>
  </si>
  <si>
    <t>Trans Labor Factor (Line 9/Line 8)</t>
  </si>
  <si>
    <t>336.7.f</t>
  </si>
  <si>
    <r>
      <t xml:space="preserve">          </t>
    </r>
    <r>
      <rPr>
        <sz val="10"/>
        <color theme="1"/>
        <rFont val="Calibri"/>
        <family val="2"/>
        <scheme val="minor"/>
      </rPr>
      <t>Composite T = State + (Federal *(1-State))</t>
    </r>
  </si>
  <si>
    <t xml:space="preserve">     Amortized ITC (Negative)</t>
  </si>
  <si>
    <t>NOTES:</t>
  </si>
  <si>
    <t>(B) FERC Form 1 page 214 excluding non-transmission related items</t>
  </si>
  <si>
    <t>Note B</t>
  </si>
  <si>
    <t xml:space="preserve">     Accum Provision for I&amp;D (228.2)</t>
  </si>
  <si>
    <t xml:space="preserve">Transmission Loss Factor </t>
  </si>
  <si>
    <t>Ending Balance</t>
  </si>
  <si>
    <t>Beginning Balance</t>
  </si>
  <si>
    <t xml:space="preserve">     Less Industry Dues, R&amp;D and Nuc Assoc Exp</t>
  </si>
  <si>
    <t>Revenue Requirement - Customer Owned Facilities</t>
  </si>
  <si>
    <t xml:space="preserve">Total Transmission Revenue Requirement </t>
  </si>
  <si>
    <t>Divisor - 12 Month Average Transmission Peak</t>
  </si>
  <si>
    <t>Average</t>
  </si>
  <si>
    <t>Balance</t>
  </si>
  <si>
    <t xml:space="preserve">Average </t>
  </si>
  <si>
    <t xml:space="preserve">FAS 112 </t>
  </si>
  <si>
    <t xml:space="preserve">OPEB </t>
  </si>
  <si>
    <t>Total O&amp;M (Sum of lines 3, 9, and 10 thru 13)</t>
  </si>
  <si>
    <t>FAS 87 - employee qualified plan</t>
  </si>
  <si>
    <t xml:space="preserve">     Acct 456.1 - NF+STF x/Ancillaries, GridSouth</t>
  </si>
  <si>
    <t>OATT Transmission  Rate Formula Template Using Form 1-Data</t>
  </si>
  <si>
    <t>OATT Transmission Rate Formula Template Using Form 1-Data</t>
  </si>
  <si>
    <t>Gridsouth Investment NC Retail</t>
  </si>
  <si>
    <t>FAS 109</t>
  </si>
  <si>
    <t xml:space="preserve">ARO </t>
  </si>
  <si>
    <t>Nantahala Rewind</t>
  </si>
  <si>
    <t>Section 124</t>
  </si>
  <si>
    <t>NC DSM Regulatory Asset</t>
  </si>
  <si>
    <t>Pension Cost Adj</t>
  </si>
  <si>
    <t>I and D Extraordinary</t>
  </si>
  <si>
    <t>DPC OPEB FAS 106</t>
  </si>
  <si>
    <t>DPC Pos EMP FAS 112</t>
  </si>
  <si>
    <t>0454100 - Extra - Facilities</t>
  </si>
  <si>
    <t xml:space="preserve">Adjustments to Rate Base </t>
  </si>
  <si>
    <t>Note G</t>
  </si>
  <si>
    <t>1a</t>
  </si>
  <si>
    <t>2a</t>
  </si>
  <si>
    <t>7a</t>
  </si>
  <si>
    <t>8a</t>
  </si>
  <si>
    <t xml:space="preserve">          Production Contra AFUDC</t>
  </si>
  <si>
    <t xml:space="preserve">          Transmission Contra AFUDC</t>
  </si>
  <si>
    <t>Explanatory Notes</t>
  </si>
  <si>
    <t>7b</t>
  </si>
  <si>
    <t>0454110 - Inter-connection-Cogeneration</t>
  </si>
  <si>
    <t>City of Concord</t>
  </si>
  <si>
    <t>Greenwood Commissioners of Public Works</t>
  </si>
  <si>
    <t>Haywood Electric Membership Corporation</t>
  </si>
  <si>
    <t>Piedmont Municipal Power Agency</t>
  </si>
  <si>
    <t>Demand</t>
  </si>
  <si>
    <t>Allen Environmental Compliance</t>
  </si>
  <si>
    <t>Energy Efficiency Program Cost Deferral -SC</t>
  </si>
  <si>
    <t>Energy Efficiency Program Cost Deferral -NC</t>
  </si>
  <si>
    <t>263.i, 263.1.i</t>
  </si>
  <si>
    <t>Attachment I</t>
  </si>
  <si>
    <t>GridSouth Amortization</t>
  </si>
  <si>
    <t>Wholesale Allocation Factor</t>
  </si>
  <si>
    <t xml:space="preserve">     Firm Network Service for Others</t>
  </si>
  <si>
    <t>400.17.f</t>
  </si>
  <si>
    <t>400.17.g</t>
  </si>
  <si>
    <t xml:space="preserve">     Other Service</t>
  </si>
  <si>
    <t>400.17.j</t>
  </si>
  <si>
    <t xml:space="preserve">     Firm Network Service for Self</t>
  </si>
  <si>
    <t>400.17.e</t>
  </si>
  <si>
    <t>1b</t>
  </si>
  <si>
    <t xml:space="preserve">1c </t>
  </si>
  <si>
    <t>205.15.g, 205.24.g, 205.34.g, 205.44.g</t>
  </si>
  <si>
    <t>4a</t>
  </si>
  <si>
    <t>or inclusion of CWIP in rate base for wholesale jurisdiction but not retail.</t>
  </si>
  <si>
    <t>R &amp; D Tax Credit</t>
  </si>
  <si>
    <t>(A) Contra AFUDC adjustments may relate to inclusion of CWIP in rate base for retail jurisdictions but not wholesale,</t>
  </si>
  <si>
    <t xml:space="preserve">    15a</t>
  </si>
  <si>
    <t xml:space="preserve">          Add Transmission Contra AFUDC</t>
  </si>
  <si>
    <t xml:space="preserve">          Eliminate Production ARO</t>
  </si>
  <si>
    <t xml:space="preserve">          Eliminate Production ARO Accum Depreciation</t>
  </si>
  <si>
    <t xml:space="preserve">          Eliminate General ARO</t>
  </si>
  <si>
    <t xml:space="preserve">          Eliminate General ARO Accum Depreciation</t>
  </si>
  <si>
    <t xml:space="preserve">Other Regulatory Assets - Acct 182.3  </t>
  </si>
  <si>
    <t>Attachment B</t>
  </si>
  <si>
    <t>Attachment C</t>
  </si>
  <si>
    <t>Attachment D</t>
  </si>
  <si>
    <t>Attachment F</t>
  </si>
  <si>
    <t>Attachment G</t>
  </si>
  <si>
    <t>Attachment K</t>
  </si>
  <si>
    <t>Attachment H</t>
  </si>
  <si>
    <t xml:space="preserve">Total GL Account 190 </t>
  </si>
  <si>
    <t>PP&amp;E - Transmission</t>
  </si>
  <si>
    <t>PP&amp;E  - General</t>
  </si>
  <si>
    <t>Duke Energy Carolinas, LLC.</t>
  </si>
  <si>
    <t>Transmission Rate Formula Support - Customer Prepayment for Network Upgrades Detail</t>
  </si>
  <si>
    <t>Attachment J</t>
  </si>
  <si>
    <t>Balances as of the Beginning of Year:</t>
  </si>
  <si>
    <t>Cash</t>
  </si>
  <si>
    <t>Payments</t>
  </si>
  <si>
    <t xml:space="preserve">Accrued </t>
  </si>
  <si>
    <t>Interest</t>
  </si>
  <si>
    <t>Liability</t>
  </si>
  <si>
    <t>Test Year Refund History:</t>
  </si>
  <si>
    <t>Allocation of Amount Refunded</t>
  </si>
  <si>
    <t>Service</t>
  </si>
  <si>
    <t>Current</t>
  </si>
  <si>
    <t>Ending</t>
  </si>
  <si>
    <t>Month</t>
  </si>
  <si>
    <t>Refunded</t>
  </si>
  <si>
    <t>Prepayment</t>
  </si>
  <si>
    <t>Liability Balance</t>
  </si>
  <si>
    <t>Allocation of Balance Refunds</t>
  </si>
  <si>
    <t>Interest Disbursed</t>
  </si>
  <si>
    <t>Allocation of Ending Balance</t>
  </si>
  <si>
    <t>Account 454.3 Reconciliation - Tower Lease Revenues</t>
  </si>
  <si>
    <t>Revenues  -0454300</t>
  </si>
  <si>
    <t xml:space="preserve">Less: Direct Costs </t>
  </si>
  <si>
    <t>Net Revenues Before Taxes</t>
  </si>
  <si>
    <t>Composite Tax Rate</t>
  </si>
  <si>
    <t xml:space="preserve">After Tax Net Revenues </t>
  </si>
  <si>
    <t>TP Allocator</t>
  </si>
  <si>
    <t xml:space="preserve">Adjusted Net Revenues </t>
  </si>
  <si>
    <t>Revenue Sharing Percent</t>
  </si>
  <si>
    <t>Revenue Credit Amount</t>
  </si>
  <si>
    <t>Tower Lease Revenue Net Margin</t>
  </si>
  <si>
    <t>Tower Lease Revenue Reported in Formula</t>
  </si>
  <si>
    <t>Tower Lease Revenue Adjustment to Formula</t>
  </si>
  <si>
    <t>Line 1 - Line 2</t>
  </si>
  <si>
    <t>Line 5 * Line 6</t>
  </si>
  <si>
    <t>Line 10 - Line 11</t>
  </si>
  <si>
    <t>Line 9</t>
  </si>
  <si>
    <t>Line 19 - Line 20</t>
  </si>
  <si>
    <t xml:space="preserve">O&amp;M Expense </t>
  </si>
  <si>
    <t>(D) Includes percentage of SC Franchise tax that is related to property</t>
  </si>
  <si>
    <t>(E) Determined by annual apportionment factors provided by Tax Department</t>
  </si>
  <si>
    <t>Taxes Other Than Income (Note C)</t>
  </si>
  <si>
    <t>Note E</t>
  </si>
  <si>
    <t>(I) Amounts in Gross Plant that are not provided by investor funds are excluded.  These include FAS 109 and ARO</t>
  </si>
  <si>
    <t>206.75.b, 207.75.g</t>
  </si>
  <si>
    <t>206.99.b, 207.99.g</t>
  </si>
  <si>
    <t>206.98.b, 207.98.g</t>
  </si>
  <si>
    <t>204.46.b, 205.46.g</t>
  </si>
  <si>
    <t>204.5.b, 205.5.g</t>
  </si>
  <si>
    <t>10a</t>
  </si>
  <si>
    <t>276.19.b, 277.19.k</t>
  </si>
  <si>
    <t>274.9.b, 275.9.k</t>
  </si>
  <si>
    <t>Attachment E</t>
  </si>
  <si>
    <t xml:space="preserve">Attachment G </t>
  </si>
  <si>
    <t xml:space="preserve">     Less Account 561.1, 561.2, 561.3, 561.4 &amp; 565</t>
  </si>
  <si>
    <t>4b</t>
  </si>
  <si>
    <t xml:space="preserve">          Eliminate System Operating Center (SOC)</t>
  </si>
  <si>
    <t>10b</t>
  </si>
  <si>
    <t xml:space="preserve">          Eliminate SOC Accum Depreciation</t>
  </si>
  <si>
    <t xml:space="preserve">     Less Property Insurance allocated to SOC</t>
  </si>
  <si>
    <t xml:space="preserve">    16a</t>
  </si>
  <si>
    <t xml:space="preserve">    10a</t>
  </si>
  <si>
    <t xml:space="preserve">     Less General Depreciation allocated to SOC</t>
  </si>
  <si>
    <t xml:space="preserve">     Less Property Related allocated to SOC</t>
  </si>
  <si>
    <t>(M) The wholesale allocation factor for GridSouth will be set at the 2009 Transmission peak.</t>
  </si>
  <si>
    <t>PP&amp;E - Production &amp; Distribution</t>
  </si>
  <si>
    <t>PP&amp;E  - Intangible</t>
  </si>
  <si>
    <t>Total GridSouth costs as of 12/31/2003</t>
  </si>
  <si>
    <t>Wholesale allocated portion of GridSouth</t>
  </si>
  <si>
    <t>Attachment L</t>
  </si>
  <si>
    <t>Intangibles - Gross Plant</t>
  </si>
  <si>
    <t>Accounts 302 and 303</t>
  </si>
  <si>
    <t>Project Description</t>
  </si>
  <si>
    <t>SOC Migration</t>
  </si>
  <si>
    <t>Acquire/Maintain</t>
  </si>
  <si>
    <t>Fleet Svcs Fleet Management Sy</t>
  </si>
  <si>
    <t>DP&amp;S</t>
  </si>
  <si>
    <t>SOC EMS Blade Srvr Upgrd-Sftwr</t>
  </si>
  <si>
    <t>TWAMS Capital UT Top</t>
  </si>
  <si>
    <t>Trans Billing System Replace</t>
  </si>
  <si>
    <t>Mobile Atlas(MapLink)</t>
  </si>
  <si>
    <t>Prioritization Tool - Asset</t>
  </si>
  <si>
    <t>Data Log Aggregation SW</t>
  </si>
  <si>
    <t>TCC Migration Phase 1</t>
  </si>
  <si>
    <t>OE Express Core Pay Track</t>
  </si>
  <si>
    <t>OE Express PE Hardware Costs</t>
  </si>
  <si>
    <t>FMIS Release 2</t>
  </si>
  <si>
    <t>Financial System Replacement</t>
  </si>
  <si>
    <t>FMIS Release 1</t>
  </si>
  <si>
    <t>YEAR 2000 Platinum Tools</t>
  </si>
  <si>
    <t>Assistance Agency Portal Capit</t>
  </si>
  <si>
    <t>Database Maintenance Tools</t>
  </si>
  <si>
    <t>OE Express Release 2B</t>
  </si>
  <si>
    <t>FMIS Rel 3 Accounting</t>
  </si>
  <si>
    <t>Tivoli SW Purchase</t>
  </si>
  <si>
    <t>OE Express System Enhancements</t>
  </si>
  <si>
    <t>FMIS Release 3</t>
  </si>
  <si>
    <t>OE Express Release 1</t>
  </si>
  <si>
    <t>BPM Software</t>
  </si>
  <si>
    <t>UOF-Charlotte-Software</t>
  </si>
  <si>
    <t>Ebill Proj Software</t>
  </si>
  <si>
    <t>Phoenix Phases 1-4</t>
  </si>
  <si>
    <t>Special Agency Assisstance Portal</t>
  </si>
  <si>
    <t>Witness Software</t>
  </si>
  <si>
    <t>Phoenix Phase 5</t>
  </si>
  <si>
    <t>Phoenix Phase 6</t>
  </si>
  <si>
    <t>In House Software-Acct System</t>
  </si>
  <si>
    <t>In House Software-Cash Mgmt</t>
  </si>
  <si>
    <t>Franklin Franchise</t>
  </si>
  <si>
    <t>Attachment M</t>
  </si>
  <si>
    <t>Schedule 1 Duke Energy Carolinas Revenue Requirements</t>
  </si>
  <si>
    <t>Total Net SOC</t>
  </si>
  <si>
    <t>Total Rate Base</t>
  </si>
  <si>
    <t>Total Load Dispatch &amp; Scheduling Expense- Accounts 561.1 - 561.4</t>
  </si>
  <si>
    <t>Depreciation Expense on SOC</t>
  </si>
  <si>
    <t>Property Insurance on SOC</t>
  </si>
  <si>
    <t>Property Related Taxes Other than Income on SOC</t>
  </si>
  <si>
    <t>Total Expenses</t>
  </si>
  <si>
    <t>Return on Rate Base</t>
  </si>
  <si>
    <t>Total Revenue Requirement</t>
  </si>
  <si>
    <t>Less:  Non- Firm PTP Service Credit (prior year Sched 1 revenue from non-firm PTP transactions)</t>
  </si>
  <si>
    <t>Annual Point to Point Rate $/kW/Year</t>
  </si>
  <si>
    <t>Annual Point to Point Rate $/kW/mth</t>
  </si>
  <si>
    <t>Annual Point to Point Rate $/kW/Week</t>
  </si>
  <si>
    <t>Annual Point to Point Rate $/kW/Day</t>
  </si>
  <si>
    <t>Annual Point to Point Rate $/kW/Hour</t>
  </si>
  <si>
    <t>Attachment N</t>
  </si>
  <si>
    <t>Intangibles - Amortization Expense</t>
  </si>
  <si>
    <t>Enterprise Asset Management_Carolinas portion in CWIP</t>
  </si>
  <si>
    <t>Intangibles - Accumulated Amortization</t>
  </si>
  <si>
    <t>Line 2 / 7 years</t>
  </si>
  <si>
    <t>Annual Amortization at System Level</t>
  </si>
  <si>
    <t>Annual Amortization  - Wholesale</t>
  </si>
  <si>
    <t>336.10.f</t>
  </si>
  <si>
    <t>Schedule 1</t>
  </si>
  <si>
    <t>Average Balance</t>
  </si>
  <si>
    <t>Attachment A</t>
  </si>
  <si>
    <t>TOTAL</t>
  </si>
  <si>
    <t>Amortization Expense on SOC</t>
  </si>
  <si>
    <t>Interest Calculation</t>
  </si>
  <si>
    <t>February</t>
  </si>
  <si>
    <t>March</t>
  </si>
  <si>
    <t>April</t>
  </si>
  <si>
    <t>May</t>
  </si>
  <si>
    <t>June</t>
  </si>
  <si>
    <t>July</t>
  </si>
  <si>
    <t>August</t>
  </si>
  <si>
    <t>September</t>
  </si>
  <si>
    <t>October</t>
  </si>
  <si>
    <t>November</t>
  </si>
  <si>
    <t>December</t>
  </si>
  <si>
    <t>Monthly Interest Rate</t>
  </si>
  <si>
    <t>Average Monthly Interest Rate</t>
  </si>
  <si>
    <t>True Up from Billing Period to be Included in Projected Schedule 1 ARR</t>
  </si>
  <si>
    <t>Projected Point to Point Rate</t>
  </si>
  <si>
    <t>Actual Point to Point Rate</t>
  </si>
  <si>
    <t>FERC Quarterly Interest Rate*</t>
  </si>
  <si>
    <t>The interest is calcualted using the interest rate posted on the FERC website</t>
  </si>
  <si>
    <t>*</t>
  </si>
  <si>
    <t xml:space="preserve">    2a</t>
  </si>
  <si>
    <t>Amounts Not Allocated to Transmission</t>
  </si>
  <si>
    <t>SOC Allocation Factor Calculation</t>
  </si>
  <si>
    <t xml:space="preserve">     SOC Gross Plant</t>
  </si>
  <si>
    <t>Line 1</t>
  </si>
  <si>
    <t xml:space="preserve">     Gross General Plant</t>
  </si>
  <si>
    <t xml:space="preserve">     SOC GP Allocation Factor</t>
  </si>
  <si>
    <t xml:space="preserve">     System Gross Plant (Including SOC)</t>
  </si>
  <si>
    <t xml:space="preserve">     SOC System Allocation Factor</t>
  </si>
  <si>
    <t>Actual Amount Billed to Customers</t>
  </si>
  <si>
    <t>Actual Amount Owed by Customers</t>
  </si>
  <si>
    <t>Actual PTP Reservation Quantities</t>
  </si>
  <si>
    <t>Point to Point Price Variance</t>
  </si>
  <si>
    <t>Interest True Up Amount</t>
  </si>
  <si>
    <t>Interest Worksheet</t>
  </si>
  <si>
    <t>Line 9 - Line 10</t>
  </si>
  <si>
    <t>Line 11 * Line 8</t>
  </si>
  <si>
    <t>Interest Rate</t>
  </si>
  <si>
    <t>Balance due/owed</t>
  </si>
  <si>
    <t>Number of Months</t>
  </si>
  <si>
    <t>True Up plus Interest</t>
  </si>
  <si>
    <t>Total Interest</t>
  </si>
  <si>
    <t>Amoritization (Annuity</t>
  </si>
  <si>
    <t>NETWORK</t>
  </si>
  <si>
    <t>PTP</t>
  </si>
  <si>
    <t>Monthly demands:</t>
  </si>
  <si>
    <t>Monthly system demand excl. network and firm PTP</t>
  </si>
  <si>
    <t>Monthly network service demand</t>
  </si>
  <si>
    <t>Monthly  long term firm PTP reservations</t>
  </si>
  <si>
    <t>Feb</t>
  </si>
  <si>
    <t>Mar</t>
  </si>
  <si>
    <t>Apr</t>
  </si>
  <si>
    <t>Jun</t>
  </si>
  <si>
    <t>Jul</t>
  </si>
  <si>
    <t>Aug</t>
  </si>
  <si>
    <t>Sept</t>
  </si>
  <si>
    <t>Oct</t>
  </si>
  <si>
    <t>Nov</t>
  </si>
  <si>
    <t>Dec</t>
  </si>
  <si>
    <t>Sum of Billing and System Demand for Projected Year</t>
  </si>
  <si>
    <t>Ratio of Customer Billing Demands to System Demands</t>
  </si>
  <si>
    <t>Actual Monthly Revenue Requirement</t>
  </si>
  <si>
    <t>LRS percentage</t>
  </si>
  <si>
    <t>Amount due based on actual ATRR</t>
  </si>
  <si>
    <t>Actual Monthly Point-to-Point Rate</t>
  </si>
  <si>
    <t>PTP Reservation Quantities</t>
  </si>
  <si>
    <t>PTP Trans. Rev Req't Rate $/kW - Year</t>
  </si>
  <si>
    <t>PTP Demand Rate $/kW - Month</t>
  </si>
  <si>
    <t>Weekly Firm/Non-Firm PTP Rate $/kW - Week</t>
  </si>
  <si>
    <t>Daily Firm/Non-Firm PTP Rates ($/kW):</t>
  </si>
  <si>
    <t>Non-Firm Hourly PTP Rates ($/kW):</t>
  </si>
  <si>
    <t>Line (1:1c) - Line (7:7b)</t>
  </si>
  <si>
    <t>Line (2:2a) - Line (8:8a)</t>
  </si>
  <si>
    <t>Line (4:4b) - Line (10:10b)</t>
  </si>
  <si>
    <t xml:space="preserve">Total GL Account 282 </t>
  </si>
  <si>
    <t>Total GL Account 283</t>
  </si>
  <si>
    <t>Total GL Account 182.3</t>
  </si>
  <si>
    <t>Accumulated Provisions for Injuries and Damages - GL Account 228.2</t>
  </si>
  <si>
    <t>Total GL Account 228.2</t>
  </si>
  <si>
    <t>Total GL Account 228.3</t>
  </si>
  <si>
    <t>NETWORK -Schedule 1</t>
  </si>
  <si>
    <t>PTP - Schedule 1</t>
  </si>
  <si>
    <t>Schedule 1  True up Line 12/12</t>
  </si>
  <si>
    <t>Scehdule 1 True up Line 4/12</t>
  </si>
  <si>
    <t>Amount due based on actual Schedule 1 RR</t>
  </si>
  <si>
    <t>Total GL Account 454</t>
  </si>
  <si>
    <t>Page 3, Line 25</t>
  </si>
  <si>
    <t>Page 4, Line 5</t>
  </si>
  <si>
    <t>Line 12 - (Line 12*Line 13)</t>
  </si>
  <si>
    <t>Line 14 * Line 15</t>
  </si>
  <si>
    <t>Line 16 * Line 17</t>
  </si>
  <si>
    <t>Line 18</t>
  </si>
  <si>
    <t>Total ATRR True Up Amount (Network)</t>
  </si>
  <si>
    <t>Line 8 - Line 9</t>
  </si>
  <si>
    <t>Line 10 * Line 7</t>
  </si>
  <si>
    <t>Total ATRR True Up Amount (PTP)</t>
  </si>
  <si>
    <t>Line</t>
  </si>
  <si>
    <t>Page 2, Line 10b</t>
  </si>
  <si>
    <t>Page 2, Lines 2 &amp; 2a</t>
  </si>
  <si>
    <t>Note K</t>
  </si>
  <si>
    <t>ATRR True Up Amount  (PTP)</t>
  </si>
  <si>
    <t xml:space="preserve">Page 3, Line 10a </t>
  </si>
  <si>
    <t>12 Month Average Transmission Peak</t>
  </si>
  <si>
    <t>Actual Schedule 1 ARR Adjustment (Over Recovery = Credit; Under Recovery = Debit)</t>
  </si>
  <si>
    <t>Total Schedule 1 ARR True Up (Network)</t>
  </si>
  <si>
    <t>Total Schedule 1 ARR True Up (PTP)</t>
  </si>
  <si>
    <t>Schedule 1 ARR True Up  (PTP)</t>
  </si>
  <si>
    <t>Network Service Load Ratio Share Percentage</t>
  </si>
  <si>
    <t>(Line 3 + Line 4) / Line 5</t>
  </si>
  <si>
    <t>PTP Load Ratio Share Percentage</t>
  </si>
  <si>
    <t>(Line 11 + Line 12) / Line 13</t>
  </si>
  <si>
    <t>Revenue Requirement True-Up - Network Service</t>
  </si>
  <si>
    <t>Revenue Requirement True-Up - Point to Point Service (Long Term Firm)</t>
  </si>
  <si>
    <t>(Line 4 + Line 5) / Line 6</t>
  </si>
  <si>
    <t>(Line 12 + Line 13) / Line 14</t>
  </si>
  <si>
    <t>System Operating Center (SOC) Gross Plant</t>
  </si>
  <si>
    <t>(Ratio of Customer Billing Demands to System Demands)</t>
  </si>
  <si>
    <t>Load Ratio Share Percentages</t>
  </si>
  <si>
    <t>Amounts Owed Worksheet</t>
  </si>
  <si>
    <t xml:space="preserve">                     </t>
  </si>
  <si>
    <t>Amounts Owed Worksheet Sch 1</t>
  </si>
  <si>
    <t>NCEMC Anson Co. Project</t>
  </si>
  <si>
    <t>Note P</t>
  </si>
  <si>
    <t>CWIP for Transmission Projects</t>
  </si>
  <si>
    <t>Note Q</t>
  </si>
  <si>
    <t>Unamortized Abandoned Plant</t>
  </si>
  <si>
    <t>Note R</t>
  </si>
  <si>
    <t>Line 12 / Line 13 / 1000</t>
  </si>
  <si>
    <t>Line 14/12</t>
  </si>
  <si>
    <t>Line 14/ 52 weeks</t>
  </si>
  <si>
    <t>Line 16/ 5 days</t>
  </si>
  <si>
    <t>Line 16 / 7 days</t>
  </si>
  <si>
    <t>Line 17 / 16hrs</t>
  </si>
  <si>
    <t>Line 18/ 24hrs</t>
  </si>
  <si>
    <t>Net Rate Base Adjustments</t>
  </si>
  <si>
    <t xml:space="preserve">    21a</t>
  </si>
  <si>
    <t>TOTAL REVENUE REQUIREMENT (Sum of Lines 14, 19, 22, 23, and 32)</t>
  </si>
  <si>
    <t xml:space="preserve">     Materials &amp; Supplies - Transmission</t>
  </si>
  <si>
    <t xml:space="preserve">     Materials &amp; Supplies - Stores Expense</t>
  </si>
  <si>
    <t>Page 3, Line 14 /8</t>
  </si>
  <si>
    <t>OATT Labor Allocator (Line 5*Line 10)</t>
  </si>
  <si>
    <t xml:space="preserve">Line 2 *  Page 4, Line 11 </t>
  </si>
  <si>
    <t xml:space="preserve">Revenue Credit </t>
  </si>
  <si>
    <t>Adjusted Revenue Credit</t>
  </si>
  <si>
    <t>Revenue Credit in other components of formula</t>
  </si>
  <si>
    <t xml:space="preserve">     Long Term PTP Reservations</t>
  </si>
  <si>
    <t xml:space="preserve">     Acccum Provision for P&amp;B (182.3 &amp; 228.3)</t>
  </si>
  <si>
    <t>(Line 1 - Line 4 + Line 5 + Line 6 + Line 7+ Line 8)</t>
  </si>
  <si>
    <t>Note T</t>
  </si>
  <si>
    <t xml:space="preserve">Transmission Incentives </t>
  </si>
  <si>
    <t>(U) Revenue Tax Rate shall equal 1.0 minus the applicable revenue or gross receipts tax rate(s) to which Duke is subject for the revenue</t>
  </si>
  <si>
    <t>Note U</t>
  </si>
  <si>
    <t>Other, Attachment H</t>
  </si>
  <si>
    <t>SOC Intangible Plant</t>
  </si>
  <si>
    <t>Less:  SOC Accumulated Depreciation Gross Plant</t>
  </si>
  <si>
    <t>Less:  SOC Accumulated Depreciation Intangible Plant</t>
  </si>
  <si>
    <t xml:space="preserve">          Amortization of  Abandoned Plant</t>
  </si>
  <si>
    <t xml:space="preserve">     Extraordinary Property Loss</t>
  </si>
  <si>
    <t>(T)  DEC must make the appropriate filing at FERC before inputting or changing amounts associated with Transmission Incentives</t>
  </si>
  <si>
    <t>232.44.b, 232.44.f</t>
  </si>
  <si>
    <t>234.18.b, 234.18.c</t>
  </si>
  <si>
    <t>Page 3, Line 33</t>
  </si>
  <si>
    <t xml:space="preserve">     Rate Base (Page 2, Line 39) * Rate of Return (Page 4, Line 24)</t>
  </si>
  <si>
    <t xml:space="preserve">     Income Taxes Calculated (Line 23 * Line 27)</t>
  </si>
  <si>
    <t xml:space="preserve">     ITC Adjustment (Line 28 * Line 29)</t>
  </si>
  <si>
    <t xml:space="preserve">     Total Capitalization (Sum Lines 17 and 20)</t>
  </si>
  <si>
    <t xml:space="preserve">     Less:  NERC/SERC Fees related to Retail Load</t>
  </si>
  <si>
    <t xml:space="preserve">     Less:  Scheduling Fees Associated with Off-system Sales</t>
  </si>
  <si>
    <t xml:space="preserve">             8a</t>
  </si>
  <si>
    <t xml:space="preserve">            8b</t>
  </si>
  <si>
    <t xml:space="preserve">            8c</t>
  </si>
  <si>
    <t>Sum (Line 1: Line 4)</t>
  </si>
  <si>
    <t>Sum (Line 8: Line 12)</t>
  </si>
  <si>
    <t>Line 7 * Page 4, Line 24</t>
  </si>
  <si>
    <t>Sum Line 13 + Line 14 + Line 15</t>
  </si>
  <si>
    <t>(Line 19 / Line 20 /1000)</t>
  </si>
  <si>
    <t>(Line 21/ 12)</t>
  </si>
  <si>
    <t>(Line 21/ 365)</t>
  </si>
  <si>
    <t>(Line 21/ 8760)</t>
  </si>
  <si>
    <t>Line 2 - Line 1</t>
  </si>
  <si>
    <t>3a</t>
  </si>
  <si>
    <t xml:space="preserve">     Adjusted Labor </t>
  </si>
  <si>
    <t>(Line 6 - Line 7)</t>
  </si>
  <si>
    <t xml:space="preserve">     Common Stock (Note V)</t>
  </si>
  <si>
    <t>Attachment D and Attachment E</t>
  </si>
  <si>
    <t>Attachment D and Attachment F</t>
  </si>
  <si>
    <t>355.65.b, Note H</t>
  </si>
  <si>
    <t>354.27.b, Note H</t>
  </si>
  <si>
    <t>Attachment O</t>
  </si>
  <si>
    <t>Weighted Depreciation Rates</t>
  </si>
  <si>
    <t>Depreciable Group</t>
  </si>
  <si>
    <t>Description</t>
  </si>
  <si>
    <t>Rate</t>
  </si>
  <si>
    <t>Transmission - Land Rights</t>
  </si>
  <si>
    <t xml:space="preserve">Transmission </t>
  </si>
  <si>
    <t>General-Land Rights</t>
  </si>
  <si>
    <t>General-EDP</t>
  </si>
  <si>
    <t>Miscellaneous Equipment</t>
  </si>
  <si>
    <t>Attachment P</t>
  </si>
  <si>
    <t>Transmission Rate Base</t>
  </si>
  <si>
    <t xml:space="preserve">Amounts Owed Worksheet </t>
  </si>
  <si>
    <t>321.85.b:321.88.b</t>
  </si>
  <si>
    <t>deprec</t>
  </si>
  <si>
    <t xml:space="preserve">weighted </t>
  </si>
  <si>
    <t>number of</t>
  </si>
  <si>
    <t>rate from</t>
  </si>
  <si>
    <t>years from</t>
  </si>
  <si>
    <t xml:space="preserve"> annual depr</t>
  </si>
  <si>
    <t>first yr.</t>
  </si>
  <si>
    <t>CO date</t>
  </si>
  <si>
    <t>rate</t>
  </si>
  <si>
    <t>accum</t>
  </si>
  <si>
    <t>expense</t>
  </si>
  <si>
    <t>partial</t>
  </si>
  <si>
    <t>thru</t>
  </si>
  <si>
    <t>effective</t>
  </si>
  <si>
    <t>year ending</t>
  </si>
  <si>
    <t>ending</t>
  </si>
  <si>
    <t>beginning</t>
  </si>
  <si>
    <t>year</t>
  </si>
  <si>
    <t>(B)*(E)*(H)</t>
  </si>
  <si>
    <t>B*G</t>
  </si>
  <si>
    <t>I+J</t>
  </si>
  <si>
    <t>B*F</t>
  </si>
  <si>
    <t>K+(L*M)</t>
  </si>
  <si>
    <t xml:space="preserve">  Production contra afudc</t>
  </si>
  <si>
    <t>McGuire 1</t>
  </si>
  <si>
    <t>McGuire 2</t>
  </si>
  <si>
    <t>Radwaste</t>
  </si>
  <si>
    <t xml:space="preserve">  Transmission contra afudc</t>
  </si>
  <si>
    <t>Total contra afudc</t>
  </si>
  <si>
    <t>N+(C*O*P)</t>
  </si>
  <si>
    <t>T-R</t>
  </si>
  <si>
    <t>R+(C*P)</t>
  </si>
  <si>
    <t>W-T</t>
  </si>
  <si>
    <t>T+(C*U)</t>
  </si>
  <si>
    <t>(W)  Account 108.499 from general ledger</t>
  </si>
  <si>
    <t>Attachment Q</t>
  </si>
  <si>
    <t>561.1- 561.4 Break Down</t>
  </si>
  <si>
    <t>Schedule 1 Line 1</t>
  </si>
  <si>
    <t>Note F</t>
  </si>
  <si>
    <t>Note X</t>
  </si>
  <si>
    <t>Note L</t>
  </si>
  <si>
    <t>1/8 * [Line 13 - Line 9-Line 10-Line 12]</t>
  </si>
  <si>
    <t>Contra AFUDC Amount</t>
  </si>
  <si>
    <t>Commercial Operation Date</t>
  </si>
  <si>
    <t xml:space="preserve">Account 0108499 - </t>
  </si>
  <si>
    <t>ARO Nuclear Accum Depr -Nuc</t>
  </si>
  <si>
    <t>ARO Hydro Accum Depr</t>
  </si>
  <si>
    <t>Total ARO</t>
  </si>
  <si>
    <t>Total Accounts 561.1-561.4 (321.85.b:321.88.b)</t>
  </si>
  <si>
    <t xml:space="preserve">     Less amounts:</t>
  </si>
  <si>
    <t xml:space="preserve">          Control center assets included in Transmission Service Revenue Requirement</t>
  </si>
  <si>
    <t xml:space="preserve">          Reliability Council fees related to retail service</t>
  </si>
  <si>
    <t xml:space="preserve">          Scheduling fees paid for off-system sales</t>
  </si>
  <si>
    <t>Load Dispatch and Scheduling Expense included in Schedule 1</t>
  </si>
  <si>
    <t>Attachment S1</t>
  </si>
  <si>
    <t>Account</t>
  </si>
  <si>
    <t>Amounts Related to System Operating Center</t>
  </si>
  <si>
    <t>Remaining General Plant</t>
  </si>
  <si>
    <t>207.86.g</t>
  </si>
  <si>
    <t>(389) Land and Land Rights</t>
  </si>
  <si>
    <t>207.87.g</t>
  </si>
  <si>
    <t>(390) Structures and Improvements</t>
  </si>
  <si>
    <t>207.88.g</t>
  </si>
  <si>
    <t>(391) Office Furniture and Equipment</t>
  </si>
  <si>
    <t>207.89.g</t>
  </si>
  <si>
    <t>(392) Transportation Equipment</t>
  </si>
  <si>
    <t>207.90.g</t>
  </si>
  <si>
    <t>(393) Stores Equipment</t>
  </si>
  <si>
    <t>207.91.g</t>
  </si>
  <si>
    <t>(394) Tools, Shop and Garage Equipment</t>
  </si>
  <si>
    <t>207.92.g</t>
  </si>
  <si>
    <t>(395) Laboratory Equipment</t>
  </si>
  <si>
    <t>207.93.g</t>
  </si>
  <si>
    <t>(396) Power Operated Equipment</t>
  </si>
  <si>
    <t>207.94.g</t>
  </si>
  <si>
    <t>(397) Communication Equipment</t>
  </si>
  <si>
    <t>207.95.g</t>
  </si>
  <si>
    <t>(398) Miscellaneous Equipment</t>
  </si>
  <si>
    <t>207.97.g</t>
  </si>
  <si>
    <t>(399) Other Tangible Property</t>
  </si>
  <si>
    <t>207.98.g</t>
  </si>
  <si>
    <t>(399.1) Asset Reitrement Costs for General Plant</t>
  </si>
  <si>
    <t>207.99.g</t>
  </si>
  <si>
    <t>Total General Plant</t>
  </si>
  <si>
    <t>Schedule 1, Line 8a</t>
  </si>
  <si>
    <t>Annual Transmission Revenue Requirement</t>
  </si>
  <si>
    <t>Schedule 1 Annual Revenue Requirement</t>
  </si>
  <si>
    <t>Page 1 of 6</t>
  </si>
  <si>
    <t>DEC- Historic Rate</t>
  </si>
  <si>
    <t>Page 2 of 6</t>
  </si>
  <si>
    <t>Page 3 of 6</t>
  </si>
  <si>
    <t>Page 4 of 6</t>
  </si>
  <si>
    <t>Page 5 of 6</t>
  </si>
  <si>
    <t>Page 6 of 6</t>
  </si>
  <si>
    <t>DEC-Historic Rate</t>
  </si>
  <si>
    <t>561.1 Load Dispatch Reliability</t>
  </si>
  <si>
    <t>561.2 Load Dispatch Monitor and Operate Trans System</t>
  </si>
  <si>
    <t>561.3 Load Dispatch Trans Service &amp; Scheduling</t>
  </si>
  <si>
    <t>561.4 Scheduling System Control and Dispatch Services</t>
  </si>
  <si>
    <t>561.5 Reliability Planning</t>
  </si>
  <si>
    <t>561.6 Transmission Service</t>
  </si>
  <si>
    <t>561.7 Generation Interconnect Studies</t>
  </si>
  <si>
    <t>Form 1 (561.1-561.7)</t>
  </si>
  <si>
    <t>Attachment R</t>
  </si>
  <si>
    <t>Attachment S2</t>
  </si>
  <si>
    <t>Actual ATRR True Up Amount (Over Recovery = negative; Under Recovery = positive)</t>
  </si>
  <si>
    <t xml:space="preserve">     Less: Costs Associated with TCC</t>
  </si>
  <si>
    <t>Page 3, Line 16 a</t>
  </si>
  <si>
    <t>Revenue Tax Factor</t>
  </si>
  <si>
    <t>(Line 21/ 52)</t>
  </si>
  <si>
    <t>Line 5 + Line 6</t>
  </si>
  <si>
    <t xml:space="preserve">     Reversal of Anson AFUDC per Settlement</t>
  </si>
  <si>
    <t xml:space="preserve">(C) Excludes all income and gross receipts taxes.  Labor related other taxes include FICA and unemployment taxes.  </t>
  </si>
  <si>
    <t xml:space="preserve">      Property related taxes include county and local property, highway use, and intangible taxes.</t>
  </si>
  <si>
    <t>(F) Analysis of Company records of Interconnection facilities built after March 15, 2000.</t>
  </si>
  <si>
    <t xml:space="preserve">(G) The allocator "TP" is the percent of gross transmission plant that is OATT related, i.e., after removal of generator step-up and </t>
  </si>
  <si>
    <t xml:space="preserve">       interconnection investments.   It also serves as the basis for deriving the OATT transmission related labor from the Form 1 reported values.</t>
  </si>
  <si>
    <r>
      <t xml:space="preserve">(K) Duke Energy Carolinas will retain 50% of net revenues consistent with </t>
    </r>
    <r>
      <rPr>
        <i/>
        <u/>
        <sz val="14"/>
        <rFont val="Calibri"/>
        <family val="2"/>
        <scheme val="minor"/>
      </rPr>
      <t xml:space="preserve">Pacific Gas and Electric Company, 90 FERC </t>
    </r>
    <r>
      <rPr>
        <u/>
        <sz val="14"/>
        <rFont val="Calibri"/>
        <family val="2"/>
        <scheme val="minor"/>
      </rPr>
      <t>¶</t>
    </r>
    <r>
      <rPr>
        <i/>
        <u/>
        <sz val="14"/>
        <rFont val="Calibri"/>
        <family val="2"/>
        <scheme val="minor"/>
      </rPr>
      <t xml:space="preserve"> 61,314.  </t>
    </r>
  </si>
  <si>
    <t xml:space="preserve">(O) The Company only functionalizes Account 282 during annual tax return process. Will use most recent annual tax return reports to allocate </t>
  </si>
  <si>
    <t xml:space="preserve">       account balance to correct functions.</t>
  </si>
  <si>
    <t>(P) DEC must make a full section 205 filing at FERC before inputting or changing amounts associated with CWIP</t>
  </si>
  <si>
    <t>(Q) DEC must make a full section 205 filing at FERC before inputting or changing amounts associated with abandoned plant</t>
  </si>
  <si>
    <t>(R)  DEC must make a full section 205 filing at FERC before inputting or changing amounts associated with extraordinary property loss</t>
  </si>
  <si>
    <t>(S) ROE will be supported in the original filing and no change in ROE will be made absent a full section 205 filing at FERC.</t>
  </si>
  <si>
    <t xml:space="preserve">      Depreciation rates shown are fixed until changed as the result of a 205 filing at FERC.</t>
  </si>
  <si>
    <t xml:space="preserve">      or gross receipts that Duke receives under this agreement.  This is subject to change upon the filing of a full section 205 rate case.</t>
  </si>
  <si>
    <t xml:space="preserve">       A full section 205 filing at FERC is required to change this stated value.</t>
  </si>
  <si>
    <t>AFUDC Reversal Calculation:</t>
  </si>
  <si>
    <t>(4)=[1-(3)]*</t>
  </si>
  <si>
    <t>(1)</t>
  </si>
  <si>
    <t>Avg. Depr. Life</t>
  </si>
  <si>
    <t>% Depreciated</t>
  </si>
  <si>
    <t>Net AFUDC</t>
  </si>
  <si>
    <t>Depr. Rate</t>
  </si>
  <si>
    <t>(Months)</t>
  </si>
  <si>
    <t>Reversal</t>
  </si>
  <si>
    <t>(2) = 12 / (1)</t>
  </si>
  <si>
    <t>(Ending Balance)</t>
  </si>
  <si>
    <t>(Beginning Balance)</t>
  </si>
  <si>
    <t xml:space="preserve">Worksheet A (Interest calcualtion for True- Up of ATRR) </t>
  </si>
  <si>
    <t>(Interest Calculation for True-Up of Schedule 1)</t>
  </si>
  <si>
    <t>Worksheet B (Calculation of Amounts Owed under Actual Transmission Revenue Requirement)</t>
  </si>
  <si>
    <t>Worksheet C (Calculation of Amounts Owed under Actual Schedule 1 Revenue Requirement)</t>
  </si>
  <si>
    <t>Gross Plant In Service: (Note A and I)</t>
  </si>
  <si>
    <t>13 Month Average Balance used</t>
  </si>
  <si>
    <t>(H)  Excludes from the payroll reported on Form 1 page 354 amounts for which Duke Energy Carolinas is reimbursed by the Catawba Joint Owners</t>
  </si>
  <si>
    <t>(J) Network upgrade balance - prepayments is a reduction to rate base, accrued interest balance is an increase to rate base and Anson AFUDC</t>
  </si>
  <si>
    <t xml:space="preserve">      reversal is a reduction.</t>
  </si>
  <si>
    <t xml:space="preserve">(V) The equity component of the capital structure will be capped at the 2009 year end level of 52.4%.  </t>
  </si>
  <si>
    <t>Attachment P (Note W)</t>
  </si>
  <si>
    <t xml:space="preserve">     ADIT - 282 (Note O)</t>
  </si>
  <si>
    <t>Rate Base Adjustment - Network Upgrade Prepayment Balances (Note J)</t>
  </si>
  <si>
    <t>Summary Cap Structure (Note S)</t>
  </si>
  <si>
    <t>Point To Point</t>
  </si>
  <si>
    <t>Network</t>
  </si>
  <si>
    <t>GridSouth System Level for Wholesale Amount (Note N)</t>
  </si>
  <si>
    <t>Line 23 / 5 days</t>
  </si>
  <si>
    <t>Line 26/ 16hrs</t>
  </si>
  <si>
    <t>Line 27/ 24hrs</t>
  </si>
  <si>
    <t>Line 23 / 7 days</t>
  </si>
  <si>
    <t>Line 30 / Line 31</t>
  </si>
  <si>
    <t>Line 33 / Line 34</t>
  </si>
  <si>
    <t>Line 10 * Schedule 1 Line 32</t>
  </si>
  <si>
    <t>Line 10 * Schedule 1 Line 35</t>
  </si>
  <si>
    <t>Line 16 * Schedule 1 Line 32</t>
  </si>
  <si>
    <t>227.8.b, 227.8.c</t>
  </si>
  <si>
    <t>227.16.b, 227.16.c</t>
  </si>
  <si>
    <t>321.85.b:321.88.b; 321.96.b</t>
  </si>
  <si>
    <t>Category</t>
  </si>
  <si>
    <t>Page</t>
  </si>
  <si>
    <t>Prior Yr. Col.</t>
  </si>
  <si>
    <t>Curr. Yr. Col.</t>
  </si>
  <si>
    <t>Ending Balance/ Current Year Amount</t>
  </si>
  <si>
    <t xml:space="preserve">Production Plant </t>
  </si>
  <si>
    <t>204-205</t>
  </si>
  <si>
    <t>b</t>
  </si>
  <si>
    <t>g</t>
  </si>
  <si>
    <t>FERC Form 1, 205.15, 205.24, 205.34, 205.44, (b) &amp; (g)</t>
  </si>
  <si>
    <t>Production ARO</t>
  </si>
  <si>
    <t>15,24,34,44</t>
  </si>
  <si>
    <t>FERC Form 1, 206.101.b, 207.101.g</t>
  </si>
  <si>
    <t>Plant Purchased (Sold)</t>
  </si>
  <si>
    <t xml:space="preserve">Transmission Plant </t>
  </si>
  <si>
    <t>206-207</t>
  </si>
  <si>
    <t>Distribution Plant</t>
  </si>
  <si>
    <t xml:space="preserve">General Plant </t>
  </si>
  <si>
    <t>FERC Form 1, 206.98.b, 207.98.g</t>
  </si>
  <si>
    <t>General Plant ARO</t>
  </si>
  <si>
    <t xml:space="preserve">Intangible Plant </t>
  </si>
  <si>
    <t>FERC Form 1, 219.20-24.b</t>
  </si>
  <si>
    <t>Production Depreciation Reserve</t>
  </si>
  <si>
    <t>na</t>
  </si>
  <si>
    <t>FERC Form 1, 219.25.b</t>
  </si>
  <si>
    <t>Transmission Depreciation Reserve</t>
  </si>
  <si>
    <t>FERC Form 1, 219.26.b</t>
  </si>
  <si>
    <t>Distribution Depreciation Reserve</t>
  </si>
  <si>
    <t>FERC Form 1, 219.28.b</t>
  </si>
  <si>
    <t>General Depreciation Reserve</t>
  </si>
  <si>
    <t>FERC Form 1, 200.21.c</t>
  </si>
  <si>
    <t>Intangible Depreciation Reserve</t>
  </si>
  <si>
    <t>FERC Form 1, 234.18.b, 234.18.c</t>
  </si>
  <si>
    <t>ADIT (Account 190)</t>
  </si>
  <si>
    <t>c</t>
  </si>
  <si>
    <t>FERC Form 1, 274.9.b, 275.9.k</t>
  </si>
  <si>
    <t>ADIT (Account 282)</t>
  </si>
  <si>
    <t>274-275</t>
  </si>
  <si>
    <t>k</t>
  </si>
  <si>
    <t>ADIT (Account 283)</t>
  </si>
  <si>
    <t>276-277</t>
  </si>
  <si>
    <t>FERC Form 1, 232.44.b, 232.44.f</t>
  </si>
  <si>
    <t>Other Regulatory Assets</t>
  </si>
  <si>
    <t>f</t>
  </si>
  <si>
    <t>FERC Form 1, 112.28.d, 112.28.c</t>
  </si>
  <si>
    <t>Accum Provision for I&amp;D</t>
  </si>
  <si>
    <t>d</t>
  </si>
  <si>
    <t>FERC Form 1, 227.8.b, 227.8.c</t>
  </si>
  <si>
    <t>Materials and Supplies- Transmission</t>
  </si>
  <si>
    <t>FERC Form 1, 227.16.b, 227.16.c</t>
  </si>
  <si>
    <t>Materials and Supplies- Stores</t>
  </si>
  <si>
    <t>FERC Form 1, 321.112.b</t>
  </si>
  <si>
    <t>Transmission O&amp;M Expense</t>
  </si>
  <si>
    <t>FERC Form 1, 323.197.b</t>
  </si>
  <si>
    <t>A&amp;G Expense</t>
  </si>
  <si>
    <t>FERC Form 1, 323.185.b</t>
  </si>
  <si>
    <t>Property Insurance</t>
  </si>
  <si>
    <t>FERC Form 1, 323.189.b</t>
  </si>
  <si>
    <t>Regulatory Commission Expense</t>
  </si>
  <si>
    <t>FERC Form 1, 323.191.b</t>
  </si>
  <si>
    <t>General Advertising Expense</t>
  </si>
  <si>
    <t>FERC Form 1, 335.1-3.b</t>
  </si>
  <si>
    <t>Industry Dues, R&amp;D and Nuc Assoc Exp</t>
  </si>
  <si>
    <t>Annual FERC Billing</t>
  </si>
  <si>
    <t>FERC Form 1, 336.7.f</t>
  </si>
  <si>
    <t>FERC Form 1, 336.10.f</t>
  </si>
  <si>
    <t>FERC Form 1, 336.1.f</t>
  </si>
  <si>
    <t>FERC Form 1, 263.5,18,31,35,36.i and 263.1.2-3.i</t>
  </si>
  <si>
    <t>Labor Related Taxes</t>
  </si>
  <si>
    <t>i</t>
  </si>
  <si>
    <t>FERC Form 1, 263.11,12,25.i and 263.1.4.i</t>
  </si>
  <si>
    <t>Property Related Taxes</t>
  </si>
  <si>
    <t>FERC Form 1, 266.8.f</t>
  </si>
  <si>
    <t>Amortized ITC</t>
  </si>
  <si>
    <t>Transmission Less than 44kV</t>
  </si>
  <si>
    <t>l</t>
  </si>
  <si>
    <t>FERC Form 1, 355.65.b</t>
  </si>
  <si>
    <t>O&amp;M Labor</t>
  </si>
  <si>
    <t>FERC Form 1 354.27.b</t>
  </si>
  <si>
    <t>A&amp;G Labor</t>
  </si>
  <si>
    <t>FERC Form 1 354.21.b</t>
  </si>
  <si>
    <t>Transmission O&amp;M Labor</t>
  </si>
  <si>
    <t>FERC Form 1, 117.62-67.c</t>
  </si>
  <si>
    <t>Long Term Interest Expense</t>
  </si>
  <si>
    <t>62-67</t>
  </si>
  <si>
    <t>FERC Form 1, 112.24.c</t>
  </si>
  <si>
    <t>Total Long-Term Debt</t>
  </si>
  <si>
    <t>FERC Form 1, 111.81.c</t>
  </si>
  <si>
    <t>Loss on Reacquired Debt</t>
  </si>
  <si>
    <t>FERC Form 1, 113.61.c</t>
  </si>
  <si>
    <t>Unamortized Gain on Reacquired Debt</t>
  </si>
  <si>
    <t>FERC Form 1, 112.16.c</t>
  </si>
  <si>
    <t>Proprietary Captial</t>
  </si>
  <si>
    <t>FERC Form 1, 112.12.c</t>
  </si>
  <si>
    <t>Unappropriated Undistributed Sub Earnings</t>
  </si>
  <si>
    <t>20-24</t>
  </si>
  <si>
    <t>FERC Form 1, 276.19.b, 277.19.k</t>
  </si>
  <si>
    <t>Internal Data Requests:</t>
  </si>
  <si>
    <t>Tab Used</t>
  </si>
  <si>
    <t>Asset Accounting:</t>
  </si>
  <si>
    <t>Attach L</t>
  </si>
  <si>
    <t>Attach M</t>
  </si>
  <si>
    <t>Attach N</t>
  </si>
  <si>
    <t>Attach O</t>
  </si>
  <si>
    <t>Attach S-1</t>
  </si>
  <si>
    <t>Attach P</t>
  </si>
  <si>
    <t>Wholesale Accounting Department:</t>
  </si>
  <si>
    <t>Attach J</t>
  </si>
  <si>
    <t xml:space="preserve">Catawba Accounting: </t>
  </si>
  <si>
    <t>Amount of Catawba Reimbursements related to A&amp;G Labor</t>
  </si>
  <si>
    <t>Transmission Business Group: (Beth Klipplinger)</t>
  </si>
  <si>
    <t>Planning document of planned capital additions &gt; $5M by year for next 3 years after year of filing: (excludes SG projects and &lt;44KV projects)</t>
  </si>
  <si>
    <t>Attach R</t>
  </si>
  <si>
    <t>Tax Department</t>
  </si>
  <si>
    <t>DIT (Acct. 282) allocation to functional areas based on most current tax return filed - Jesse Boger</t>
  </si>
  <si>
    <t>Attach B</t>
  </si>
  <si>
    <t>Detail of Accounts 190,282,283 - this is a quarterly data request which is sent to Kaari Beard each quarter</t>
  </si>
  <si>
    <t>Attach A-C</t>
  </si>
  <si>
    <t>Composite Rates for NC/SC and Federal Tax Rate - this is data request item maintained by Kaari Beard and Billy Haygood</t>
  </si>
  <si>
    <t>Allocation rate used for Extra Facilities on Attachment G:</t>
  </si>
  <si>
    <t>This allocation comes from the policy on extra facilities</t>
  </si>
  <si>
    <t>Attach G</t>
  </si>
  <si>
    <t>Tower Rental Group (DCS)- Cheryl Kelley</t>
  </si>
  <si>
    <t xml:space="preserve"> - Tower Rental Actual vs Budget reconciliation Report</t>
  </si>
  <si>
    <t>Attach H</t>
  </si>
  <si>
    <t>FERC Form 1, 400.17.e</t>
  </si>
  <si>
    <t>Firm Network Service for Self</t>
  </si>
  <si>
    <t>e</t>
  </si>
  <si>
    <t>FERC Form 1, 400.17.f</t>
  </si>
  <si>
    <t>Firm Network Service for Others</t>
  </si>
  <si>
    <t>FERC Form 1, 400.17.g</t>
  </si>
  <si>
    <t>Long Term PTP Reservations</t>
  </si>
  <si>
    <t>FERC Form 1, 400.17.j</t>
  </si>
  <si>
    <t>Other Service</t>
  </si>
  <si>
    <t>j</t>
  </si>
  <si>
    <t>Z-W</t>
  </si>
  <si>
    <t>W+(C*X)</t>
  </si>
  <si>
    <t>FERC Form 1, 321.85.b &amp; 321.85.c</t>
  </si>
  <si>
    <t>FERC Form 1, 321.86.b &amp; 321.86.c</t>
  </si>
  <si>
    <t>FERC Form 1, 321.87.b &amp; 321.87.c</t>
  </si>
  <si>
    <t>FERC Form 1, 321.88.b &amp; 321.88.c</t>
  </si>
  <si>
    <t>FERC Form 1, 321.89.b &amp; 321.89.c</t>
  </si>
  <si>
    <t>FERC Form 1, 321.90.b &amp; 321.90.c</t>
  </si>
  <si>
    <t>FERC Form 1, 321.91.b &amp; 321.91.c</t>
  </si>
  <si>
    <t>FERC Form 1, 321.96.b &amp; 321.96.c</t>
  </si>
  <si>
    <t xml:space="preserve"> Transmission of Electricity by Others</t>
  </si>
  <si>
    <t>Amount of Catawba Reimbursements related toTotal Direct Payroll Labor</t>
  </si>
  <si>
    <t>Transmission Plant held for future use - Renee Correll</t>
  </si>
  <si>
    <t>Rate Base (line 28)</t>
  </si>
  <si>
    <t>Alloc . Factors (line 6)</t>
  </si>
  <si>
    <t>Alloc . Factors (line 7)</t>
  </si>
  <si>
    <t>Detail breakdown of Intangible Plant, by project - Amanda Wooten</t>
  </si>
  <si>
    <t>Detail breakdown of Intangible Plant Accumulated Amortization, by project - Amanda Wooten</t>
  </si>
  <si>
    <t>Detail breakdown of Intanglible Plant Amortization Expense,by project - Amanda Wooten</t>
  </si>
  <si>
    <t>Depreciation rates - Changes only when new depreciation study is completed - Lesa Perkins</t>
  </si>
  <si>
    <t>Determination of SOC Plant - Huyen Dang</t>
  </si>
  <si>
    <t>Breakdown of components of 0108499 - by function (ARO Rollforward)- Lesa Perkins</t>
  </si>
  <si>
    <t>Generator Step up Transformers - Renee Correll</t>
  </si>
  <si>
    <t>Alloc Factors (line 2)</t>
  </si>
  <si>
    <t xml:space="preserve"> - Anson County project  (Jay Klein)</t>
  </si>
  <si>
    <t>Rev. Requirements (lines 24-25)</t>
  </si>
  <si>
    <t>Transmission Contracts</t>
  </si>
  <si>
    <t>-New Radials - Charlotte Glassman</t>
  </si>
  <si>
    <t>Alloc. Factors (line 3a)</t>
  </si>
  <si>
    <t xml:space="preserve"> - Query that breaks out only Direct  costs - we have query</t>
  </si>
  <si>
    <t>Prepayment schedule for any identified prepaid projects which receive bill credits - (Jay Klein)</t>
  </si>
  <si>
    <t xml:space="preserve">          Electric Plant Purchased</t>
  </si>
  <si>
    <t>206.58.b, 207.58.g</t>
  </si>
  <si>
    <t>206.101.b, 207.101.g (Note Y)</t>
  </si>
  <si>
    <t>219.20-24.c</t>
  </si>
  <si>
    <t>219.25.c</t>
  </si>
  <si>
    <t>219.26.c</t>
  </si>
  <si>
    <t>219.28.c</t>
  </si>
  <si>
    <t xml:space="preserve">     ADIT - 281</t>
  </si>
  <si>
    <t>272.17b, 273.17k</t>
  </si>
  <si>
    <t>FERC Form 1, 272.17b, 273.17k</t>
  </si>
  <si>
    <t>ADIT (Account 281)</t>
  </si>
  <si>
    <t>272-273</t>
  </si>
  <si>
    <t>Deferred Income Tax Balances - GL Account 281 &amp; 282</t>
  </si>
  <si>
    <t xml:space="preserve">Total GL Account 281 </t>
  </si>
  <si>
    <t>(Y) Represents production related items</t>
  </si>
  <si>
    <t>(Z) Education and outreach expenses relating to transmission, for example siting or billing</t>
  </si>
  <si>
    <t>Page 3, Line 21a</t>
  </si>
  <si>
    <t>Line 14 * Page 3 Line 27</t>
  </si>
  <si>
    <t xml:space="preserve"> Page 2, Line 4</t>
  </si>
  <si>
    <t>Page 2, Line 6 - Page 2, Line 4b</t>
  </si>
  <si>
    <t xml:space="preserve">Deferred Income Tax Balances - GL Account 190 </t>
  </si>
  <si>
    <t xml:space="preserve">Deferred Income Tax Balances - GL Account 283 </t>
  </si>
  <si>
    <t>Other Regulatory Assets - GL Account 182.3</t>
  </si>
  <si>
    <t>Accumulated Provisions for Pensions and Benefits- GL Account 228.3</t>
  </si>
  <si>
    <t>Total GL Account 253</t>
  </si>
  <si>
    <t>Page 3, Line 26</t>
  </si>
  <si>
    <t>Line 3 -(Line 3 * Line 4)</t>
  </si>
  <si>
    <t>Line 7 * Line 8</t>
  </si>
  <si>
    <t>TOTAL - Form 1, Page 200, Line 21</t>
  </si>
  <si>
    <t>Contra AFUDC Amounts Recorded Pursuant to CFR 35.25 (f)(2)</t>
  </si>
  <si>
    <t>FERC Form 1, 350.13.b</t>
  </si>
  <si>
    <t>FERC Form 1, 423.3.17.l</t>
  </si>
  <si>
    <t>423.3.17.l</t>
  </si>
  <si>
    <t xml:space="preserve">     Less:  New Radial Facilities</t>
  </si>
  <si>
    <t>Current Nonqualified Pension</t>
  </si>
  <si>
    <t>FAS 5</t>
  </si>
  <si>
    <t>Incentive Plan</t>
  </si>
  <si>
    <t>Pension Lawsuit Contingency</t>
  </si>
  <si>
    <t>Short Term OPEB</t>
  </si>
  <si>
    <t>ST Post Retirement</t>
  </si>
  <si>
    <t>Accrued Pensions - FAS 158</t>
  </si>
  <si>
    <t>FAS 106 - OPRB Medical</t>
  </si>
  <si>
    <t>Pension Post Retirement - PAA</t>
  </si>
  <si>
    <t>Pension Post Retirement - FAS - NQ</t>
  </si>
  <si>
    <t>Pre-Funded Pension Costs</t>
  </si>
  <si>
    <t>Gridsouth Investment SC Retail</t>
  </si>
  <si>
    <t>DPC Pos EMP FAS 87 (Cinergy)</t>
  </si>
  <si>
    <t>Endure Energy LLC</t>
  </si>
  <si>
    <t>Blue Ridge Electric Membership Corporation</t>
  </si>
  <si>
    <t>City of Kings Mountain</t>
  </si>
  <si>
    <t>NC Electric Membership Corporation</t>
  </si>
  <si>
    <t>Piedmont Electric Membership Corporation</t>
  </si>
  <si>
    <t>Rutherford Electric Membership Corporation</t>
  </si>
  <si>
    <t>Town of Highlands</t>
  </si>
  <si>
    <t>Avarmar Software Purchase - Carolinas</t>
  </si>
  <si>
    <t>EMS Standby Enhancement</t>
  </si>
  <si>
    <t>Telecommunications Network - Transmission</t>
  </si>
  <si>
    <t>PD Asset Management Optimization</t>
  </si>
  <si>
    <t>Replacing Network &amp; P2P Billing Systems with Lodestar</t>
  </si>
  <si>
    <t>Transmission Outage &amp; Logging Application</t>
  </si>
  <si>
    <t>Transmission Line PLS-CADD to EMAX Integration - Carolina</t>
  </si>
  <si>
    <t>Footprints Application</t>
  </si>
  <si>
    <t>Relay Testing System</t>
  </si>
  <si>
    <t>SOC EMS Blade Server - Upgrade Software</t>
  </si>
  <si>
    <t>Transmission Billing System Replacement</t>
  </si>
  <si>
    <t>Leasehold Improvement Projects</t>
  </si>
  <si>
    <r>
      <t>(3) = 54.5</t>
    </r>
    <r>
      <rPr>
        <sz val="11"/>
        <rFont val="Calibri"/>
        <family val="2"/>
      </rPr>
      <t xml:space="preserve"> / (2)</t>
    </r>
  </si>
  <si>
    <t>AC-Z</t>
  </si>
  <si>
    <t>Z+(C*AA)</t>
  </si>
  <si>
    <t>Renewable Energy &amp; Energy Portfolio Cost Deferral</t>
  </si>
  <si>
    <t>Pension Expense Deferral</t>
  </si>
  <si>
    <t>Cliffside Deferral</t>
  </si>
  <si>
    <t>Pension Non Qualified</t>
  </si>
  <si>
    <t>Gridsouth Investment - Wholesale</t>
  </si>
  <si>
    <t>Interest Rate Swap</t>
  </si>
  <si>
    <t>Cust Call Ctr Switch Repl</t>
  </si>
  <si>
    <t>Load Research Interfaces EDM042</t>
  </si>
  <si>
    <t>Trans Billing System</t>
  </si>
  <si>
    <t>FAS 87 Pension Plan</t>
  </si>
  <si>
    <t>Payable 401(k) Match</t>
  </si>
  <si>
    <t>Reg Asset - Accr Pension FAS158 - FAS 106</t>
  </si>
  <si>
    <t>Reg Asset - Accr Pension FAS158 - FAS 87 NQ</t>
  </si>
  <si>
    <t>Prepaid Insurance</t>
  </si>
  <si>
    <t>Autodesk 2012 Upgrade - Carolinas</t>
  </si>
  <si>
    <t>EAM Phase 3 work</t>
  </si>
  <si>
    <t>Enterprise Asset Management PH2</t>
  </si>
  <si>
    <t>Serial to IP - Software</t>
  </si>
  <si>
    <t>Spec Agency Assistance Portal</t>
  </si>
  <si>
    <t>Trans Outage &amp; Logging App</t>
  </si>
  <si>
    <t>Other Regulatory Liabilities - GL Account 254</t>
  </si>
  <si>
    <t>Total GL Account 254</t>
  </si>
  <si>
    <t xml:space="preserve">     Other Regulatory Assets (182.3)</t>
  </si>
  <si>
    <t xml:space="preserve">     Pension Cost Adj (182.3,253 &amp; 254)</t>
  </si>
  <si>
    <t>354.21.b</t>
  </si>
  <si>
    <t>350.Various.b</t>
  </si>
  <si>
    <t>Note Z</t>
  </si>
  <si>
    <t xml:space="preserve">     Plus: Costs Associated with Transmission Control Center (TCC)  booked in above accounts</t>
  </si>
  <si>
    <r>
      <t xml:space="preserve">(N) Beginning June 1, 2018 and each year thereafter, the value of the GridSouth amortization at Attachment K </t>
    </r>
    <r>
      <rPr>
        <sz val="13"/>
        <color theme="1"/>
        <rFont val="Times New Roman"/>
        <family val="1"/>
      </rPr>
      <t>line 4 will be zero.</t>
    </r>
  </si>
  <si>
    <t>Page 1, Line 13</t>
  </si>
  <si>
    <t>Other Deferred Credits - GL Account 253</t>
  </si>
  <si>
    <t>ATRR True up Line 3/12</t>
  </si>
  <si>
    <t>ATRR True up Line 11/12</t>
  </si>
  <si>
    <t>Add: Duke Energy Carolinas Bulk Power Marketing Transmission Revenues and Ancillary Revenues</t>
  </si>
  <si>
    <t>EAM Carolinas Phase 1</t>
  </si>
  <si>
    <t>Telecommunications Network - Trans. Substations</t>
  </si>
  <si>
    <t>SAN Expansion - Software - Electric Center II</t>
  </si>
  <si>
    <t>SERIAL TO IP - Software</t>
  </si>
  <si>
    <t>EAM_Carolinas Phase 1-3</t>
  </si>
  <si>
    <t>Implementation of Telecommunication Backbone Network at Transmission Substation</t>
  </si>
  <si>
    <t>Implementation of Telecommunication Backbone Network for Remote access</t>
  </si>
  <si>
    <t>REPLACING CA2001 (NETWORK TRANS) AND P2P (POINT TO POINT) systems w/LODESTAR</t>
  </si>
  <si>
    <t>Transmission Line PLS-CADD to EMAX Integration</t>
  </si>
  <si>
    <t>AVAMAR SW PURCH-Carolina</t>
  </si>
  <si>
    <t>Depr. &amp; Amort. -Transmission Plant</t>
  </si>
  <si>
    <t>Depr. &amp; Amort. -General Plant</t>
  </si>
  <si>
    <t>Depr. &amp; Amort. -Intangible Plant</t>
  </si>
  <si>
    <t>263.i - Note D</t>
  </si>
  <si>
    <t>Vacation Accrual</t>
  </si>
  <si>
    <t>Total Point -to-Point (PTP) Revenues and Ancillary Revenues</t>
  </si>
  <si>
    <t>Remove: Long-Term Firm PTP Transmission Revenues and Ancillaries</t>
  </si>
  <si>
    <t xml:space="preserve">Remove:  PTP Non-Firm and Short-Term Firm Schedule 2 and Loss Compensation Ancillary Revenues </t>
  </si>
  <si>
    <t>Remove:  PTP Non-Firm and Short-Term Firm PTP Schedule 1 Revenues</t>
  </si>
  <si>
    <t>PTP Non-Firm and Short Term Firm Revenues - Net of Ancillary Services</t>
  </si>
  <si>
    <t xml:space="preserve"> Total System Long Term Firm Transmission Load Peak Demand</t>
  </si>
  <si>
    <t>Transmission Loss Factor from OATT</t>
  </si>
  <si>
    <t>DEC OATT</t>
  </si>
  <si>
    <t>Firm Network Service for Others Adjusted for Losses</t>
  </si>
  <si>
    <t>Total Firm Network Service for Others Adjusted for Losses + Long Term Firm PTP Reservations</t>
  </si>
  <si>
    <t>Line 8 + Line 12</t>
  </si>
  <si>
    <t>Peak Demand Allocation Factor</t>
  </si>
  <si>
    <t>Line 13 / Line 10</t>
  </si>
  <si>
    <t>Line 3 / Line 14</t>
  </si>
  <si>
    <t>Load Ratio Share Billing demands:</t>
  </si>
  <si>
    <t>Monthly network service billing demand (Excludes Transmission Losses)</t>
  </si>
  <si>
    <t>Sum (Line 6 : Line 9)</t>
  </si>
  <si>
    <t>Line 1*.2675 (Note M)</t>
  </si>
  <si>
    <t xml:space="preserve">(X) "New Radial Facilities" shall have the meaning set forth in Schedule 10, Exhibit B, Formula Rate Principles,  Section 11.0(iii)(1). </t>
  </si>
  <si>
    <t>34a</t>
  </si>
  <si>
    <t>Accum Provision for Insurance (228.1)</t>
  </si>
  <si>
    <t>Total GL Account 228.1</t>
  </si>
  <si>
    <t>Accumulated Provisions for Property Insurance - GL Account 228.1</t>
  </si>
  <si>
    <t>FERC Form 1, 112.27.d, 112.27.c</t>
  </si>
  <si>
    <t>Accum Provision for Property Insurance</t>
  </si>
  <si>
    <t>112.28.b, 112.28.c</t>
  </si>
  <si>
    <t>112.27.b, 112.27.c</t>
  </si>
  <si>
    <t>Deferred VOP Expenses</t>
  </si>
  <si>
    <t>Deferred Pension Expenses</t>
  </si>
  <si>
    <t>Clemson Grant</t>
  </si>
  <si>
    <t>Save-A-Watt program deferrals</t>
  </si>
  <si>
    <t>Dan River &amp; Cliffside 5 deferred costs</t>
  </si>
  <si>
    <t>Coastal Wind Project deferred costs - NC</t>
  </si>
  <si>
    <t>Buck and Bridgewater Project deferred costs</t>
  </si>
  <si>
    <t>Bentley Live Data Exchange (LDE) Workflow software</t>
  </si>
  <si>
    <t>EBPE Phase 2</t>
  </si>
  <si>
    <t xml:space="preserve">EGIS / EMAX PD Device Integration </t>
  </si>
  <si>
    <t>Energy Management System (EMS)</t>
  </si>
  <si>
    <t>In House Software-Cust Billing</t>
  </si>
  <si>
    <t>MWMS User Software Licenses</t>
  </si>
  <si>
    <t xml:space="preserve">REC Tracking Tool </t>
  </si>
  <si>
    <t>SELF HEALING SOFTWARE/HARDWARE TO OPERATE NETWORK FOR THE CAROLINAS</t>
  </si>
  <si>
    <t>SUBSTATION DESIGN SOLUTION - CAROLINA</t>
  </si>
  <si>
    <t>Summit - DP Portion</t>
  </si>
  <si>
    <t>AUTODESK 2012 UPGRADE - CAROLINA</t>
  </si>
  <si>
    <t>BENTLEY LIVE DATA EXCHANGE (LDE) WORKFLOW SOFTWARE AND NEW NON-LDE WORKFLOW ENHANCEMENTS - CAROLINAS</t>
  </si>
  <si>
    <t>Footprints EMS-Numara</t>
  </si>
  <si>
    <t>MWMS USER SOFTWARE LICENSES</t>
  </si>
  <si>
    <t>REC TRACKING TOOL</t>
  </si>
  <si>
    <t>Bentley Expert Designer Upgrade</t>
  </si>
  <si>
    <t>Customer Call Center Switch Repl</t>
  </si>
  <si>
    <t>AH-AC</t>
  </si>
  <si>
    <t>AC+(C*AF)</t>
  </si>
  <si>
    <t>Autodesk 2012 Upgrade Carolina</t>
  </si>
  <si>
    <t>Bentley LDE WKFLOW/ED ENHANCEMENT</t>
  </si>
  <si>
    <t>EGIS Defect Release</t>
  </si>
  <si>
    <t>MWMS USER SW LICENSES</t>
  </si>
  <si>
    <t>NES 3.0 Upgrade SGS.036 - Prioritization tool</t>
  </si>
  <si>
    <t>SELF HEALING SOFTWARE</t>
  </si>
  <si>
    <t>SUBSTATION DESIGN SOLUTION</t>
  </si>
  <si>
    <t>ARO Fossil (landfills &amp; asbestos)</t>
  </si>
  <si>
    <t>ARO General (asbestos)</t>
  </si>
  <si>
    <t>ARO Other Production - (solar)</t>
  </si>
  <si>
    <t>ARO - Hydro</t>
  </si>
  <si>
    <r>
      <t>(3) = 66.5</t>
    </r>
    <r>
      <rPr>
        <sz val="11"/>
        <rFont val="Calibri"/>
        <family val="2"/>
      </rPr>
      <t xml:space="preserve"> / (2)</t>
    </r>
  </si>
  <si>
    <t>General - Structures</t>
  </si>
  <si>
    <t>General</t>
  </si>
  <si>
    <t>SOC EMS Blade Software</t>
  </si>
  <si>
    <t>CTA Costs</t>
  </si>
  <si>
    <t>Energy Management System EMP 2.6 UPGRADE PROJECT</t>
  </si>
  <si>
    <t>352-359</t>
  </si>
  <si>
    <t>391-398</t>
  </si>
  <si>
    <t>Passenger Cars</t>
  </si>
  <si>
    <t>Light Trucks</t>
  </si>
  <si>
    <t>Med Trucks</t>
  </si>
  <si>
    <t>Heavy Trucks</t>
  </si>
  <si>
    <t>Med Trucks/ Power Equip</t>
  </si>
  <si>
    <t>Heavy Trucks/ Power Equip</t>
  </si>
  <si>
    <t xml:space="preserve">Tractors </t>
  </si>
  <si>
    <t>Trailers</t>
  </si>
  <si>
    <t>Trenchers and Cable Plows</t>
  </si>
  <si>
    <t>Rubber Tired Tractors</t>
  </si>
  <si>
    <t>Heavy Const. Equip</t>
  </si>
  <si>
    <t>Mobile Cranes</t>
  </si>
  <si>
    <t>Forklifts</t>
  </si>
  <si>
    <t>Misc Non-Hwy Equip</t>
  </si>
  <si>
    <t>Rate Base (Sum of lines 18, 23,29,30,31,32,35,and 40)</t>
  </si>
  <si>
    <t>Adjustments</t>
  </si>
  <si>
    <t xml:space="preserve">    15b</t>
  </si>
  <si>
    <t>Ending Balance/ Current Year Amount Less CTA and Adjustments</t>
  </si>
  <si>
    <t>PP&amp;E - Adjustment for deferred taxes on book acctg impairment</t>
  </si>
  <si>
    <t>On-Peak Hours</t>
  </si>
  <si>
    <t>Off-Peak Hours</t>
  </si>
  <si>
    <t>Beginning Balance/Prior Year Amount</t>
  </si>
  <si>
    <t>Beginning Balance / Prior Year Amount (Net of CTA and Adjustments)</t>
  </si>
  <si>
    <t>Brookfield Energy Marketing</t>
  </si>
  <si>
    <t>Exelon Power Team</t>
  </si>
  <si>
    <t>Central Electric Power Coop</t>
  </si>
  <si>
    <t xml:space="preserve"> DPC Pension Liability (FAS 87)</t>
  </si>
  <si>
    <t>McGuire Uprates</t>
  </si>
  <si>
    <t>Fukushima CyberSecurity</t>
  </si>
  <si>
    <t>Nuclear Levelization</t>
  </si>
  <si>
    <t>Billing System Deferral</t>
  </si>
  <si>
    <t>Other Deferred Costs</t>
  </si>
  <si>
    <t>Enterprise Asset Management PH2 (EAM_Carolinas Phase 2)</t>
  </si>
  <si>
    <t xml:space="preserve"> Pension Rest</t>
  </si>
  <si>
    <t xml:space="preserve"> </t>
  </si>
  <si>
    <t>Total Per Form 1</t>
  </si>
  <si>
    <t>Comtrac to CXL interface</t>
  </si>
  <si>
    <t>Enterprise Cust Syst DCI1</t>
  </si>
  <si>
    <t>Enterprise Cust Syst DCI1 Capital</t>
  </si>
  <si>
    <t>Enterprise Cust Syst DCI2 Capital</t>
  </si>
  <si>
    <t>GIS Plotting Enhancements - Carolinas</t>
  </si>
  <si>
    <t xml:space="preserve">Implement Upgrade To GIS </t>
  </si>
  <si>
    <t>Implement EGIS Corrections and Enhancements</t>
  </si>
  <si>
    <t>Repl Integrator w/ITRON FCS Software - CAROLINAS</t>
  </si>
  <si>
    <t>Enterprise Cust syst DCI1 Capital</t>
  </si>
  <si>
    <t>Enterprise Cust syst Ph1.2 Capital</t>
  </si>
  <si>
    <t>Enterprise Cust system DCI2 Capital</t>
  </si>
  <si>
    <t>Enterprise Cust systems Ph1 Capital</t>
  </si>
  <si>
    <t>GIS Plotting Enhancements</t>
  </si>
  <si>
    <t>IMPLEMENT UPGRADE CURRENT VERSION OF EXPERT DESIGNER &amp; MICROSTATION v8i TO THE SUPPORTED BENTLEY VERSION THAT HAS LATEST CORE UPDATES THAT WILL BE NEEDED TO SUPPORT THE NEW EXPORT/IMPORT GIS FUNCTIONALITY.</t>
  </si>
  <si>
    <t>Repl Integrator w/ITRON FCS Software - Carolinas</t>
  </si>
  <si>
    <t>Phasor Visualization Software</t>
  </si>
  <si>
    <t>STIP EMS Software</t>
  </si>
  <si>
    <t xml:space="preserve">Note:  Customer Prepayment are fully refunded </t>
  </si>
  <si>
    <t>STIP EMS Software - Super Phasor</t>
  </si>
  <si>
    <t>Substation Design Solution - Carolina</t>
  </si>
  <si>
    <t xml:space="preserve">Attachment K, Line 10 Total MW/12 </t>
  </si>
  <si>
    <t>System Long Term Firm Transmission Peak Demand (MW)</t>
  </si>
  <si>
    <t>Prior Year's DEC-Projected Rate, Page 1 Line 19 (excluding previous year's true-up)</t>
  </si>
  <si>
    <t>Prior Year's DEC-Projected Rate, Page 6, Line 26 (excluding previous year's true-up)</t>
  </si>
  <si>
    <t>Natural Gas Hedging - MTM</t>
  </si>
  <si>
    <t>Rate Case Costs</t>
  </si>
  <si>
    <t>Coal Ash Basin - ARO Deferral</t>
  </si>
  <si>
    <t>Unbilled Fuel</t>
  </si>
  <si>
    <t>Pension Cost Adj (ODC)</t>
  </si>
  <si>
    <t>Pension Cost Adj (ORL)</t>
  </si>
  <si>
    <t>328, Line 1</t>
  </si>
  <si>
    <t>328, Line 2</t>
  </si>
  <si>
    <t>328, Line 3</t>
  </si>
  <si>
    <t>328, Line 4</t>
  </si>
  <si>
    <t>328, Line 5</t>
  </si>
  <si>
    <t>328, Line 6</t>
  </si>
  <si>
    <t>328, Line 7</t>
  </si>
  <si>
    <t>328, Line 8</t>
  </si>
  <si>
    <t>328, Line 9</t>
  </si>
  <si>
    <t>328, Line 10</t>
  </si>
  <si>
    <t>328, Line 11</t>
  </si>
  <si>
    <t>328, Line 12</t>
  </si>
  <si>
    <t>328, Line 13</t>
  </si>
  <si>
    <t>328, Line 14</t>
  </si>
  <si>
    <t>328, Line 15</t>
  </si>
  <si>
    <t>328, Line 16</t>
  </si>
  <si>
    <t>328, Line 17</t>
  </si>
  <si>
    <t>328, Line 18</t>
  </si>
  <si>
    <t>328, Line 19</t>
  </si>
  <si>
    <t>328, Line 20</t>
  </si>
  <si>
    <t>328, Line 21</t>
  </si>
  <si>
    <t>328, Line 22</t>
  </si>
  <si>
    <t>328, Line 23</t>
  </si>
  <si>
    <t>328, Line 24</t>
  </si>
  <si>
    <t>328, Line 25</t>
  </si>
  <si>
    <t>328, Line 26</t>
  </si>
  <si>
    <t>328, Line 27</t>
  </si>
  <si>
    <t>328, Line 28</t>
  </si>
  <si>
    <t>328, Line 29</t>
  </si>
  <si>
    <t>328, Line 30</t>
  </si>
  <si>
    <t>328, Line 31</t>
  </si>
  <si>
    <t>328, Line 32</t>
  </si>
  <si>
    <t>328, Line 33</t>
  </si>
  <si>
    <t>328, Line 34</t>
  </si>
  <si>
    <t>Florida Power Corp</t>
  </si>
  <si>
    <t>FP&amp;L Energy Marketing &amp; Trading</t>
  </si>
  <si>
    <t/>
  </si>
  <si>
    <t>Southern Power Rowan</t>
  </si>
  <si>
    <t>EGIS Upgrade - Smallworld Upgrade Impacts to EGIS</t>
  </si>
  <si>
    <t>Transmission Integration Manager Phase II</t>
  </si>
  <si>
    <t>EGIS Upgrade-SW</t>
  </si>
  <si>
    <t>TIM Phase II</t>
  </si>
  <si>
    <t>AJ+(C*AE*12)</t>
  </si>
  <si>
    <t>AL-AJ</t>
  </si>
  <si>
    <t>Trans Plant related to 2014 Prod Additions</t>
  </si>
  <si>
    <t>Trans Plant related to 2013 Prod Additions</t>
  </si>
  <si>
    <t>2013 Additions - Cliffside 6</t>
  </si>
  <si>
    <t>2014 Additions - Cliffside 6</t>
  </si>
  <si>
    <t>SC Distributed Energy Resource Program</t>
  </si>
  <si>
    <t>Rotable Fleet Spare</t>
  </si>
  <si>
    <t>NCUC Regulatory Fee</t>
  </si>
  <si>
    <t>Revenue Accrual</t>
  </si>
  <si>
    <t>1-3</t>
  </si>
  <si>
    <t>Jan</t>
  </si>
  <si>
    <t>Sep</t>
  </si>
  <si>
    <t>Enterprise Cust syst DCI2 Capital</t>
  </si>
  <si>
    <t>PSSE Modules</t>
  </si>
  <si>
    <t>http://www.ferc.gov/enforcement/acct-matts/interest-rates.asp</t>
  </si>
  <si>
    <t>Trans Plant related to 2015 Prod Additions</t>
  </si>
  <si>
    <t>2015 Additions - Cliffside 6</t>
  </si>
  <si>
    <t>AN-AL</t>
  </si>
  <si>
    <t>AL+(C*AE*12)</t>
  </si>
  <si>
    <t>Yellow denotes amounts carried from the annual true-up to the estimated file summary tab</t>
  </si>
  <si>
    <t>Yellow denotes amounts carried from the annual true-up to the estimated file Schedule 1 tab</t>
  </si>
  <si>
    <t>(1+ Loss factor stated in OATT)</t>
  </si>
  <si>
    <t>(Line 9 x Line 10)/Line 11</t>
  </si>
  <si>
    <t>(Line 16 - Line 17) x Line 18</t>
  </si>
  <si>
    <t>Line 7 / (1 + Line 11)</t>
  </si>
  <si>
    <t xml:space="preserve">     Total Admin &amp; General Expenses</t>
  </si>
  <si>
    <t>323.197.b</t>
  </si>
  <si>
    <t>4A</t>
  </si>
  <si>
    <t>Post-Employment Benefits Other than Pension Expense included in line 4 for information only</t>
  </si>
  <si>
    <t>Line 21 * Schedule 1 Line 35</t>
  </si>
  <si>
    <t>(L) DEC will provide, in connection with each Annual Update, a copy of the entire annual actuarial valuation report supporting</t>
  </si>
  <si>
    <t>the derivation of the annual Postretirement Benefits Other than Pensions ("PBOP") expense as charged to FERC account 926, and</t>
  </si>
  <si>
    <t>the amount of such expense included in Total Admin and General Expenses provided on Schedule 10-B, Exhibit B, page 3, line 4</t>
  </si>
  <si>
    <t>of the Formula Rate. DEC will provide, in connection with each Annual Update, a worksheet that shows the actual PBOP expense</t>
  </si>
  <si>
    <t>expense amount, description, calculation derivation and source).</t>
  </si>
  <si>
    <t>components and calculation derivation (including, for each account to which PBOP expense is recorded, the account number,</t>
  </si>
  <si>
    <t>omitted</t>
  </si>
  <si>
    <t>13a</t>
  </si>
  <si>
    <t>Coal Ash Remediation Costs</t>
  </si>
  <si>
    <t>Advanced Metering Infrastructure</t>
  </si>
  <si>
    <t>business objects query (3- queries)</t>
  </si>
  <si>
    <t>Cargill-Alliant LLC</t>
  </si>
  <si>
    <t>Carolina Power &amp; Light</t>
  </si>
  <si>
    <t>EDF Trading North America</t>
  </si>
  <si>
    <t>J.P. Morgan Ventures Energy Corporation</t>
  </si>
  <si>
    <t>Mercuria Energy America Inc</t>
  </si>
  <si>
    <t>Morgan Stanley Capital Group Inc</t>
  </si>
  <si>
    <t>North Carolina Electric Membership</t>
  </si>
  <si>
    <t>Southern Wholesale</t>
  </si>
  <si>
    <t>Tenaska Power Services Co</t>
  </si>
  <si>
    <t>Point to Point  MWH(s) for all entries above</t>
  </si>
  <si>
    <t>FNO</t>
  </si>
  <si>
    <t>EnergyUnited Electric Membership Corporation</t>
  </si>
  <si>
    <t>Lockhart</t>
  </si>
  <si>
    <t>NCMPA</t>
  </si>
  <si>
    <t>SCE&amp;G COMPANY</t>
  </si>
  <si>
    <t>SCPSA - Network</t>
  </si>
  <si>
    <t>Dallas</t>
  </si>
  <si>
    <t>Due West</t>
  </si>
  <si>
    <t>Forest City</t>
  </si>
  <si>
    <t>Prosperity</t>
  </si>
  <si>
    <t>US Dept of Energy</t>
  </si>
  <si>
    <t>Western Carolina Energy LLC</t>
  </si>
  <si>
    <t>2016 Additions - Cliffside 6</t>
  </si>
  <si>
    <t>Trans Plant related to 2016 Prod Additions</t>
  </si>
  <si>
    <t>AP-AN</t>
  </si>
  <si>
    <t>Repl Lan Trak w/PwrSolv PwrTrk</t>
  </si>
  <si>
    <t>NINT1216 Tripwire Enterprise (TE)</t>
  </si>
  <si>
    <t xml:space="preserve">EGIS / EMAX PD DEVICE INTEGRATION.  </t>
  </si>
  <si>
    <t>The T&amp;D organization uses the Plantview Application</t>
  </si>
  <si>
    <t>https://www.ferc.gov/enforcement/acct-matts/interest-rates.asp</t>
  </si>
  <si>
    <t>AN+(C*AE*12)</t>
  </si>
  <si>
    <t>262-263</t>
  </si>
  <si>
    <r>
      <t>Utilizing Historic Cost Data for (</t>
    </r>
    <r>
      <rPr>
        <b/>
        <sz val="11"/>
        <color rgb="FF0000FF"/>
        <rFont val="Calibri"/>
        <family val="2"/>
        <scheme val="minor"/>
      </rPr>
      <t>2017</t>
    </r>
    <r>
      <rPr>
        <b/>
        <sz val="11"/>
        <color theme="1"/>
        <rFont val="Calibri"/>
        <family val="2"/>
        <scheme val="minor"/>
      </rPr>
      <t>) with Year-End Average Balances</t>
    </r>
  </si>
  <si>
    <t>At December 31, 2017</t>
  </si>
  <si>
    <t>Jan (2016)</t>
  </si>
  <si>
    <r>
      <t>Jan (</t>
    </r>
    <r>
      <rPr>
        <sz val="11"/>
        <color rgb="FF0000FF"/>
        <rFont val="Calibri"/>
        <family val="2"/>
        <scheme val="minor"/>
      </rPr>
      <t>2017)</t>
    </r>
  </si>
  <si>
    <r>
      <t xml:space="preserve">Jan </t>
    </r>
    <r>
      <rPr>
        <sz val="11"/>
        <color rgb="FF0000FF"/>
        <rFont val="Calibri"/>
        <family val="2"/>
        <scheme val="minor"/>
      </rPr>
      <t>(2017)</t>
    </r>
  </si>
  <si>
    <t>January (2017)</t>
  </si>
  <si>
    <t>January - May (2018)</t>
  </si>
  <si>
    <t>June (2018)</t>
  </si>
  <si>
    <t>January (2019)</t>
  </si>
  <si>
    <r>
      <t xml:space="preserve">Using Actual Cost Data for </t>
    </r>
    <r>
      <rPr>
        <b/>
        <sz val="11"/>
        <color rgb="FF0000FF"/>
        <rFont val="Calibri"/>
        <family val="2"/>
        <scheme val="minor"/>
      </rPr>
      <t>(2017)</t>
    </r>
    <r>
      <rPr>
        <b/>
        <sz val="11"/>
        <color theme="1"/>
        <rFont val="Calibri"/>
        <family val="2"/>
        <scheme val="minor"/>
      </rPr>
      <t xml:space="preserve"> with Average Ratebase Balances</t>
    </r>
  </si>
  <si>
    <r>
      <t>January _</t>
    </r>
    <r>
      <rPr>
        <sz val="11"/>
        <color rgb="FF0000FF"/>
        <rFont val="Calibri"/>
        <family val="2"/>
        <scheme val="minor"/>
      </rPr>
      <t>2017</t>
    </r>
  </si>
  <si>
    <r>
      <t>January_</t>
    </r>
    <r>
      <rPr>
        <sz val="11"/>
        <color rgb="FF0000FF"/>
        <rFont val="Calibri"/>
        <family val="2"/>
        <scheme val="minor"/>
      </rPr>
      <t>2018</t>
    </r>
  </si>
  <si>
    <t>(Column (a))</t>
  </si>
  <si>
    <t>Macquarie Energy LLC</t>
  </si>
  <si>
    <t>Rainbow Energy Marketing</t>
  </si>
  <si>
    <t>South Carolina Public Service Authority - P2P</t>
  </si>
  <si>
    <t>2017 Additions - Cliffside 6</t>
  </si>
  <si>
    <t>10,23,32</t>
  </si>
  <si>
    <t>5,17,27,30,31</t>
  </si>
  <si>
    <t>Utilizing Historic Cost Data for (2017) with Year-End Average Balances</t>
  </si>
  <si>
    <r>
      <t xml:space="preserve">Using Actual Cost Data for </t>
    </r>
    <r>
      <rPr>
        <b/>
        <sz val="11"/>
        <color rgb="FF0000FF"/>
        <rFont val="Calibri"/>
        <family val="2"/>
        <scheme val="minor"/>
      </rPr>
      <t>2017</t>
    </r>
    <r>
      <rPr>
        <b/>
        <sz val="11"/>
        <color theme="1"/>
        <rFont val="Calibri"/>
        <family val="2"/>
        <scheme val="minor"/>
      </rPr>
      <t xml:space="preserve"> with Average Ratebase Balances</t>
    </r>
  </si>
  <si>
    <r>
      <t xml:space="preserve">True Up from Billing Period to be Included in Projected ATRR for </t>
    </r>
    <r>
      <rPr>
        <b/>
        <sz val="11"/>
        <color rgb="FF0000FF"/>
        <rFont val="Calibri"/>
        <family val="2"/>
        <scheme val="minor"/>
      </rPr>
      <t>2018</t>
    </r>
  </si>
  <si>
    <t>January _2017</t>
  </si>
  <si>
    <t>January_2018</t>
  </si>
  <si>
    <t>Deferred Fuel</t>
  </si>
  <si>
    <t>AR-AP</t>
  </si>
  <si>
    <t>AP+(C*AE*12)</t>
  </si>
  <si>
    <t>Footprints Upgrade Project</t>
  </si>
  <si>
    <t>MAPLINK ENHANCEMENT PROJECT - NC &amp; SC</t>
  </si>
  <si>
    <t>Enable ArcGIS/ESRI Software</t>
  </si>
  <si>
    <t>Enable ECOM Data Hub Software</t>
  </si>
  <si>
    <t>Enable EGIS Software</t>
  </si>
  <si>
    <t>Enable Maximo Software</t>
  </si>
  <si>
    <t>Enable Mobility Software</t>
  </si>
  <si>
    <t>Enable PowerPlan Software</t>
  </si>
  <si>
    <t>Enable Primavera Software</t>
  </si>
  <si>
    <t>Enable Subst Design Tool Software</t>
  </si>
  <si>
    <t>Enable TIM Software</t>
  </si>
  <si>
    <t>Enable Transmission Project Cost Tool Software</t>
  </si>
  <si>
    <t>Enable Transmission Project Estimate Software</t>
  </si>
  <si>
    <t>Jan - May</t>
  </si>
  <si>
    <t>June - Dec</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</si>
</sst>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5" formatCode="&quot;$&quot;#,##0_);\(&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0%"/>
    <numFmt numFmtId="166" formatCode="_(* #,##0.00000_);_(* \(#,##0.00000\);_(* &quot;-&quot;??_);_(@_)"/>
    <numFmt numFmtId="167" formatCode="_(* #,##0.000_);_(* \(#,##0.000\);_(* &quot;-&quot;??_);_(@_)"/>
    <numFmt numFmtId="168" formatCode="_(* #,##0_);_(* \(#,##0\);_(* &quot;-&quot;??_);_(@_)"/>
    <numFmt numFmtId="169" formatCode="0.000000"/>
    <numFmt numFmtId="170" formatCode="0.00000"/>
    <numFmt numFmtId="171" formatCode="_(&quot;$&quot;* #,##0_);_(&quot;$&quot;* \(#,##0\);_(&quot;$&quot;* &quot;-&quot;????_);_(@_)"/>
    <numFmt numFmtId="172" formatCode="_(* #,##0.000000_);_(* \(#,##0.000000\);_(* &quot;-&quot;??_);_(@_)"/>
    <numFmt numFmtId="173" formatCode="_(* #,##0.0000000_);_(* \(#,##0.0000000\);_(* &quot;-&quot;??_);_(@_)"/>
    <numFmt numFmtId="174" formatCode="0.0000%"/>
    <numFmt numFmtId="175" formatCode="_(&quot;$&quot;* #,##0.0000_);_(&quot;$&quot;* \(#,##0.0000\);_(&quot;$&quot;* &quot;-&quot;??_);_(@_)"/>
    <numFmt numFmtId="176" formatCode="_(&quot;$&quot;* #,##0.000_);_(&quot;$&quot;* \(#,##0.000\);_(&quot;$&quot;* &quot;-&quot;??_);_(@_)"/>
    <numFmt numFmtId="177" formatCode="_(&quot;$&quot;* #,##0.00000_);_(&quot;$&quot;* \(#,##0.00000\);_(&quot;$&quot;* &quot;-&quot;??_);_(@_)"/>
    <numFmt numFmtId="178" formatCode="0_)"/>
    <numFmt numFmtId="179" formatCode="dd\-mmm\-yy_)"/>
    <numFmt numFmtId="180" formatCode="0.000_)"/>
    <numFmt numFmtId="181" formatCode="0.000"/>
    <numFmt numFmtId="182" formatCode="_(* #,##0.0000_);_(* \(#,##0.0000\);_(* &quot;-&quot;??_);_(@_)"/>
    <numFmt numFmtId="183" formatCode="0.0000000"/>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1"/>
      <name val="Calibri"/>
      <family val="2"/>
      <scheme val="minor"/>
    </font>
    <font>
      <sz val="11"/>
      <color rgb="FFFF0000"/>
      <name val="Calibri"/>
      <family val="2"/>
      <scheme val="minor"/>
    </font>
    <font>
      <sz val="10"/>
      <name val="Arial"/>
      <family val="2"/>
    </font>
    <font>
      <u/>
      <sz val="11"/>
      <name val="Calibri"/>
      <family val="2"/>
      <scheme val="minor"/>
    </font>
    <font>
      <u/>
      <sz val="11"/>
      <color theme="10"/>
      <name val="Calibri"/>
      <family val="2"/>
    </font>
    <font>
      <b/>
      <u/>
      <sz val="11"/>
      <color theme="1"/>
      <name val="Calibri"/>
      <family val="2"/>
      <scheme val="minor"/>
    </font>
    <font>
      <b/>
      <sz val="11"/>
      <name val="Calibri"/>
      <family val="2"/>
      <scheme val="minor"/>
    </font>
    <font>
      <b/>
      <u/>
      <sz val="11"/>
      <name val="Calibri"/>
      <family val="2"/>
      <scheme val="minor"/>
    </font>
    <font>
      <u/>
      <sz val="11"/>
      <color theme="1"/>
      <name val="Calibri"/>
      <family val="2"/>
      <scheme val="minor"/>
    </font>
    <font>
      <u val="singleAccounting"/>
      <sz val="11"/>
      <color theme="1"/>
      <name val="Calibri"/>
      <family val="2"/>
      <scheme val="minor"/>
    </font>
    <font>
      <sz val="8"/>
      <name val="MS Reference Sans Serif"/>
      <family val="2"/>
    </font>
    <font>
      <sz val="10"/>
      <name val="Helv"/>
    </font>
    <font>
      <b/>
      <sz val="10"/>
      <name val="Arial"/>
      <family val="2"/>
    </font>
    <font>
      <sz val="11"/>
      <color rgb="FF000000"/>
      <name val="Calibri"/>
      <family val="2"/>
      <scheme val="minor"/>
    </font>
    <font>
      <sz val="14"/>
      <color theme="1"/>
      <name val="Calibri"/>
      <family val="2"/>
      <scheme val="minor"/>
    </font>
    <font>
      <sz val="14"/>
      <name val="Calibri"/>
      <family val="2"/>
      <scheme val="minor"/>
    </font>
    <font>
      <i/>
      <u/>
      <sz val="14"/>
      <name val="Calibri"/>
      <family val="2"/>
      <scheme val="minor"/>
    </font>
    <font>
      <b/>
      <sz val="16"/>
      <color theme="1"/>
      <name val="Calibri"/>
      <family val="2"/>
      <scheme val="minor"/>
    </font>
    <font>
      <u/>
      <sz val="14"/>
      <name val="Calibri"/>
      <family val="2"/>
      <scheme val="minor"/>
    </font>
    <font>
      <sz val="13"/>
      <color theme="1"/>
      <name val="Times New Roman"/>
      <family val="1"/>
    </font>
    <font>
      <sz val="11"/>
      <name val="Calibri"/>
      <family val="2"/>
    </font>
    <font>
      <sz val="8"/>
      <name val="Arial"/>
      <family val="2"/>
    </font>
    <font>
      <sz val="8"/>
      <name val="Calibri"/>
      <family val="2"/>
      <scheme val="minor"/>
    </font>
    <font>
      <sz val="9"/>
      <color indexed="81"/>
      <name val="Tahoma"/>
      <family val="2"/>
    </font>
    <font>
      <b/>
      <sz val="9"/>
      <color indexed="81"/>
      <name val="Tahoma"/>
      <family val="2"/>
    </font>
    <font>
      <i/>
      <sz val="11"/>
      <color theme="1"/>
      <name val="Calibri"/>
      <family val="2"/>
      <scheme val="minor"/>
    </font>
    <font>
      <i/>
      <sz val="11"/>
      <name val="Calibri"/>
      <family val="2"/>
      <scheme val="minor"/>
    </font>
    <font>
      <sz val="11"/>
      <color rgb="FF0000FF"/>
      <name val="Calibri"/>
      <family val="2"/>
      <scheme val="minor"/>
    </font>
    <font>
      <sz val="11"/>
      <color rgb="FFFF33CC"/>
      <name val="Calibri"/>
      <family val="2"/>
      <scheme val="minor"/>
    </font>
    <font>
      <sz val="10"/>
      <color rgb="FF0000FF"/>
      <name val="Arial"/>
      <family val="2"/>
    </font>
    <font>
      <b/>
      <sz val="11"/>
      <color rgb="FF0000FF"/>
      <name val="Calibri"/>
      <family val="2"/>
      <scheme val="minor"/>
    </font>
    <font>
      <sz val="8"/>
      <color rgb="FF0000FF"/>
      <name val="MS Reference Sans Serif"/>
      <family val="2"/>
    </font>
    <font>
      <sz val="8"/>
      <color rgb="FF0000FF"/>
      <name val="Calibri"/>
      <family val="2"/>
      <scheme val="minor"/>
    </font>
    <font>
      <sz val="12"/>
      <name val="Helv"/>
    </font>
    <font>
      <sz val="8"/>
      <color indexed="12"/>
      <name val="Calibri"/>
      <family val="2"/>
      <scheme val="minor"/>
    </font>
    <font>
      <b/>
      <sz val="11"/>
      <color rgb="FFFF0000"/>
      <name val="Calibri"/>
      <family val="2"/>
      <scheme val="minor"/>
    </font>
    <font>
      <b/>
      <sz val="9"/>
      <color rgb="FF0000FF"/>
      <name val="Calibri"/>
      <family val="2"/>
      <scheme val="minor"/>
    </font>
    <font>
      <sz val="9"/>
      <color rgb="FF0000FF"/>
      <name val="Arial"/>
      <family val="2"/>
    </font>
    <font>
      <b/>
      <sz val="10"/>
      <color rgb="FFFF0000"/>
      <name val="Helv"/>
    </font>
    <font>
      <sz val="8"/>
      <color rgb="FFFF33CC"/>
      <name val="MS Reference Sans Serif"/>
      <family val="2"/>
    </font>
    <font>
      <sz val="8"/>
      <color rgb="FFFF0000"/>
      <name val="MS Reference Sans Serif"/>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xf numFmtId="0" fontId="8" fillId="0" borderId="0"/>
    <xf numFmtId="43" fontId="8" fillId="0" borderId="0" applyFont="0" applyFill="0" applyBorder="0" applyAlignment="0" applyProtection="0"/>
    <xf numFmtId="0" fontId="10" fillId="0" borderId="0" applyNumberFormat="0" applyFill="0" applyBorder="0" applyAlignment="0" applyProtection="0">
      <alignment vertical="top"/>
      <protection locked="0"/>
    </xf>
    <xf numFmtId="0" fontId="27" fillId="0" borderId="0"/>
    <xf numFmtId="5" fontId="39" fillId="0" borderId="0"/>
    <xf numFmtId="44" fontId="8" fillId="0" borderId="0" applyFont="0" applyFill="0" applyBorder="0" applyAlignment="0" applyProtection="0"/>
  </cellStyleXfs>
  <cellXfs count="341">
    <xf numFmtId="0" fontId="0" fillId="0" borderId="0" xfId="0"/>
    <xf numFmtId="0" fontId="0" fillId="0" borderId="0" xfId="0" applyFill="1" applyBorder="1"/>
    <xf numFmtId="164" fontId="0" fillId="0" borderId="1" xfId="2" applyNumberFormat="1" applyFont="1" applyFill="1" applyBorder="1"/>
    <xf numFmtId="41" fontId="5" fillId="0" borderId="0" xfId="4" applyFont="1" applyFill="1" applyAlignment="1">
      <alignment horizontal="left"/>
    </xf>
    <xf numFmtId="3" fontId="5" fillId="0" borderId="0" xfId="0" applyNumberFormat="1" applyFont="1" applyFill="1"/>
    <xf numFmtId="0" fontId="0" fillId="0" borderId="0" xfId="0" applyFont="1" applyFill="1"/>
    <xf numFmtId="168" fontId="0" fillId="0" borderId="0" xfId="1" applyNumberFormat="1" applyFont="1" applyFill="1"/>
    <xf numFmtId="164" fontId="6" fillId="0" borderId="0" xfId="2" applyNumberFormat="1" applyFont="1" applyFill="1" applyAlignment="1"/>
    <xf numFmtId="0" fontId="0" fillId="0" borderId="0" xfId="0" applyFont="1" applyFill="1" applyAlignment="1">
      <alignment horizontal="center"/>
    </xf>
    <xf numFmtId="10" fontId="0" fillId="0" borderId="0" xfId="3" applyNumberFormat="1" applyFont="1" applyFill="1" applyBorder="1"/>
    <xf numFmtId="164" fontId="0" fillId="0" borderId="0" xfId="2" applyNumberFormat="1" applyFont="1" applyFill="1" applyAlignment="1">
      <alignment horizontal="center"/>
    </xf>
    <xf numFmtId="0" fontId="2" fillId="0" borderId="0" xfId="0" applyFont="1" applyFill="1"/>
    <xf numFmtId="166" fontId="0" fillId="0" borderId="0" xfId="1" applyNumberFormat="1" applyFont="1" applyFill="1"/>
    <xf numFmtId="169" fontId="0" fillId="0" borderId="0" xfId="0" applyNumberFormat="1" applyFill="1"/>
    <xf numFmtId="173" fontId="0" fillId="0" borderId="0" xfId="1" applyNumberFormat="1" applyFont="1" applyFill="1"/>
    <xf numFmtId="0" fontId="3" fillId="0" borderId="0" xfId="0" applyFont="1" applyFill="1"/>
    <xf numFmtId="169" fontId="0" fillId="0" borderId="0" xfId="1" applyNumberFormat="1" applyFont="1" applyFill="1"/>
    <xf numFmtId="164" fontId="0" fillId="0" borderId="0" xfId="2" applyNumberFormat="1" applyFont="1" applyFill="1" applyBorder="1"/>
    <xf numFmtId="164" fontId="2" fillId="0" borderId="0" xfId="2" applyNumberFormat="1" applyFont="1" applyFill="1"/>
    <xf numFmtId="167" fontId="0" fillId="0" borderId="0" xfId="1" applyNumberFormat="1" applyFont="1" applyFill="1" applyBorder="1"/>
    <xf numFmtId="164" fontId="2" fillId="0" borderId="0" xfId="2" applyNumberFormat="1" applyFont="1" applyFill="1" applyBorder="1"/>
    <xf numFmtId="172" fontId="0" fillId="0" borderId="0" xfId="0" applyNumberFormat="1" applyFill="1"/>
    <xf numFmtId="175" fontId="0" fillId="0" borderId="0" xfId="2" applyNumberFormat="1" applyFont="1" applyFill="1"/>
    <xf numFmtId="44" fontId="0" fillId="0" borderId="0" xfId="0" applyNumberFormat="1" applyFill="1"/>
    <xf numFmtId="44" fontId="0" fillId="0" borderId="0" xfId="2" applyNumberFormat="1" applyFont="1" applyFill="1"/>
    <xf numFmtId="0" fontId="6" fillId="0" borderId="0" xfId="0" applyFont="1" applyFill="1"/>
    <xf numFmtId="164" fontId="6" fillId="0" borderId="0" xfId="2" applyNumberFormat="1" applyFont="1" applyFill="1"/>
    <xf numFmtId="170" fontId="6" fillId="0" borderId="0" xfId="0" applyNumberFormat="1" applyFont="1" applyFill="1"/>
    <xf numFmtId="168" fontId="6" fillId="0" borderId="0" xfId="1" applyNumberFormat="1" applyFont="1" applyFill="1"/>
    <xf numFmtId="164" fontId="6" fillId="0" borderId="0" xfId="0" applyNumberFormat="1" applyFont="1" applyFill="1"/>
    <xf numFmtId="0" fontId="7" fillId="0" borderId="0" xfId="0" applyFont="1" applyFill="1"/>
    <xf numFmtId="172" fontId="0" fillId="0" borderId="0" xfId="1" applyNumberFormat="1" applyFont="1" applyFill="1"/>
    <xf numFmtId="171" fontId="0" fillId="0" borderId="0" xfId="0" applyNumberFormat="1" applyFill="1"/>
    <xf numFmtId="168" fontId="0" fillId="0" borderId="0" xfId="0" applyNumberFormat="1" applyFill="1"/>
    <xf numFmtId="0" fontId="0" fillId="0" borderId="0" xfId="0" applyFill="1" applyAlignment="1"/>
    <xf numFmtId="10" fontId="0" fillId="0" borderId="0" xfId="3" applyNumberFormat="1" applyFont="1" applyFill="1"/>
    <xf numFmtId="10" fontId="0" fillId="0" borderId="1" xfId="3" applyNumberFormat="1" applyFont="1" applyFill="1" applyBorder="1"/>
    <xf numFmtId="14" fontId="0" fillId="0" borderId="0" xfId="0" applyNumberFormat="1" applyFill="1" applyAlignment="1"/>
    <xf numFmtId="0" fontId="6" fillId="0" borderId="0" xfId="0" applyFont="1" applyFill="1" applyAlignment="1"/>
    <xf numFmtId="164" fontId="0" fillId="0" borderId="0" xfId="0" applyNumberFormat="1" applyFill="1"/>
    <xf numFmtId="43" fontId="0" fillId="0" borderId="0" xfId="1" applyFont="1" applyFill="1"/>
    <xf numFmtId="168" fontId="0" fillId="0" borderId="0" xfId="8" applyNumberFormat="1" applyFont="1" applyFill="1"/>
    <xf numFmtId="0" fontId="6" fillId="0" borderId="0" xfId="0" applyFont="1" applyFill="1" applyBorder="1"/>
    <xf numFmtId="164" fontId="6" fillId="0" borderId="0" xfId="0" applyNumberFormat="1" applyFont="1" applyFill="1" applyBorder="1"/>
    <xf numFmtId="0" fontId="9" fillId="0" borderId="0" xfId="0" applyFont="1" applyFill="1"/>
    <xf numFmtId="164" fontId="1" fillId="0" borderId="0" xfId="2" applyNumberFormat="1" applyFont="1" applyFill="1"/>
    <xf numFmtId="164" fontId="2" fillId="0" borderId="0" xfId="0" applyNumberFormat="1" applyFont="1" applyFill="1"/>
    <xf numFmtId="176" fontId="0" fillId="0" borderId="0" xfId="2" applyNumberFormat="1" applyFont="1" applyFill="1"/>
    <xf numFmtId="44" fontId="0" fillId="0" borderId="0" xfId="2" applyFont="1" applyFill="1"/>
    <xf numFmtId="0" fontId="2" fillId="0" borderId="0" xfId="0" applyFont="1" applyFill="1" applyAlignment="1">
      <alignment horizontal="center" wrapText="1"/>
    </xf>
    <xf numFmtId="44" fontId="2" fillId="0" borderId="0" xfId="2" applyFont="1" applyFill="1" applyAlignment="1">
      <alignment horizontal="center" wrapText="1"/>
    </xf>
    <xf numFmtId="168" fontId="0" fillId="0" borderId="0" xfId="0" applyNumberFormat="1" applyFill="1" applyBorder="1"/>
    <xf numFmtId="168" fontId="0" fillId="0" borderId="0" xfId="1" applyNumberFormat="1" applyFont="1" applyFill="1" applyBorder="1"/>
    <xf numFmtId="0" fontId="10" fillId="0" borderId="0" xfId="9" applyFill="1" applyAlignment="1" applyProtection="1"/>
    <xf numFmtId="0" fontId="2" fillId="0" borderId="0" xfId="0" applyFont="1" applyFill="1" applyAlignment="1">
      <alignment horizontal="right"/>
    </xf>
    <xf numFmtId="43" fontId="6" fillId="0" borderId="0" xfId="1" applyNumberFormat="1" applyFont="1" applyFill="1"/>
    <xf numFmtId="174" fontId="0" fillId="0" borderId="0" xfId="3" applyNumberFormat="1" applyFont="1" applyFill="1"/>
    <xf numFmtId="177" fontId="0" fillId="0" borderId="0" xfId="2" applyNumberFormat="1" applyFont="1" applyFill="1" applyBorder="1"/>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12" fillId="0" borderId="0" xfId="0" applyFont="1" applyFill="1"/>
    <xf numFmtId="14" fontId="12" fillId="0" borderId="0" xfId="0" applyNumberFormat="1" applyFont="1" applyFill="1" applyAlignment="1">
      <alignment horizontal="center"/>
    </xf>
    <xf numFmtId="3" fontId="6" fillId="0" borderId="0" xfId="0" applyNumberFormat="1" applyFont="1" applyFill="1" applyAlignment="1"/>
    <xf numFmtId="3" fontId="6" fillId="0" borderId="0" xfId="0" applyNumberFormat="1" applyFont="1" applyFill="1"/>
    <xf numFmtId="169" fontId="2" fillId="0" borderId="0" xfId="0" applyNumberFormat="1" applyFont="1" applyFill="1"/>
    <xf numFmtId="41" fontId="6" fillId="0" borderId="0" xfId="4" applyFont="1" applyFill="1" applyAlignment="1">
      <alignment horizontal="left"/>
    </xf>
    <xf numFmtId="3" fontId="12" fillId="0" borderId="0" xfId="0" applyNumberFormat="1" applyFont="1" applyFill="1"/>
    <xf numFmtId="14" fontId="2" fillId="0" borderId="0" xfId="0" applyNumberFormat="1" applyFont="1" applyFill="1" applyAlignment="1"/>
    <xf numFmtId="41" fontId="12" fillId="0" borderId="0" xfId="4" applyFont="1" applyFill="1" applyAlignment="1">
      <alignment horizontal="left"/>
    </xf>
    <xf numFmtId="0" fontId="13" fillId="0" borderId="0" xfId="0" applyFont="1" applyFill="1"/>
    <xf numFmtId="0" fontId="13" fillId="0" borderId="0" xfId="0" applyFont="1" applyFill="1" applyAlignment="1"/>
    <xf numFmtId="0" fontId="6" fillId="0" borderId="0" xfId="7" applyFont="1" applyFill="1"/>
    <xf numFmtId="0" fontId="12" fillId="0" borderId="0" xfId="0" applyFont="1" applyFill="1" applyBorder="1" applyAlignment="1">
      <alignment horizontal="center"/>
    </xf>
    <xf numFmtId="164" fontId="2" fillId="0" borderId="0" xfId="2" applyNumberFormat="1" applyFont="1" applyFill="1" applyAlignment="1">
      <alignment horizontal="center"/>
    </xf>
    <xf numFmtId="164" fontId="1" fillId="0" borderId="1" xfId="2" applyNumberFormat="1" applyFont="1" applyFill="1" applyBorder="1"/>
    <xf numFmtId="174" fontId="0" fillId="0" borderId="0" xfId="1" applyNumberFormat="1" applyFont="1" applyFill="1" applyBorder="1"/>
    <xf numFmtId="0" fontId="0" fillId="0" borderId="0" xfId="0" applyFill="1" applyAlignment="1">
      <alignment horizontal="center"/>
    </xf>
    <xf numFmtId="0" fontId="12" fillId="0" borderId="0" xfId="0" applyFont="1" applyFill="1" applyAlignment="1"/>
    <xf numFmtId="0" fontId="0" fillId="0" borderId="0" xfId="0" applyFill="1" applyAlignment="1">
      <alignment horizontal="left" indent="1"/>
    </xf>
    <xf numFmtId="14" fontId="16" fillId="0" borderId="0" xfId="0" applyNumberFormat="1" applyFont="1" applyFill="1" applyBorder="1" applyAlignment="1" applyProtection="1">
      <alignment horizontal="center"/>
    </xf>
    <xf numFmtId="0" fontId="18" fillId="0" borderId="0" xfId="0" applyFont="1" applyFill="1"/>
    <xf numFmtId="177" fontId="0" fillId="0" borderId="0" xfId="2" applyNumberFormat="1" applyFont="1" applyFill="1"/>
    <xf numFmtId="0" fontId="0" fillId="0" borderId="0" xfId="0"/>
    <xf numFmtId="164" fontId="0" fillId="0" borderId="0" xfId="2" applyNumberFormat="1" applyFont="1" applyFill="1"/>
    <xf numFmtId="0" fontId="4" fillId="0" borderId="0" xfId="0" applyFont="1" applyFill="1"/>
    <xf numFmtId="0" fontId="2" fillId="0" borderId="0" xfId="0" applyFont="1"/>
    <xf numFmtId="0" fontId="0" fillId="0" borderId="0" xfId="0" applyFill="1"/>
    <xf numFmtId="0" fontId="23" fillId="0" borderId="0" xfId="0" applyFont="1" applyFill="1"/>
    <xf numFmtId="0" fontId="20" fillId="0" borderId="0" xfId="0" applyFont="1" applyFill="1"/>
    <xf numFmtId="49" fontId="20" fillId="0" borderId="0" xfId="0" applyNumberFormat="1" applyFont="1" applyFill="1"/>
    <xf numFmtId="0" fontId="21" fillId="0" borderId="0" xfId="0" applyFont="1" applyFill="1"/>
    <xf numFmtId="0" fontId="21" fillId="0" borderId="0" xfId="0" quotePrefix="1" applyFont="1" applyFill="1"/>
    <xf numFmtId="10" fontId="0" fillId="0" borderId="0" xfId="0" applyNumberFormat="1" applyFill="1"/>
    <xf numFmtId="5" fontId="0" fillId="0" borderId="0" xfId="0" applyNumberFormat="1" applyFill="1"/>
    <xf numFmtId="164" fontId="0" fillId="0" borderId="1" xfId="0" applyNumberFormat="1" applyFill="1" applyBorder="1"/>
    <xf numFmtId="0" fontId="18" fillId="0" borderId="2" xfId="0" applyFont="1" applyFill="1" applyBorder="1"/>
    <xf numFmtId="0" fontId="18" fillId="0" borderId="3" xfId="0" applyFont="1" applyFill="1" applyBorder="1"/>
    <xf numFmtId="0" fontId="18" fillId="0" borderId="3" xfId="0" applyFont="1" applyFill="1" applyBorder="1" applyAlignment="1">
      <alignment horizontal="center"/>
    </xf>
    <xf numFmtId="0" fontId="18" fillId="0" borderId="3" xfId="0" applyFont="1" applyFill="1" applyBorder="1" applyAlignment="1">
      <alignment vertical="center" wrapText="1"/>
    </xf>
    <xf numFmtId="0" fontId="18" fillId="0" borderId="3" xfId="0" applyFont="1" applyFill="1" applyBorder="1" applyAlignment="1">
      <alignment horizontal="center" vertical="center" wrapText="1"/>
    </xf>
    <xf numFmtId="0" fontId="8" fillId="0" borderId="0" xfId="0" applyFont="1" applyFill="1"/>
    <xf numFmtId="0" fontId="2" fillId="0" borderId="1" xfId="0" applyFont="1" applyBorder="1" applyAlignment="1">
      <alignment horizontal="center"/>
    </xf>
    <xf numFmtId="0" fontId="0" fillId="0" borderId="0" xfId="0" applyAlignment="1">
      <alignment wrapText="1"/>
    </xf>
    <xf numFmtId="5" fontId="28" fillId="0" borderId="0" xfId="0" applyNumberFormat="1" applyFont="1" applyFill="1" applyAlignment="1" applyProtection="1">
      <alignment horizontal="center"/>
    </xf>
    <xf numFmtId="5" fontId="28" fillId="0" borderId="0" xfId="0" applyNumberFormat="1" applyFont="1" applyFill="1" applyAlignment="1">
      <alignment horizontal="center"/>
    </xf>
    <xf numFmtId="14" fontId="28" fillId="0" borderId="1" xfId="0" applyNumberFormat="1" applyFont="1" applyFill="1" applyBorder="1" applyAlignment="1" applyProtection="1">
      <alignment horizontal="center"/>
    </xf>
    <xf numFmtId="5" fontId="28" fillId="0" borderId="0" xfId="0" applyNumberFormat="1" applyFont="1" applyFill="1"/>
    <xf numFmtId="5" fontId="28" fillId="0" borderId="0" xfId="0" quotePrefix="1" applyNumberFormat="1" applyFont="1" applyFill="1" applyAlignment="1">
      <alignment horizontal="center"/>
    </xf>
    <xf numFmtId="5" fontId="28" fillId="0" borderId="0" xfId="0" quotePrefix="1" applyNumberFormat="1" applyFont="1" applyFill="1" applyAlignment="1" applyProtection="1">
      <alignment horizontal="center"/>
    </xf>
    <xf numFmtId="5" fontId="28" fillId="0" borderId="0" xfId="0" applyNumberFormat="1" applyFont="1" applyFill="1" applyProtection="1"/>
    <xf numFmtId="5" fontId="28" fillId="0" borderId="13" xfId="0" applyNumberFormat="1" applyFont="1" applyFill="1" applyBorder="1" applyProtection="1"/>
    <xf numFmtId="10" fontId="28" fillId="0" borderId="0" xfId="0" applyNumberFormat="1" applyFont="1" applyFill="1" applyProtection="1"/>
    <xf numFmtId="0" fontId="0" fillId="0" borderId="0" xfId="0" quotePrefix="1"/>
    <xf numFmtId="5" fontId="28" fillId="0" borderId="3" xfId="0" applyNumberFormat="1" applyFont="1" applyFill="1" applyBorder="1" applyProtection="1"/>
    <xf numFmtId="164" fontId="12" fillId="0" borderId="17" xfId="0" applyNumberFormat="1" applyFont="1" applyFill="1" applyBorder="1"/>
    <xf numFmtId="164" fontId="2" fillId="0" borderId="17" xfId="2" applyNumberFormat="1" applyFont="1" applyFill="1" applyBorder="1"/>
    <xf numFmtId="164" fontId="12" fillId="0" borderId="17" xfId="2" applyNumberFormat="1" applyFont="1" applyFill="1" applyBorder="1" applyAlignment="1"/>
    <xf numFmtId="164" fontId="2" fillId="0" borderId="17" xfId="2" applyNumberFormat="1" applyFont="1" applyFill="1" applyBorder="1" applyAlignment="1"/>
    <xf numFmtId="180" fontId="16" fillId="0" borderId="0" xfId="0" applyNumberFormat="1" applyFont="1" applyFill="1" applyProtection="1"/>
    <xf numFmtId="0" fontId="2" fillId="0" borderId="0" xfId="0" applyFont="1" applyFill="1" applyAlignment="1"/>
    <xf numFmtId="9" fontId="0" fillId="0" borderId="0" xfId="3" applyFont="1" applyFill="1"/>
    <xf numFmtId="0" fontId="0" fillId="0" borderId="5" xfId="0" applyFill="1" applyBorder="1" applyAlignment="1">
      <alignment horizontal="center" vertical="center" wrapText="1"/>
    </xf>
    <xf numFmtId="168" fontId="0" fillId="0" borderId="5" xfId="1" applyNumberFormat="1" applyFont="1" applyFill="1" applyBorder="1" applyAlignment="1">
      <alignment horizontal="center" vertical="center"/>
    </xf>
    <xf numFmtId="0" fontId="0" fillId="0" borderId="9" xfId="0" applyFill="1" applyBorder="1" applyAlignment="1">
      <alignment horizontal="center" vertical="center" wrapText="1"/>
    </xf>
    <xf numFmtId="168" fontId="0" fillId="0" borderId="9" xfId="1"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Fill="1" applyBorder="1" applyAlignment="1">
      <alignment horizontal="center" vertical="center" wrapText="1"/>
    </xf>
    <xf numFmtId="168" fontId="0" fillId="0" borderId="17" xfId="0" applyNumberFormat="1" applyFill="1" applyBorder="1"/>
    <xf numFmtId="164" fontId="0" fillId="0" borderId="17" xfId="0" applyNumberFormat="1" applyFill="1" applyBorder="1"/>
    <xf numFmtId="168" fontId="1" fillId="0" borderId="17" xfId="1" applyNumberFormat="1" applyFont="1" applyFill="1" applyBorder="1"/>
    <xf numFmtId="0" fontId="19" fillId="0" borderId="0" xfId="0" applyFont="1" applyFill="1" applyAlignment="1">
      <alignment horizontal="left"/>
    </xf>
    <xf numFmtId="5" fontId="16" fillId="0" borderId="0" xfId="0" applyNumberFormat="1" applyFont="1" applyFill="1" applyAlignment="1" applyProtection="1">
      <alignment horizontal="left"/>
    </xf>
    <xf numFmtId="5" fontId="16" fillId="0" borderId="0" xfId="0" applyNumberFormat="1" applyFont="1" applyFill="1" applyAlignment="1">
      <alignment horizontal="center"/>
    </xf>
    <xf numFmtId="5" fontId="16" fillId="0" borderId="0" xfId="0" applyNumberFormat="1" applyFont="1" applyFill="1" applyAlignment="1" applyProtection="1">
      <alignment horizontal="center"/>
    </xf>
    <xf numFmtId="5" fontId="16" fillId="0" borderId="0" xfId="0" applyNumberFormat="1" applyFont="1" applyFill="1"/>
    <xf numFmtId="178" fontId="16" fillId="0" borderId="0" xfId="0" applyNumberFormat="1" applyFont="1" applyFill="1" applyAlignment="1" applyProtection="1">
      <alignment horizontal="center"/>
    </xf>
    <xf numFmtId="5" fontId="16" fillId="0" borderId="1" xfId="0" applyNumberFormat="1" applyFont="1" applyFill="1" applyBorder="1" applyAlignment="1" applyProtection="1">
      <alignment horizontal="center"/>
    </xf>
    <xf numFmtId="178" fontId="16" fillId="0" borderId="1" xfId="0" applyNumberFormat="1" applyFont="1" applyFill="1" applyBorder="1" applyAlignment="1" applyProtection="1">
      <alignment horizontal="center" wrapText="1"/>
    </xf>
    <xf numFmtId="178" fontId="16" fillId="0" borderId="1" xfId="0" applyNumberFormat="1" applyFont="1" applyFill="1" applyBorder="1" applyAlignment="1" applyProtection="1">
      <alignment horizontal="center"/>
    </xf>
    <xf numFmtId="14" fontId="16" fillId="0" borderId="1" xfId="0" applyNumberFormat="1" applyFont="1" applyFill="1" applyBorder="1" applyAlignment="1" applyProtection="1">
      <alignment horizontal="center"/>
    </xf>
    <xf numFmtId="5" fontId="16" fillId="0" borderId="0" xfId="0" quotePrefix="1" applyNumberFormat="1" applyFont="1" applyFill="1" applyAlignment="1" applyProtection="1">
      <alignment horizontal="center"/>
    </xf>
    <xf numFmtId="5" fontId="16" fillId="0" borderId="0" xfId="0" quotePrefix="1" applyNumberFormat="1" applyFont="1" applyFill="1" applyAlignment="1">
      <alignment horizontal="center"/>
    </xf>
    <xf numFmtId="179" fontId="16" fillId="0" borderId="0" xfId="0" applyNumberFormat="1" applyFont="1" applyFill="1" applyProtection="1">
      <protection locked="0"/>
    </xf>
    <xf numFmtId="180" fontId="16" fillId="0" borderId="0" xfId="0" applyNumberFormat="1" applyFont="1" applyFill="1" applyProtection="1">
      <protection locked="0"/>
    </xf>
    <xf numFmtId="10" fontId="16" fillId="0" borderId="0" xfId="0" applyNumberFormat="1" applyFont="1" applyFill="1" applyProtection="1"/>
    <xf numFmtId="5" fontId="16" fillId="0" borderId="0" xfId="0" applyNumberFormat="1" applyFont="1" applyFill="1" applyProtection="1"/>
    <xf numFmtId="5" fontId="16" fillId="0" borderId="3" xfId="0" applyNumberFormat="1" applyFont="1" applyFill="1" applyBorder="1" applyProtection="1"/>
    <xf numFmtId="5" fontId="16" fillId="0" borderId="0" xfId="0" applyNumberFormat="1" applyFont="1" applyFill="1" applyBorder="1" applyProtection="1"/>
    <xf numFmtId="179" fontId="16" fillId="0" borderId="0" xfId="0" applyNumberFormat="1" applyFont="1" applyFill="1" applyProtection="1"/>
    <xf numFmtId="5" fontId="16" fillId="0" borderId="13" xfId="0" applyNumberFormat="1" applyFont="1" applyFill="1" applyBorder="1" applyProtection="1"/>
    <xf numFmtId="5" fontId="17" fillId="0" borderId="0" xfId="0" applyNumberFormat="1" applyFont="1" applyFill="1"/>
    <xf numFmtId="0" fontId="8" fillId="0" borderId="0" xfId="7" applyFill="1"/>
    <xf numFmtId="0" fontId="2" fillId="0" borderId="0" xfId="0" applyFont="1" applyFill="1" applyAlignment="1">
      <alignment horizontal="left"/>
    </xf>
    <xf numFmtId="0" fontId="2" fillId="0" borderId="0" xfId="0" applyFont="1" applyFill="1" applyAlignment="1">
      <alignment wrapText="1"/>
    </xf>
    <xf numFmtId="43" fontId="0" fillId="0" borderId="0" xfId="0" applyNumberFormat="1" applyFill="1"/>
    <xf numFmtId="0" fontId="0" fillId="0" borderId="0" xfId="0" applyFill="1" applyAlignment="1">
      <alignment horizontal="right"/>
    </xf>
    <xf numFmtId="0" fontId="6" fillId="0" borderId="0" xfId="0" quotePrefix="1" applyFont="1" applyFill="1" applyAlignment="1">
      <alignment horizontal="center"/>
    </xf>
    <xf numFmtId="164" fontId="0" fillId="0" borderId="0" xfId="0" applyNumberFormat="1" applyFill="1" applyBorder="1"/>
    <xf numFmtId="9" fontId="0" fillId="0" borderId="0" xfId="0" applyNumberFormat="1" applyFill="1"/>
    <xf numFmtId="0" fontId="2" fillId="0" borderId="2" xfId="0" applyFont="1" applyFill="1" applyBorder="1"/>
    <xf numFmtId="0" fontId="0" fillId="0" borderId="3" xfId="0" applyFill="1" applyBorder="1"/>
    <xf numFmtId="0" fontId="0" fillId="0" borderId="4" xfId="0" applyFill="1" applyBorder="1"/>
    <xf numFmtId="0" fontId="0" fillId="0" borderId="0" xfId="0" applyFill="1" applyBorder="1" applyAlignment="1">
      <alignment horizontal="center"/>
    </xf>
    <xf numFmtId="49" fontId="6" fillId="0" borderId="0" xfId="0" applyNumberFormat="1" applyFont="1" applyFill="1"/>
    <xf numFmtId="49" fontId="0" fillId="0" borderId="0" xfId="0" applyNumberFormat="1" applyFill="1"/>
    <xf numFmtId="9" fontId="6" fillId="0" borderId="0" xfId="3" applyFont="1" applyFill="1"/>
    <xf numFmtId="164" fontId="2" fillId="0" borderId="17" xfId="0" applyNumberFormat="1" applyFont="1" applyFill="1" applyBorder="1"/>
    <xf numFmtId="165" fontId="0" fillId="0" borderId="0" xfId="3" applyNumberFormat="1" applyFont="1" applyFill="1"/>
    <xf numFmtId="0" fontId="14" fillId="0" borderId="0" xfId="0" applyFont="1" applyFill="1" applyBorder="1"/>
    <xf numFmtId="0" fontId="14" fillId="0" borderId="0" xfId="0" applyFont="1" applyFill="1" applyBorder="1" applyAlignment="1">
      <alignment horizontal="center"/>
    </xf>
    <xf numFmtId="164" fontId="15" fillId="0" borderId="0" xfId="2" applyNumberFormat="1" applyFont="1" applyFill="1" applyBorder="1" applyAlignment="1">
      <alignment horizontal="center"/>
    </xf>
    <xf numFmtId="10" fontId="2" fillId="0" borderId="0" xfId="3" applyNumberFormat="1" applyFont="1" applyFill="1"/>
    <xf numFmtId="164" fontId="7" fillId="0" borderId="0" xfId="2" applyNumberFormat="1" applyFont="1" applyFill="1"/>
    <xf numFmtId="172" fontId="0" fillId="0" borderId="0" xfId="1" applyNumberFormat="1" applyFont="1" applyFill="1" applyAlignment="1">
      <alignment horizontal="right"/>
    </xf>
    <xf numFmtId="164" fontId="6" fillId="0" borderId="0" xfId="2" applyNumberFormat="1" applyFont="1" applyFill="1" applyBorder="1"/>
    <xf numFmtId="164" fontId="6" fillId="0" borderId="1" xfId="2" applyNumberFormat="1" applyFont="1" applyFill="1" applyBorder="1"/>
    <xf numFmtId="0" fontId="6" fillId="0" borderId="0" xfId="0" applyFont="1" applyFill="1" applyAlignment="1">
      <alignment horizontal="left"/>
    </xf>
    <xf numFmtId="15" fontId="6" fillId="0" borderId="0" xfId="0" applyNumberFormat="1" applyFont="1" applyFill="1"/>
    <xf numFmtId="0" fontId="6" fillId="0" borderId="1" xfId="0" applyFont="1" applyFill="1" applyBorder="1"/>
    <xf numFmtId="0" fontId="0" fillId="0" borderId="1" xfId="0" applyFill="1" applyBorder="1"/>
    <xf numFmtId="164" fontId="0" fillId="0" borderId="0" xfId="1" applyNumberFormat="1" applyFont="1" applyFill="1"/>
    <xf numFmtId="164" fontId="12" fillId="0" borderId="0" xfId="2" applyNumberFormat="1" applyFont="1" applyFill="1" applyAlignment="1">
      <alignment horizontal="center"/>
    </xf>
    <xf numFmtId="174" fontId="0" fillId="0" borderId="0" xfId="0" applyNumberFormat="1" applyFill="1"/>
    <xf numFmtId="0" fontId="0" fillId="0" borderId="0" xfId="0" applyFill="1" applyAlignment="1">
      <alignment wrapText="1"/>
    </xf>
    <xf numFmtId="0" fontId="0" fillId="0" borderId="0" xfId="0" applyFill="1" applyAlignment="1">
      <alignment vertical="top"/>
    </xf>
    <xf numFmtId="0" fontId="6" fillId="0" borderId="0" xfId="0" applyFont="1" applyFill="1" applyAlignment="1">
      <alignment horizontal="right"/>
    </xf>
    <xf numFmtId="172" fontId="0" fillId="0" borderId="0" xfId="0" applyNumberFormat="1" applyFill="1" applyBorder="1"/>
    <xf numFmtId="164" fontId="2" fillId="0" borderId="0" xfId="2" applyNumberFormat="1" applyFont="1" applyFill="1" applyBorder="1" applyAlignment="1"/>
    <xf numFmtId="0" fontId="2" fillId="0" borderId="0" xfId="0" applyFont="1" applyFill="1" applyAlignment="1">
      <alignment horizontal="center"/>
    </xf>
    <xf numFmtId="0" fontId="6" fillId="0" borderId="0" xfId="0" applyFont="1" applyFill="1" applyAlignment="1">
      <alignment horizontal="center"/>
    </xf>
    <xf numFmtId="0" fontId="11" fillId="0" borderId="0" xfId="0" applyFont="1" applyFill="1" applyAlignment="1">
      <alignment horizontal="center"/>
    </xf>
    <xf numFmtId="0" fontId="0" fillId="0" borderId="0" xfId="0" applyFill="1" applyAlignment="1">
      <alignment horizontal="left"/>
    </xf>
    <xf numFmtId="0" fontId="0" fillId="0" borderId="0" xfId="0" applyFill="1" applyBorder="1" applyAlignment="1">
      <alignment wrapText="1"/>
    </xf>
    <xf numFmtId="0" fontId="0" fillId="0" borderId="0" xfId="0" applyFill="1" applyBorder="1" applyAlignment="1"/>
    <xf numFmtId="0" fontId="2" fillId="0" borderId="0" xfId="0" applyFont="1" applyFill="1" applyAlignment="1">
      <alignment horizontal="center"/>
    </xf>
    <xf numFmtId="0" fontId="2" fillId="0" borderId="0" xfId="0" applyFont="1" applyAlignment="1">
      <alignment horizontal="center"/>
    </xf>
    <xf numFmtId="0" fontId="2"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0" fillId="0" borderId="0" xfId="0" applyFill="1" applyAlignment="1">
      <alignment horizontal="left" indent="2"/>
    </xf>
    <xf numFmtId="168" fontId="8" fillId="0" borderId="0" xfId="0" applyNumberFormat="1" applyFont="1" applyFill="1"/>
    <xf numFmtId="168" fontId="6" fillId="0" borderId="0" xfId="0" applyNumberFormat="1" applyFont="1" applyFill="1"/>
    <xf numFmtId="169" fontId="0" fillId="0" borderId="0" xfId="0" applyNumberFormat="1" applyFont="1" applyFill="1"/>
    <xf numFmtId="0" fontId="2"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6" fillId="0" borderId="0" xfId="0" applyFont="1" applyFill="1" applyAlignment="1">
      <alignment horizontal="center"/>
    </xf>
    <xf numFmtId="164" fontId="6" fillId="0" borderId="0" xfId="2" applyNumberFormat="1" applyFont="1" applyFill="1" applyAlignment="1">
      <alignment horizontal="center"/>
    </xf>
    <xf numFmtId="14" fontId="6" fillId="0" borderId="0" xfId="0" applyNumberFormat="1" applyFont="1" applyFill="1" applyAlignment="1">
      <alignment horizontal="center"/>
    </xf>
    <xf numFmtId="0" fontId="18" fillId="0" borderId="18" xfId="0" applyFont="1" applyFill="1" applyBorder="1"/>
    <xf numFmtId="0" fontId="6" fillId="0" borderId="14" xfId="0" applyFont="1" applyFill="1" applyBorder="1"/>
    <xf numFmtId="0" fontId="8" fillId="0" borderId="14" xfId="0" applyFont="1" applyFill="1" applyBorder="1"/>
    <xf numFmtId="0" fontId="6" fillId="0" borderId="19" xfId="0" applyFont="1" applyFill="1" applyBorder="1"/>
    <xf numFmtId="0" fontId="31" fillId="0" borderId="0" xfId="0" applyFont="1" applyFill="1"/>
    <xf numFmtId="168" fontId="32" fillId="0" borderId="0" xfId="0" applyNumberFormat="1" applyFont="1" applyFill="1"/>
    <xf numFmtId="0" fontId="0" fillId="0" borderId="0" xfId="0" applyFont="1" applyFill="1" applyAlignment="1"/>
    <xf numFmtId="164" fontId="0" fillId="0" borderId="0" xfId="2" applyNumberFormat="1" applyFont="1" applyFill="1" applyAlignment="1"/>
    <xf numFmtId="0" fontId="0" fillId="0" borderId="0" xfId="0" applyFont="1" applyFill="1" applyBorder="1"/>
    <xf numFmtId="0" fontId="0" fillId="2" borderId="0" xfId="0" applyFill="1"/>
    <xf numFmtId="164" fontId="2" fillId="2" borderId="0" xfId="2" applyNumberFormat="1" applyFont="1" applyFill="1" applyBorder="1"/>
    <xf numFmtId="0" fontId="0" fillId="0" borderId="0" xfId="0" applyFill="1"/>
    <xf numFmtId="164" fontId="2" fillId="2" borderId="0" xfId="2" applyNumberFormat="1" applyFont="1" applyFill="1" applyBorder="1"/>
    <xf numFmtId="0" fontId="6" fillId="2" borderId="0" xfId="0" applyFont="1" applyFill="1"/>
    <xf numFmtId="0" fontId="6" fillId="2" borderId="0" xfId="0" applyFont="1" applyFill="1"/>
    <xf numFmtId="164" fontId="34" fillId="0" borderId="0" xfId="2" applyNumberFormat="1" applyFont="1" applyFill="1"/>
    <xf numFmtId="164" fontId="33" fillId="0" borderId="0" xfId="2" applyNumberFormat="1" applyFont="1" applyFill="1"/>
    <xf numFmtId="3" fontId="33" fillId="0" borderId="0" xfId="3" applyNumberFormat="1" applyFont="1" applyFill="1"/>
    <xf numFmtId="164" fontId="33" fillId="0" borderId="1" xfId="2" applyNumberFormat="1" applyFont="1" applyFill="1" applyBorder="1"/>
    <xf numFmtId="172" fontId="33" fillId="0" borderId="0" xfId="0" applyNumberFormat="1" applyFont="1" applyFill="1"/>
    <xf numFmtId="172" fontId="33" fillId="0" borderId="0" xfId="0" applyNumberFormat="1" applyFont="1" applyFill="1" applyBorder="1"/>
    <xf numFmtId="10" fontId="33" fillId="0" borderId="0" xfId="3" applyNumberFormat="1" applyFont="1" applyFill="1"/>
    <xf numFmtId="10" fontId="6" fillId="0" borderId="0" xfId="3" applyNumberFormat="1" applyFont="1" applyFill="1" applyAlignment="1">
      <alignment horizontal="center"/>
    </xf>
    <xf numFmtId="0" fontId="2" fillId="0" borderId="0" xfId="0" applyFont="1" applyFill="1" applyAlignment="1">
      <alignment horizontal="center"/>
    </xf>
    <xf numFmtId="0" fontId="33" fillId="0" borderId="0" xfId="0" applyFont="1" applyFill="1"/>
    <xf numFmtId="164" fontId="33" fillId="0" borderId="0" xfId="2" applyNumberFormat="1" applyFont="1" applyFill="1" applyAlignment="1">
      <alignment horizontal="left"/>
    </xf>
    <xf numFmtId="164" fontId="33" fillId="0" borderId="0" xfId="2" applyNumberFormat="1" applyFont="1" applyFill="1" applyAlignment="1"/>
    <xf numFmtId="169" fontId="33" fillId="0" borderId="0" xfId="0" applyNumberFormat="1" applyFont="1" applyFill="1"/>
    <xf numFmtId="164" fontId="34" fillId="0" borderId="0" xfId="2" applyNumberFormat="1" applyFont="1" applyFill="1" applyAlignment="1"/>
    <xf numFmtId="10" fontId="33" fillId="0" borderId="0" xfId="0" applyNumberFormat="1" applyFont="1" applyFill="1" applyAlignment="1">
      <alignment horizontal="center"/>
    </xf>
    <xf numFmtId="174" fontId="34" fillId="0" borderId="0" xfId="3" applyNumberFormat="1" applyFont="1" applyFill="1" applyAlignment="1">
      <alignment horizontal="center"/>
    </xf>
    <xf numFmtId="181" fontId="34" fillId="0" borderId="0" xfId="0" applyNumberFormat="1" applyFont="1" applyFill="1" applyAlignment="1">
      <alignment horizontal="center"/>
    </xf>
    <xf numFmtId="5" fontId="37" fillId="0" borderId="0" xfId="0" applyNumberFormat="1" applyFont="1" applyFill="1" applyProtection="1">
      <protection locked="0"/>
    </xf>
    <xf numFmtId="10" fontId="37" fillId="0" borderId="0" xfId="0" applyNumberFormat="1" applyFont="1" applyFill="1" applyProtection="1">
      <protection locked="0"/>
    </xf>
    <xf numFmtId="180" fontId="37" fillId="0" borderId="0" xfId="0" applyNumberFormat="1" applyFont="1" applyFill="1" applyProtection="1"/>
    <xf numFmtId="5" fontId="37" fillId="0" borderId="0" xfId="0" applyNumberFormat="1" applyFont="1" applyFill="1" applyBorder="1" applyProtection="1"/>
    <xf numFmtId="5" fontId="37" fillId="0" borderId="0" xfId="0" applyNumberFormat="1" applyFont="1" applyFill="1"/>
    <xf numFmtId="10" fontId="38" fillId="0" borderId="0" xfId="0" applyNumberFormat="1" applyFont="1" applyFill="1" applyProtection="1">
      <protection locked="0"/>
    </xf>
    <xf numFmtId="5" fontId="38" fillId="0" borderId="0" xfId="0" applyNumberFormat="1" applyFont="1" applyFill="1"/>
    <xf numFmtId="5" fontId="38" fillId="0" borderId="0" xfId="0" applyNumberFormat="1" applyFont="1" applyFill="1" applyProtection="1"/>
    <xf numFmtId="168" fontId="33" fillId="0" borderId="0" xfId="8" applyNumberFormat="1" applyFont="1" applyFill="1"/>
    <xf numFmtId="0" fontId="35" fillId="0" borderId="0" xfId="7" applyFont="1" applyFill="1"/>
    <xf numFmtId="0" fontId="2" fillId="0" borderId="0" xfId="0" applyFont="1" applyFill="1" applyAlignment="1">
      <alignment horizontal="center"/>
    </xf>
    <xf numFmtId="0" fontId="33" fillId="0" borderId="0" xfId="0" applyFont="1" applyFill="1" applyAlignment="1"/>
    <xf numFmtId="169" fontId="6" fillId="0" borderId="0" xfId="0" applyNumberFormat="1" applyFont="1" applyFill="1"/>
    <xf numFmtId="0" fontId="12" fillId="0" borderId="0" xfId="0" applyFont="1" applyFill="1" applyAlignment="1">
      <alignment horizontal="center"/>
    </xf>
    <xf numFmtId="164" fontId="12" fillId="0" borderId="0" xfId="0" applyNumberFormat="1" applyFont="1" applyFill="1"/>
    <xf numFmtId="0" fontId="41" fillId="0" borderId="0" xfId="0" quotePrefix="1" applyFont="1" applyFill="1" applyAlignment="1"/>
    <xf numFmtId="17" fontId="0" fillId="0" borderId="0" xfId="0" quotePrefix="1" applyNumberFormat="1" applyFill="1"/>
    <xf numFmtId="164" fontId="7" fillId="0" borderId="0" xfId="2" applyNumberFormat="1" applyFont="1" applyFill="1" applyAlignment="1"/>
    <xf numFmtId="0" fontId="41" fillId="0" borderId="0" xfId="0" applyFont="1" applyFill="1" applyAlignment="1">
      <alignment horizontal="left"/>
    </xf>
    <xf numFmtId="164" fontId="41" fillId="0" borderId="0" xfId="2" applyNumberFormat="1" applyFont="1" applyFill="1"/>
    <xf numFmtId="5" fontId="44" fillId="0" borderId="0" xfId="0" applyNumberFormat="1" applyFont="1" applyFill="1"/>
    <xf numFmtId="0" fontId="42" fillId="0" borderId="0" xfId="0" applyFont="1" applyFill="1" applyBorder="1" applyAlignment="1">
      <alignment horizontal="center"/>
    </xf>
    <xf numFmtId="168" fontId="43" fillId="0" borderId="0" xfId="8" applyNumberFormat="1" applyFont="1" applyFill="1" applyBorder="1" applyAlignment="1">
      <alignment horizontal="right" indent="1"/>
    </xf>
    <xf numFmtId="5" fontId="45" fillId="0" borderId="0" xfId="0" applyNumberFormat="1" applyFont="1" applyFill="1" applyProtection="1">
      <protection locked="0"/>
    </xf>
    <xf numFmtId="0" fontId="14" fillId="0" borderId="0" xfId="0" applyFont="1" applyFill="1"/>
    <xf numFmtId="0" fontId="41" fillId="0" borderId="0" xfId="0" applyFont="1" applyFill="1"/>
    <xf numFmtId="0" fontId="12" fillId="0" borderId="0" xfId="0" applyFont="1" applyFill="1" applyAlignment="1">
      <alignment horizontal="center"/>
    </xf>
    <xf numFmtId="168" fontId="41" fillId="0" borderId="0" xfId="0" applyNumberFormat="1" applyFont="1" applyFill="1"/>
    <xf numFmtId="164" fontId="34" fillId="0" borderId="0" xfId="1" applyNumberFormat="1" applyFont="1" applyFill="1"/>
    <xf numFmtId="43" fontId="6" fillId="0" borderId="0" xfId="0" applyNumberFormat="1" applyFont="1" applyFill="1"/>
    <xf numFmtId="0" fontId="7" fillId="0" borderId="0" xfId="0" applyFont="1" applyFill="1" applyAlignment="1">
      <alignment horizontal="center"/>
    </xf>
    <xf numFmtId="0" fontId="2" fillId="0" borderId="0" xfId="0" applyFont="1" applyFill="1" applyAlignment="1">
      <alignment horizontal="center"/>
    </xf>
    <xf numFmtId="0" fontId="6" fillId="0" borderId="0" xfId="0" applyFont="1" applyFill="1" applyAlignment="1">
      <alignment horizontal="center"/>
    </xf>
    <xf numFmtId="0" fontId="12" fillId="0" borderId="0" xfId="0" applyFont="1" applyFill="1" applyAlignment="1">
      <alignment horizontal="center"/>
    </xf>
    <xf numFmtId="0" fontId="11" fillId="0" borderId="0" xfId="0" applyFont="1" applyFill="1" applyAlignment="1">
      <alignment horizontal="center"/>
    </xf>
    <xf numFmtId="44" fontId="0" fillId="0" borderId="17" xfId="2" applyFont="1" applyFill="1" applyBorder="1"/>
    <xf numFmtId="5" fontId="46" fillId="0" borderId="0" xfId="0" applyNumberFormat="1" applyFont="1" applyFill="1" applyAlignment="1" applyProtection="1">
      <alignment horizontal="left"/>
    </xf>
    <xf numFmtId="179" fontId="46" fillId="0" borderId="0" xfId="0" applyNumberFormat="1" applyFont="1" applyFill="1" applyProtection="1">
      <protection locked="0"/>
    </xf>
    <xf numFmtId="168" fontId="8" fillId="0" borderId="16" xfId="8" applyNumberFormat="1" applyFont="1" applyFill="1" applyBorder="1" applyAlignment="1">
      <alignment horizontal="right" indent="1"/>
    </xf>
    <xf numFmtId="3" fontId="0" fillId="0" borderId="0" xfId="0" applyNumberFormat="1" applyFill="1"/>
    <xf numFmtId="168" fontId="2" fillId="0" borderId="17" xfId="1" applyNumberFormat="1" applyFont="1" applyFill="1" applyBorder="1" applyAlignment="1"/>
    <xf numFmtId="164" fontId="2" fillId="0" borderId="5" xfId="0" applyNumberFormat="1" applyFont="1" applyFill="1" applyBorder="1"/>
    <xf numFmtId="0" fontId="6" fillId="0" borderId="0" xfId="0" applyNumberFormat="1" applyFont="1" applyFill="1" applyAlignment="1">
      <alignment horizontal="center"/>
    </xf>
    <xf numFmtId="0" fontId="8" fillId="0" borderId="0" xfId="10" applyNumberFormat="1" applyFont="1" applyFill="1" applyAlignment="1">
      <alignment horizontal="center"/>
    </xf>
    <xf numFmtId="0" fontId="2" fillId="0" borderId="0" xfId="0" applyFont="1" applyFill="1" applyAlignment="1">
      <alignment horizontal="center"/>
    </xf>
    <xf numFmtId="0" fontId="0" fillId="0" borderId="0" xfId="3" applyNumberFormat="1" applyFont="1" applyFill="1"/>
    <xf numFmtId="2" fontId="0" fillId="0" borderId="0" xfId="2" applyNumberFormat="1" applyFont="1" applyFill="1"/>
    <xf numFmtId="168" fontId="8" fillId="0" borderId="0" xfId="1" applyNumberFormat="1" applyFont="1" applyFill="1" applyProtection="1">
      <protection locked="0"/>
    </xf>
    <xf numFmtId="0" fontId="2" fillId="0" borderId="0" xfId="0" applyFont="1" applyFill="1" applyAlignment="1">
      <alignment horizontal="center"/>
    </xf>
    <xf numFmtId="0" fontId="6"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1" fillId="0" borderId="0" xfId="0" applyFont="1" applyFill="1" applyAlignment="1">
      <alignment horizontal="center"/>
    </xf>
    <xf numFmtId="168" fontId="35" fillId="0" borderId="0" xfId="1" applyNumberFormat="1" applyFont="1" applyFill="1" applyProtection="1">
      <protection locked="0"/>
    </xf>
    <xf numFmtId="0" fontId="6" fillId="0" borderId="0" xfId="10" applyNumberFormat="1" applyFont="1" applyFill="1" applyAlignment="1">
      <alignment horizontal="center"/>
    </xf>
    <xf numFmtId="168" fontId="33" fillId="0" borderId="0" xfId="1" applyNumberFormat="1" applyFont="1" applyFill="1"/>
    <xf numFmtId="16" fontId="6" fillId="0" borderId="0" xfId="0" quotePrefix="1" applyNumberFormat="1" applyFont="1" applyFill="1" applyAlignment="1">
      <alignment horizontal="center"/>
    </xf>
    <xf numFmtId="16" fontId="6" fillId="0" borderId="0" xfId="0" applyNumberFormat="1" applyFont="1" applyFill="1" applyAlignment="1">
      <alignment horizontal="center"/>
    </xf>
    <xf numFmtId="10" fontId="33" fillId="0" borderId="1" xfId="3" applyNumberFormat="1" applyFont="1" applyFill="1" applyBorder="1"/>
    <xf numFmtId="164" fontId="34" fillId="0" borderId="1" xfId="2" applyNumberFormat="1" applyFont="1" applyFill="1" applyBorder="1"/>
    <xf numFmtId="14" fontId="36" fillId="0" borderId="0" xfId="0" applyNumberFormat="1" applyFont="1" applyFill="1" applyAlignment="1">
      <alignment horizontal="center"/>
    </xf>
    <xf numFmtId="14" fontId="2" fillId="0" borderId="0" xfId="0" applyNumberFormat="1" applyFont="1" applyFill="1" applyAlignment="1">
      <alignment horizontal="center"/>
    </xf>
    <xf numFmtId="183" fontId="33" fillId="0" borderId="0" xfId="0" applyNumberFormat="1" applyFont="1" applyFill="1"/>
    <xf numFmtId="9" fontId="33" fillId="0" borderId="0" xfId="3" applyNumberFormat="1" applyFont="1" applyFill="1"/>
    <xf numFmtId="168" fontId="33" fillId="0" borderId="1" xfId="1" applyNumberFormat="1" applyFont="1" applyFill="1" applyBorder="1"/>
    <xf numFmtId="0" fontId="36" fillId="0" borderId="0" xfId="0" applyFont="1" applyFill="1"/>
    <xf numFmtId="168" fontId="34" fillId="0" borderId="0" xfId="8" applyNumberFormat="1" applyFont="1" applyFill="1"/>
    <xf numFmtId="5" fontId="28" fillId="0" borderId="0" xfId="11" applyFont="1" applyFill="1" applyAlignment="1" applyProtection="1">
      <alignment horizontal="center"/>
    </xf>
    <xf numFmtId="5" fontId="28" fillId="0" borderId="0" xfId="11" applyFont="1" applyFill="1" applyAlignment="1">
      <alignment horizontal="center"/>
    </xf>
    <xf numFmtId="14" fontId="28" fillId="0" borderId="1" xfId="11" applyNumberFormat="1" applyFont="1" applyFill="1" applyBorder="1" applyAlignment="1" applyProtection="1">
      <alignment horizontal="center"/>
    </xf>
    <xf numFmtId="14" fontId="40" fillId="0" borderId="1" xfId="11" applyNumberFormat="1" applyFont="1" applyFill="1" applyBorder="1" applyAlignment="1" applyProtection="1">
      <alignment horizontal="center"/>
    </xf>
    <xf numFmtId="5" fontId="38" fillId="0" borderId="0" xfId="11" quotePrefix="1" applyFont="1" applyFill="1" applyAlignment="1" applyProtection="1">
      <alignment horizontal="center"/>
    </xf>
    <xf numFmtId="5" fontId="45" fillId="0" borderId="1" xfId="0" applyNumberFormat="1" applyFont="1" applyFill="1" applyBorder="1" applyProtection="1">
      <protection locked="0"/>
    </xf>
    <xf numFmtId="0" fontId="36" fillId="0" borderId="4" xfId="0" applyFont="1" applyFill="1" applyBorder="1" applyAlignment="1">
      <alignment horizontal="center"/>
    </xf>
    <xf numFmtId="168" fontId="35" fillId="0" borderId="15" xfId="8" applyNumberFormat="1" applyFont="1" applyFill="1" applyBorder="1" applyAlignment="1">
      <alignment horizontal="right" indent="1"/>
    </xf>
    <xf numFmtId="168" fontId="8" fillId="0" borderId="15" xfId="8" applyNumberFormat="1" applyFont="1" applyFill="1" applyBorder="1" applyAlignment="1">
      <alignment horizontal="right" indent="1"/>
    </xf>
    <xf numFmtId="44" fontId="33" fillId="0" borderId="0" xfId="2" applyFont="1" applyFill="1"/>
    <xf numFmtId="44" fontId="33" fillId="0" borderId="1" xfId="2" applyFont="1" applyFill="1" applyBorder="1"/>
    <xf numFmtId="168" fontId="33" fillId="0" borderId="0" xfId="2" applyNumberFormat="1" applyFont="1" applyFill="1" applyBorder="1"/>
    <xf numFmtId="177" fontId="33" fillId="0" borderId="1" xfId="2" applyNumberFormat="1" applyFont="1" applyFill="1" applyBorder="1"/>
    <xf numFmtId="182" fontId="33" fillId="0" borderId="0" xfId="1" applyNumberFormat="1" applyFont="1" applyFill="1"/>
    <xf numFmtId="182" fontId="0" fillId="0" borderId="0" xfId="1" applyNumberFormat="1" applyFont="1" applyFill="1"/>
    <xf numFmtId="10" fontId="33" fillId="0" borderId="0" xfId="0" applyNumberFormat="1" applyFont="1" applyFill="1"/>
    <xf numFmtId="44" fontId="33" fillId="0" borderId="0" xfId="0" applyNumberFormat="1" applyFont="1" applyFill="1"/>
    <xf numFmtId="0" fontId="2" fillId="3" borderId="0" xfId="0" applyFont="1" applyFill="1" applyAlignment="1">
      <alignment horizontal="center"/>
    </xf>
    <xf numFmtId="10" fontId="33" fillId="3" borderId="0" xfId="3" applyNumberFormat="1" applyFont="1" applyFill="1"/>
    <xf numFmtId="0" fontId="0" fillId="3" borderId="0" xfId="0" applyFill="1"/>
    <xf numFmtId="0" fontId="2" fillId="0" borderId="0" xfId="0" applyFont="1" applyFill="1" applyAlignment="1">
      <alignment horizontal="center"/>
    </xf>
    <xf numFmtId="0" fontId="6"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1" fillId="0" borderId="0" xfId="0" applyFont="1" applyFill="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36" fillId="0" borderId="0" xfId="0" applyFont="1" applyFill="1" applyAlignment="1">
      <alignment horizontal="center"/>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cellXfs>
  <cellStyles count="13">
    <cellStyle name="Comma" xfId="1" builtinId="3"/>
    <cellStyle name="Comma [0]" xfId="4" builtinId="6"/>
    <cellStyle name="Comma 2" xfId="5"/>
    <cellStyle name="Comma 2 2" xfId="8"/>
    <cellStyle name="Currency" xfId="2" builtinId="4"/>
    <cellStyle name="Currency 2" xfId="12"/>
    <cellStyle name="Hyperlink" xfId="9" builtinId="8"/>
    <cellStyle name="Normal" xfId="0" builtinId="0"/>
    <cellStyle name="Normal 2" xfId="6"/>
    <cellStyle name="Normal 2 2" xfId="7"/>
    <cellStyle name="Normal 3" xfId="11"/>
    <cellStyle name="Normal_System Average Rate_version2" xfId="10"/>
    <cellStyle name="Percent" xfId="3" builtinId="5"/>
  </cellStyles>
  <dxfs count="0"/>
  <tableStyles count="0" defaultTableStyle="TableStyleMedium9" defaultPivotStyle="PivotStyleLight16"/>
  <colors>
    <mruColors>
      <color rgb="FF0000FF"/>
      <color rgb="FFFF33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6.xml.rels><?xml version="1.0" encoding="UTF-8" standalone="yes"?>
<Relationships xmlns="http://schemas.openxmlformats.org/package/2006/relationships"><Relationship Id="rId3" Type="http://schemas.openxmlformats.org/officeDocument/2006/relationships/hyperlink" Target="https://www.ferc.gov/legal/acct-matts/interest-rates.asp" TargetMode="External"/><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4" Type="http://schemas.openxmlformats.org/officeDocument/2006/relationships/printerSettings" Target="../printerSettings/printerSettings78.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02"/>
  <sheetViews>
    <sheetView tabSelected="1" zoomScaleNormal="100" workbookViewId="0">
      <pane ySplit="1" topLeftCell="A2" activePane="bottomLeft" state="frozen"/>
      <selection activeCell="AC43" sqref="AC43"/>
      <selection pane="bottomLeft"/>
    </sheetView>
  </sheetViews>
  <sheetFormatPr defaultRowHeight="15" x14ac:dyDescent="0.25"/>
  <cols>
    <col min="1" max="1" width="49.85546875" style="25" customWidth="1"/>
    <col min="2" max="2" width="43" style="25" customWidth="1"/>
    <col min="3" max="3" width="14.5703125" style="25" customWidth="1"/>
    <col min="4" max="4" width="17.28515625" style="25" customWidth="1"/>
    <col min="5" max="6" width="8.42578125" style="25" bestFit="1" customWidth="1"/>
    <col min="7" max="7" width="18.5703125" style="25" customWidth="1"/>
    <col min="8" max="8" width="13.42578125" style="25" customWidth="1"/>
    <col min="9" max="9" width="14.28515625" style="25" customWidth="1"/>
    <col min="10" max="10" width="22" style="100" customWidth="1"/>
    <col min="11" max="11" width="19.140625" style="100" customWidth="1"/>
    <col min="12" max="12" width="13.42578125" style="100" bestFit="1" customWidth="1"/>
    <col min="13" max="13" width="14.5703125" style="100" bestFit="1" customWidth="1"/>
    <col min="14" max="14" width="20.42578125" style="100" customWidth="1"/>
    <col min="15" max="15" width="102.28515625" style="5" bestFit="1" customWidth="1"/>
    <col min="16" max="16" width="21.28515625" style="25" bestFit="1" customWidth="1"/>
    <col min="17" max="17" width="18.7109375" style="25" bestFit="1" customWidth="1"/>
    <col min="18" max="29" width="12.28515625" style="25" customWidth="1"/>
    <col min="30" max="30" width="9.140625" style="25" customWidth="1"/>
    <col min="31" max="16384" width="9.140625" style="25"/>
  </cols>
  <sheetData>
    <row r="1" spans="1:16" ht="66.75" customHeight="1" x14ac:dyDescent="0.25">
      <c r="A1" s="95" t="s">
        <v>4</v>
      </c>
      <c r="B1" s="96" t="s">
        <v>780</v>
      </c>
      <c r="C1" s="97" t="s">
        <v>781</v>
      </c>
      <c r="D1" s="97" t="s">
        <v>506</v>
      </c>
      <c r="E1" s="98" t="s">
        <v>782</v>
      </c>
      <c r="F1" s="98" t="s">
        <v>783</v>
      </c>
      <c r="G1" s="98" t="s">
        <v>1157</v>
      </c>
      <c r="H1" s="99" t="s">
        <v>1132</v>
      </c>
      <c r="I1" s="99" t="s">
        <v>1151</v>
      </c>
      <c r="J1" s="99" t="s">
        <v>1158</v>
      </c>
      <c r="K1" s="99" t="s">
        <v>784</v>
      </c>
      <c r="L1" s="99" t="s">
        <v>1132</v>
      </c>
      <c r="M1" s="99" t="s">
        <v>1151</v>
      </c>
      <c r="N1" s="99" t="s">
        <v>1153</v>
      </c>
    </row>
    <row r="2" spans="1:16" x14ac:dyDescent="0.25">
      <c r="A2" s="38" t="str">
        <f>"FERC Form 1, "&amp;TEXT(C2,"###")&amp;", "&amp;TEXT(D2,"###")&amp;", ("&amp;IF(E2="na",F2&amp;")",E2&amp;") &amp; ("&amp;F2&amp;")")</f>
        <v>FERC Form 1, 204-205, 46, (b) &amp; (g)</v>
      </c>
      <c r="B2" s="38" t="s">
        <v>785</v>
      </c>
      <c r="C2" s="284" t="s">
        <v>786</v>
      </c>
      <c r="D2" s="284">
        <v>46</v>
      </c>
      <c r="E2" s="284" t="s">
        <v>787</v>
      </c>
      <c r="F2" s="284" t="s">
        <v>788</v>
      </c>
      <c r="G2" s="289">
        <v>20742028553</v>
      </c>
      <c r="H2" s="295"/>
      <c r="I2" s="295"/>
      <c r="J2" s="289">
        <f>G2-H2-I2</f>
        <v>20742028553</v>
      </c>
      <c r="K2" s="289">
        <v>20969006811</v>
      </c>
      <c r="L2" s="295"/>
      <c r="M2" s="295"/>
      <c r="N2" s="289">
        <f>K2-L2-M2</f>
        <v>20969006811</v>
      </c>
      <c r="P2" s="202"/>
    </row>
    <row r="3" spans="1:16" x14ac:dyDescent="0.25">
      <c r="A3" s="38" t="s">
        <v>789</v>
      </c>
      <c r="B3" s="38" t="s">
        <v>790</v>
      </c>
      <c r="C3" s="284" t="s">
        <v>786</v>
      </c>
      <c r="D3" s="284" t="s">
        <v>791</v>
      </c>
      <c r="E3" s="284" t="s">
        <v>787</v>
      </c>
      <c r="F3" s="284" t="s">
        <v>788</v>
      </c>
      <c r="G3" s="289">
        <v>482106051</v>
      </c>
      <c r="H3" s="295"/>
      <c r="I3" s="295"/>
      <c r="J3" s="289">
        <f>G3-H3-I3</f>
        <v>482106051</v>
      </c>
      <c r="K3" s="289">
        <f>799989687-607602839+6571313</f>
        <v>198958161</v>
      </c>
      <c r="L3" s="295"/>
      <c r="M3" s="295"/>
      <c r="N3" s="289">
        <f t="shared" ref="N3:N58" si="0">K3-L3-M3</f>
        <v>198958161</v>
      </c>
      <c r="O3" s="30"/>
      <c r="P3" s="202"/>
    </row>
    <row r="4" spans="1:16" x14ac:dyDescent="0.25">
      <c r="A4" s="38" t="s">
        <v>792</v>
      </c>
      <c r="B4" s="38" t="s">
        <v>793</v>
      </c>
      <c r="C4" s="284" t="s">
        <v>795</v>
      </c>
      <c r="D4" s="284">
        <v>101</v>
      </c>
      <c r="E4" s="284" t="s">
        <v>787</v>
      </c>
      <c r="F4" s="284" t="s">
        <v>788</v>
      </c>
      <c r="G4" s="289">
        <v>0</v>
      </c>
      <c r="H4" s="295"/>
      <c r="I4" s="295"/>
      <c r="J4" s="289">
        <f t="shared" ref="J4:J58" si="1">G4-H4-I4</f>
        <v>0</v>
      </c>
      <c r="K4" s="289">
        <v>0</v>
      </c>
      <c r="L4" s="295"/>
      <c r="M4" s="295"/>
      <c r="N4" s="289">
        <f t="shared" si="0"/>
        <v>0</v>
      </c>
      <c r="O4" s="30"/>
      <c r="P4" s="202"/>
    </row>
    <row r="5" spans="1:16" x14ac:dyDescent="0.25">
      <c r="A5" s="38" t="str">
        <f>"FERC Form 1, "&amp;TEXT(C5,"###")&amp;", "&amp;TEXT(D5,"###")&amp;", ("&amp;IF(E5="na",F5&amp;")",E5&amp;") &amp; ("&amp;F5&amp;")")</f>
        <v>FERC Form 1, 206-207, 58, (b) &amp; (g)</v>
      </c>
      <c r="B5" s="38" t="s">
        <v>794</v>
      </c>
      <c r="C5" s="284" t="s">
        <v>795</v>
      </c>
      <c r="D5" s="284">
        <v>58</v>
      </c>
      <c r="E5" s="284" t="s">
        <v>787</v>
      </c>
      <c r="F5" s="284" t="s">
        <v>788</v>
      </c>
      <c r="G5" s="289">
        <v>3568696873</v>
      </c>
      <c r="H5" s="295">
        <v>9857149</v>
      </c>
      <c r="I5" s="295"/>
      <c r="J5" s="289">
        <f t="shared" si="1"/>
        <v>3558839724</v>
      </c>
      <c r="K5" s="289">
        <v>3874750838</v>
      </c>
      <c r="L5" s="295">
        <v>12055012</v>
      </c>
      <c r="M5" s="295">
        <v>3603171.17</v>
      </c>
      <c r="N5" s="289">
        <f t="shared" si="0"/>
        <v>3859092654.8299999</v>
      </c>
      <c r="P5" s="202"/>
    </row>
    <row r="6" spans="1:16" x14ac:dyDescent="0.25">
      <c r="A6" s="38" t="str">
        <f t="shared" ref="A6:A7" si="2">"FERC Form 1, "&amp;TEXT(C6,"###")&amp;", "&amp;TEXT(D6,"###")&amp;", ("&amp;IF(E6="na",F6&amp;")",E6&amp;") &amp; ("&amp;F6&amp;")")</f>
        <v>FERC Form 1, 206-207, 75, (b) &amp; (g)</v>
      </c>
      <c r="B6" s="38" t="s">
        <v>796</v>
      </c>
      <c r="C6" s="284" t="s">
        <v>795</v>
      </c>
      <c r="D6" s="284">
        <v>75</v>
      </c>
      <c r="E6" s="284" t="s">
        <v>787</v>
      </c>
      <c r="F6" s="284" t="s">
        <v>788</v>
      </c>
      <c r="G6" s="289">
        <v>10753028333</v>
      </c>
      <c r="H6" s="295"/>
      <c r="I6" s="295"/>
      <c r="J6" s="289">
        <f t="shared" si="1"/>
        <v>10753028333</v>
      </c>
      <c r="K6" s="289">
        <v>11345729637</v>
      </c>
      <c r="L6" s="295"/>
      <c r="M6" s="295">
        <v>-3603171.17</v>
      </c>
      <c r="N6" s="289">
        <f t="shared" si="0"/>
        <v>11349332808.17</v>
      </c>
      <c r="P6" s="202"/>
    </row>
    <row r="7" spans="1:16" x14ac:dyDescent="0.25">
      <c r="A7" s="38" t="str">
        <f t="shared" si="2"/>
        <v>FERC Form 1, 206-207, 99, (b) &amp; (g)</v>
      </c>
      <c r="B7" s="38" t="s">
        <v>797</v>
      </c>
      <c r="C7" s="284" t="s">
        <v>795</v>
      </c>
      <c r="D7" s="284">
        <v>99</v>
      </c>
      <c r="E7" s="284" t="s">
        <v>787</v>
      </c>
      <c r="F7" s="284" t="s">
        <v>788</v>
      </c>
      <c r="G7" s="289">
        <v>902960770</v>
      </c>
      <c r="H7" s="295"/>
      <c r="I7" s="295"/>
      <c r="J7" s="289">
        <f t="shared" si="1"/>
        <v>902960770</v>
      </c>
      <c r="K7" s="289">
        <v>1121528986</v>
      </c>
      <c r="L7" s="295"/>
      <c r="M7" s="295"/>
      <c r="N7" s="289">
        <f t="shared" si="0"/>
        <v>1121528986</v>
      </c>
      <c r="P7" s="202"/>
    </row>
    <row r="8" spans="1:16" x14ac:dyDescent="0.25">
      <c r="A8" s="38" t="s">
        <v>798</v>
      </c>
      <c r="B8" s="38" t="s">
        <v>799</v>
      </c>
      <c r="C8" s="284" t="s">
        <v>795</v>
      </c>
      <c r="D8" s="284">
        <v>98</v>
      </c>
      <c r="E8" s="284" t="s">
        <v>787</v>
      </c>
      <c r="F8" s="284" t="s">
        <v>788</v>
      </c>
      <c r="G8" s="289">
        <v>-931335</v>
      </c>
      <c r="H8" s="295"/>
      <c r="I8" s="295"/>
      <c r="J8" s="289">
        <f t="shared" si="1"/>
        <v>-931335</v>
      </c>
      <c r="K8" s="289">
        <v>-931335</v>
      </c>
      <c r="L8" s="295"/>
      <c r="M8" s="295"/>
      <c r="N8" s="289">
        <f t="shared" si="0"/>
        <v>-931335</v>
      </c>
      <c r="P8" s="202"/>
    </row>
    <row r="9" spans="1:16" x14ac:dyDescent="0.25">
      <c r="A9" s="38" t="str">
        <f>"FERC Form 1, "&amp;TEXT(C9,"###")&amp;", "&amp;TEXT(D9,"###")&amp;", ("&amp;IF(E9="na",F9&amp;")",E9&amp;") &amp; ("&amp;F9&amp;")")</f>
        <v>FERC Form 1, 204-205, 5, (b) &amp; (g)</v>
      </c>
      <c r="B9" s="38" t="s">
        <v>800</v>
      </c>
      <c r="C9" s="284" t="s">
        <v>786</v>
      </c>
      <c r="D9" s="284">
        <v>5</v>
      </c>
      <c r="E9" s="284" t="s">
        <v>787</v>
      </c>
      <c r="F9" s="284" t="s">
        <v>788</v>
      </c>
      <c r="G9" s="289">
        <v>817550027</v>
      </c>
      <c r="H9" s="295"/>
      <c r="I9" s="295"/>
      <c r="J9" s="289">
        <f t="shared" si="1"/>
        <v>817550027</v>
      </c>
      <c r="K9" s="289">
        <v>943490978</v>
      </c>
      <c r="L9" s="295"/>
      <c r="M9" s="295"/>
      <c r="N9" s="289">
        <f t="shared" si="0"/>
        <v>943490978</v>
      </c>
      <c r="P9" s="202"/>
    </row>
    <row r="10" spans="1:16" x14ac:dyDescent="0.25">
      <c r="A10" s="38" t="s">
        <v>801</v>
      </c>
      <c r="B10" s="38" t="s">
        <v>802</v>
      </c>
      <c r="C10" s="296">
        <v>219</v>
      </c>
      <c r="D10" s="285" t="s">
        <v>875</v>
      </c>
      <c r="E10" s="284" t="s">
        <v>803</v>
      </c>
      <c r="F10" s="285" t="s">
        <v>787</v>
      </c>
      <c r="G10" s="289">
        <v>7979043173</v>
      </c>
      <c r="H10" s="295"/>
      <c r="I10" s="295"/>
      <c r="J10" s="289">
        <f t="shared" si="1"/>
        <v>7979043173</v>
      </c>
      <c r="K10" s="289">
        <f>3364852908+3226067944+294538252+672022673+814261336</f>
        <v>8371743113</v>
      </c>
      <c r="L10" s="295"/>
      <c r="M10" s="295"/>
      <c r="N10" s="289">
        <f t="shared" si="0"/>
        <v>8371743113</v>
      </c>
      <c r="P10" s="202"/>
    </row>
    <row r="11" spans="1:16" x14ac:dyDescent="0.25">
      <c r="A11" s="38" t="s">
        <v>804</v>
      </c>
      <c r="B11" s="38" t="s">
        <v>805</v>
      </c>
      <c r="C11" s="296">
        <v>219</v>
      </c>
      <c r="D11" s="285">
        <v>25</v>
      </c>
      <c r="E11" s="284" t="s">
        <v>803</v>
      </c>
      <c r="F11" s="285" t="s">
        <v>787</v>
      </c>
      <c r="G11" s="289">
        <v>1389507162</v>
      </c>
      <c r="H11" s="295">
        <v>1560901</v>
      </c>
      <c r="I11" s="295"/>
      <c r="J11" s="289">
        <f t="shared" si="1"/>
        <v>1387946261</v>
      </c>
      <c r="K11" s="289">
        <f>1403966062</f>
        <v>1403966062</v>
      </c>
      <c r="L11" s="295">
        <v>2179649</v>
      </c>
      <c r="M11" s="295">
        <v>169386.88</v>
      </c>
      <c r="N11" s="289">
        <f t="shared" si="0"/>
        <v>1401617026.1199999</v>
      </c>
      <c r="P11" s="202"/>
    </row>
    <row r="12" spans="1:16" x14ac:dyDescent="0.25">
      <c r="A12" s="38" t="s">
        <v>806</v>
      </c>
      <c r="B12" s="38" t="s">
        <v>807</v>
      </c>
      <c r="C12" s="284">
        <v>219</v>
      </c>
      <c r="D12" s="284">
        <v>26</v>
      </c>
      <c r="E12" s="284" t="s">
        <v>803</v>
      </c>
      <c r="F12" s="284" t="s">
        <v>787</v>
      </c>
      <c r="G12" s="289">
        <v>4561335790</v>
      </c>
      <c r="H12" s="295"/>
      <c r="I12" s="295"/>
      <c r="J12" s="289">
        <f t="shared" si="1"/>
        <v>4561335790</v>
      </c>
      <c r="K12" s="289">
        <v>4657540019</v>
      </c>
      <c r="L12" s="295"/>
      <c r="M12" s="295">
        <v>-169387</v>
      </c>
      <c r="N12" s="289">
        <f t="shared" si="0"/>
        <v>4657709406</v>
      </c>
      <c r="P12" s="202"/>
    </row>
    <row r="13" spans="1:16" x14ac:dyDescent="0.25">
      <c r="A13" s="38" t="s">
        <v>808</v>
      </c>
      <c r="B13" s="38" t="s">
        <v>809</v>
      </c>
      <c r="C13" s="284">
        <v>219</v>
      </c>
      <c r="D13" s="284">
        <v>28</v>
      </c>
      <c r="E13" s="284" t="s">
        <v>803</v>
      </c>
      <c r="F13" s="284" t="s">
        <v>787</v>
      </c>
      <c r="G13" s="289">
        <v>356296118</v>
      </c>
      <c r="H13" s="295"/>
      <c r="I13" s="295"/>
      <c r="J13" s="289">
        <f t="shared" si="1"/>
        <v>356296118</v>
      </c>
      <c r="K13" s="289">
        <v>395580917</v>
      </c>
      <c r="L13" s="295"/>
      <c r="M13" s="295"/>
      <c r="N13" s="289">
        <f t="shared" si="0"/>
        <v>395580917</v>
      </c>
      <c r="P13" s="202"/>
    </row>
    <row r="14" spans="1:16" x14ac:dyDescent="0.25">
      <c r="A14" s="38" t="s">
        <v>810</v>
      </c>
      <c r="B14" s="38" t="s">
        <v>811</v>
      </c>
      <c r="C14" s="284">
        <v>200</v>
      </c>
      <c r="D14" s="284">
        <v>21</v>
      </c>
      <c r="E14" s="284" t="s">
        <v>803</v>
      </c>
      <c r="F14" s="284" t="s">
        <v>787</v>
      </c>
      <c r="G14" s="289">
        <v>508656957</v>
      </c>
      <c r="H14" s="295"/>
      <c r="I14" s="295"/>
      <c r="J14" s="289">
        <f t="shared" si="1"/>
        <v>508656957</v>
      </c>
      <c r="K14" s="289">
        <v>550145243</v>
      </c>
      <c r="L14" s="295"/>
      <c r="M14" s="295"/>
      <c r="N14" s="289">
        <f t="shared" si="0"/>
        <v>550145243</v>
      </c>
      <c r="P14" s="215"/>
    </row>
    <row r="15" spans="1:16" x14ac:dyDescent="0.25">
      <c r="A15" s="38" t="s">
        <v>812</v>
      </c>
      <c r="B15" s="25" t="s">
        <v>813</v>
      </c>
      <c r="C15" s="284">
        <v>234</v>
      </c>
      <c r="D15" s="284">
        <v>18</v>
      </c>
      <c r="E15" s="284" t="s">
        <v>787</v>
      </c>
      <c r="F15" s="284" t="s">
        <v>814</v>
      </c>
      <c r="G15" s="289">
        <v>2720556256</v>
      </c>
      <c r="H15" s="295"/>
      <c r="I15" s="295"/>
      <c r="J15" s="289">
        <f t="shared" si="1"/>
        <v>2720556256</v>
      </c>
      <c r="K15" s="289">
        <v>2492302268</v>
      </c>
      <c r="L15" s="295"/>
      <c r="M15" s="295">
        <v>-194580829</v>
      </c>
      <c r="N15" s="289">
        <f t="shared" si="0"/>
        <v>2686883097</v>
      </c>
      <c r="P15" s="202"/>
    </row>
    <row r="16" spans="1:16" x14ac:dyDescent="0.25">
      <c r="A16" s="38" t="s">
        <v>955</v>
      </c>
      <c r="B16" s="25" t="s">
        <v>956</v>
      </c>
      <c r="C16" s="284" t="s">
        <v>957</v>
      </c>
      <c r="D16" s="284">
        <v>17</v>
      </c>
      <c r="E16" s="284" t="s">
        <v>787</v>
      </c>
      <c r="F16" s="284" t="s">
        <v>818</v>
      </c>
      <c r="G16" s="289">
        <v>0</v>
      </c>
      <c r="H16" s="295"/>
      <c r="I16" s="295"/>
      <c r="J16" s="289">
        <f t="shared" si="1"/>
        <v>0</v>
      </c>
      <c r="K16" s="289">
        <v>0</v>
      </c>
      <c r="L16" s="295"/>
      <c r="M16" s="295"/>
      <c r="N16" s="289">
        <f t="shared" si="0"/>
        <v>0</v>
      </c>
      <c r="P16" s="202"/>
    </row>
    <row r="17" spans="1:16" x14ac:dyDescent="0.25">
      <c r="A17" s="38" t="s">
        <v>815</v>
      </c>
      <c r="B17" s="38" t="s">
        <v>816</v>
      </c>
      <c r="C17" s="284" t="s">
        <v>817</v>
      </c>
      <c r="D17" s="284">
        <v>9</v>
      </c>
      <c r="E17" s="284" t="s">
        <v>787</v>
      </c>
      <c r="F17" s="284" t="s">
        <v>818</v>
      </c>
      <c r="G17" s="289">
        <v>6452625233</v>
      </c>
      <c r="H17" s="295">
        <v>-999344</v>
      </c>
      <c r="I17" s="295"/>
      <c r="J17" s="289">
        <f t="shared" si="1"/>
        <v>6453624577</v>
      </c>
      <c r="K17" s="289">
        <v>4129591930</v>
      </c>
      <c r="L17" s="295">
        <v>2632</v>
      </c>
      <c r="M17" s="295">
        <v>-2450131487</v>
      </c>
      <c r="N17" s="289">
        <f t="shared" si="0"/>
        <v>6579720785</v>
      </c>
      <c r="P17" s="202"/>
    </row>
    <row r="18" spans="1:16" x14ac:dyDescent="0.25">
      <c r="A18" s="38" t="s">
        <v>876</v>
      </c>
      <c r="B18" s="38" t="s">
        <v>819</v>
      </c>
      <c r="C18" s="284" t="s">
        <v>820</v>
      </c>
      <c r="D18" s="284">
        <v>19</v>
      </c>
      <c r="E18" s="284" t="s">
        <v>787</v>
      </c>
      <c r="F18" s="284" t="s">
        <v>818</v>
      </c>
      <c r="G18" s="289">
        <v>2812929163</v>
      </c>
      <c r="H18" s="295"/>
      <c r="I18" s="295"/>
      <c r="J18" s="289">
        <f t="shared" si="1"/>
        <v>2812929163</v>
      </c>
      <c r="K18" s="289">
        <v>1776438934</v>
      </c>
      <c r="L18" s="295"/>
      <c r="M18" s="295">
        <v>-1199950335</v>
      </c>
      <c r="N18" s="289">
        <f t="shared" si="0"/>
        <v>2976389269</v>
      </c>
      <c r="P18" s="202"/>
    </row>
    <row r="19" spans="1:16" x14ac:dyDescent="0.25">
      <c r="A19" s="38" t="s">
        <v>821</v>
      </c>
      <c r="B19" s="38" t="s">
        <v>822</v>
      </c>
      <c r="C19" s="284">
        <v>232</v>
      </c>
      <c r="D19" s="284">
        <v>44</v>
      </c>
      <c r="E19" s="284" t="s">
        <v>787</v>
      </c>
      <c r="F19" s="284" t="s">
        <v>823</v>
      </c>
      <c r="G19" s="289">
        <v>3019657037</v>
      </c>
      <c r="H19" s="295"/>
      <c r="I19" s="295"/>
      <c r="J19" s="289">
        <f t="shared" si="1"/>
        <v>3019657037</v>
      </c>
      <c r="K19" s="289">
        <v>2760098689</v>
      </c>
      <c r="L19" s="295"/>
      <c r="M19" s="295"/>
      <c r="N19" s="289">
        <f t="shared" si="0"/>
        <v>2760098689</v>
      </c>
      <c r="P19" s="202"/>
    </row>
    <row r="20" spans="1:16" x14ac:dyDescent="0.25">
      <c r="A20" s="38" t="s">
        <v>824</v>
      </c>
      <c r="B20" s="38" t="s">
        <v>825</v>
      </c>
      <c r="C20" s="284">
        <v>112</v>
      </c>
      <c r="D20" s="284">
        <v>28</v>
      </c>
      <c r="E20" s="284" t="s">
        <v>826</v>
      </c>
      <c r="F20" s="284" t="s">
        <v>814</v>
      </c>
      <c r="G20" s="289">
        <v>514617809</v>
      </c>
      <c r="H20" s="295"/>
      <c r="I20" s="295"/>
      <c r="J20" s="289">
        <f t="shared" si="1"/>
        <v>514617809</v>
      </c>
      <c r="K20" s="289">
        <v>491016994</v>
      </c>
      <c r="L20" s="295"/>
      <c r="M20" s="295"/>
      <c r="N20" s="289">
        <f t="shared" si="0"/>
        <v>491016994</v>
      </c>
      <c r="P20" s="202"/>
    </row>
    <row r="21" spans="1:16" x14ac:dyDescent="0.25">
      <c r="A21" s="38" t="s">
        <v>1087</v>
      </c>
      <c r="B21" s="38" t="s">
        <v>1088</v>
      </c>
      <c r="C21" s="284">
        <v>112</v>
      </c>
      <c r="D21" s="284">
        <v>27</v>
      </c>
      <c r="E21" s="284" t="s">
        <v>826</v>
      </c>
      <c r="F21" s="284" t="s">
        <v>814</v>
      </c>
      <c r="G21" s="289">
        <v>93529465</v>
      </c>
      <c r="H21" s="295"/>
      <c r="I21" s="295"/>
      <c r="J21" s="289">
        <f t="shared" si="1"/>
        <v>93529465</v>
      </c>
      <c r="K21" s="289">
        <v>99736918</v>
      </c>
      <c r="L21" s="295"/>
      <c r="M21" s="295"/>
      <c r="N21" s="289">
        <f t="shared" si="0"/>
        <v>99736918</v>
      </c>
      <c r="P21" s="202"/>
    </row>
    <row r="22" spans="1:16" x14ac:dyDescent="0.25">
      <c r="A22" s="38" t="s">
        <v>827</v>
      </c>
      <c r="B22" s="38" t="s">
        <v>828</v>
      </c>
      <c r="C22" s="284">
        <v>227</v>
      </c>
      <c r="D22" s="284">
        <v>8</v>
      </c>
      <c r="E22" s="284" t="s">
        <v>787</v>
      </c>
      <c r="F22" s="284" t="s">
        <v>814</v>
      </c>
      <c r="G22" s="289">
        <v>51456333</v>
      </c>
      <c r="H22" s="295"/>
      <c r="I22" s="295">
        <v>663933</v>
      </c>
      <c r="J22" s="289">
        <f t="shared" si="1"/>
        <v>50792400</v>
      </c>
      <c r="K22" s="289">
        <v>49052803</v>
      </c>
      <c r="L22" s="295"/>
      <c r="M22" s="295">
        <v>0</v>
      </c>
      <c r="N22" s="289">
        <f t="shared" si="0"/>
        <v>49052803</v>
      </c>
      <c r="P22" s="202"/>
    </row>
    <row r="23" spans="1:16" x14ac:dyDescent="0.25">
      <c r="A23" s="38" t="s">
        <v>829</v>
      </c>
      <c r="B23" s="38" t="s">
        <v>830</v>
      </c>
      <c r="C23" s="284">
        <v>227</v>
      </c>
      <c r="D23" s="284">
        <v>16</v>
      </c>
      <c r="E23" s="284" t="s">
        <v>787</v>
      </c>
      <c r="F23" s="284" t="s">
        <v>814</v>
      </c>
      <c r="G23" s="289">
        <v>43768488</v>
      </c>
      <c r="H23" s="295"/>
      <c r="I23" s="295"/>
      <c r="J23" s="289">
        <f t="shared" si="1"/>
        <v>43768488</v>
      </c>
      <c r="K23" s="289">
        <v>44420013</v>
      </c>
      <c r="L23" s="295"/>
      <c r="M23" s="295"/>
      <c r="N23" s="289">
        <f t="shared" si="0"/>
        <v>44420013</v>
      </c>
      <c r="O23" s="30"/>
      <c r="P23" s="202"/>
    </row>
    <row r="24" spans="1:16" x14ac:dyDescent="0.25">
      <c r="A24" s="38" t="s">
        <v>831</v>
      </c>
      <c r="B24" s="38" t="s">
        <v>832</v>
      </c>
      <c r="C24" s="284">
        <v>321</v>
      </c>
      <c r="D24" s="284">
        <v>112</v>
      </c>
      <c r="E24" s="284" t="s">
        <v>814</v>
      </c>
      <c r="F24" s="284" t="s">
        <v>787</v>
      </c>
      <c r="G24" s="289">
        <v>57316736</v>
      </c>
      <c r="H24" s="295">
        <v>7500</v>
      </c>
      <c r="I24" s="297"/>
      <c r="J24" s="289">
        <f t="shared" si="1"/>
        <v>57309236</v>
      </c>
      <c r="K24" s="289">
        <v>53374309</v>
      </c>
      <c r="L24" s="295">
        <v>13500</v>
      </c>
      <c r="M24" s="297">
        <v>971491.32</v>
      </c>
      <c r="N24" s="289">
        <f t="shared" si="0"/>
        <v>52389317.68</v>
      </c>
      <c r="P24" s="202"/>
    </row>
    <row r="25" spans="1:16" x14ac:dyDescent="0.25">
      <c r="A25" s="38" t="s">
        <v>917</v>
      </c>
      <c r="B25" s="177" t="s">
        <v>707</v>
      </c>
      <c r="C25" s="284">
        <v>321</v>
      </c>
      <c r="D25" s="284">
        <v>85</v>
      </c>
      <c r="E25" s="284" t="s">
        <v>814</v>
      </c>
      <c r="F25" s="284" t="s">
        <v>787</v>
      </c>
      <c r="G25" s="289">
        <v>1044569</v>
      </c>
      <c r="H25" s="295"/>
      <c r="I25" s="295"/>
      <c r="J25" s="289">
        <f t="shared" si="1"/>
        <v>1044569</v>
      </c>
      <c r="K25" s="289">
        <v>1245799</v>
      </c>
      <c r="L25" s="295"/>
      <c r="M25" s="295"/>
      <c r="N25" s="289">
        <f t="shared" si="0"/>
        <v>1245799</v>
      </c>
      <c r="P25" s="202"/>
    </row>
    <row r="26" spans="1:16" x14ac:dyDescent="0.25">
      <c r="A26" s="38" t="s">
        <v>918</v>
      </c>
      <c r="B26" s="177" t="s">
        <v>708</v>
      </c>
      <c r="C26" s="284">
        <v>321</v>
      </c>
      <c r="D26" s="284">
        <v>86</v>
      </c>
      <c r="E26" s="284" t="s">
        <v>814</v>
      </c>
      <c r="F26" s="284" t="s">
        <v>787</v>
      </c>
      <c r="G26" s="289">
        <v>9694695</v>
      </c>
      <c r="H26" s="295"/>
      <c r="I26" s="295"/>
      <c r="J26" s="289">
        <f t="shared" si="1"/>
        <v>9694695</v>
      </c>
      <c r="K26" s="289">
        <v>8471596</v>
      </c>
      <c r="L26" s="295"/>
      <c r="M26" s="295"/>
      <c r="N26" s="289">
        <f t="shared" si="0"/>
        <v>8471596</v>
      </c>
      <c r="P26" s="202"/>
    </row>
    <row r="27" spans="1:16" x14ac:dyDescent="0.25">
      <c r="A27" s="38" t="s">
        <v>919</v>
      </c>
      <c r="B27" s="177" t="s">
        <v>709</v>
      </c>
      <c r="C27" s="284">
        <v>321</v>
      </c>
      <c r="D27" s="284">
        <v>87</v>
      </c>
      <c r="E27" s="284" t="s">
        <v>814</v>
      </c>
      <c r="F27" s="284" t="s">
        <v>787</v>
      </c>
      <c r="G27" s="289">
        <v>788004</v>
      </c>
      <c r="H27" s="295"/>
      <c r="I27" s="295"/>
      <c r="J27" s="289">
        <f t="shared" si="1"/>
        <v>788004</v>
      </c>
      <c r="K27" s="289">
        <v>811724</v>
      </c>
      <c r="L27" s="295"/>
      <c r="M27" s="295"/>
      <c r="N27" s="289">
        <f t="shared" si="0"/>
        <v>811724</v>
      </c>
      <c r="P27" s="202"/>
    </row>
    <row r="28" spans="1:16" x14ac:dyDescent="0.25">
      <c r="A28" s="38" t="s">
        <v>920</v>
      </c>
      <c r="B28" s="177" t="s">
        <v>710</v>
      </c>
      <c r="C28" s="284">
        <v>321</v>
      </c>
      <c r="D28" s="284">
        <v>88</v>
      </c>
      <c r="E28" s="284" t="s">
        <v>814</v>
      </c>
      <c r="F28" s="284" t="s">
        <v>787</v>
      </c>
      <c r="G28" s="289">
        <v>2992</v>
      </c>
      <c r="H28" s="295"/>
      <c r="I28" s="295"/>
      <c r="J28" s="289">
        <f t="shared" si="1"/>
        <v>2992</v>
      </c>
      <c r="K28" s="289">
        <v>1614</v>
      </c>
      <c r="L28" s="295"/>
      <c r="M28" s="295"/>
      <c r="N28" s="289">
        <f t="shared" si="0"/>
        <v>1614</v>
      </c>
      <c r="P28" s="202"/>
    </row>
    <row r="29" spans="1:16" x14ac:dyDescent="0.25">
      <c r="A29" s="38" t="s">
        <v>921</v>
      </c>
      <c r="B29" s="177" t="s">
        <v>711</v>
      </c>
      <c r="C29" s="284">
        <v>321</v>
      </c>
      <c r="D29" s="284">
        <v>89</v>
      </c>
      <c r="E29" s="284" t="s">
        <v>814</v>
      </c>
      <c r="F29" s="284" t="s">
        <v>787</v>
      </c>
      <c r="G29" s="289">
        <v>237219</v>
      </c>
      <c r="H29" s="295"/>
      <c r="I29" s="295"/>
      <c r="J29" s="289">
        <f t="shared" si="1"/>
        <v>237219</v>
      </c>
      <c r="K29" s="289">
        <v>231610</v>
      </c>
      <c r="L29" s="295"/>
      <c r="M29" s="295"/>
      <c r="N29" s="289">
        <f t="shared" si="0"/>
        <v>231610</v>
      </c>
      <c r="P29" s="202"/>
    </row>
    <row r="30" spans="1:16" x14ac:dyDescent="0.25">
      <c r="A30" s="38" t="s">
        <v>922</v>
      </c>
      <c r="B30" s="177" t="s">
        <v>712</v>
      </c>
      <c r="C30" s="284">
        <v>321</v>
      </c>
      <c r="D30" s="284">
        <v>90</v>
      </c>
      <c r="E30" s="284" t="s">
        <v>814</v>
      </c>
      <c r="F30" s="284" t="s">
        <v>787</v>
      </c>
      <c r="G30" s="289">
        <v>5831</v>
      </c>
      <c r="H30" s="295"/>
      <c r="I30" s="295"/>
      <c r="J30" s="289">
        <f t="shared" si="1"/>
        <v>5831</v>
      </c>
      <c r="K30" s="289">
        <v>22370</v>
      </c>
      <c r="L30" s="295"/>
      <c r="M30" s="295">
        <v>22370</v>
      </c>
      <c r="N30" s="289">
        <f t="shared" si="0"/>
        <v>0</v>
      </c>
      <c r="P30" s="202"/>
    </row>
    <row r="31" spans="1:16" x14ac:dyDescent="0.25">
      <c r="A31" s="38" t="s">
        <v>923</v>
      </c>
      <c r="B31" s="177" t="s">
        <v>713</v>
      </c>
      <c r="C31" s="284">
        <v>321</v>
      </c>
      <c r="D31" s="284">
        <v>91</v>
      </c>
      <c r="E31" s="284" t="s">
        <v>814</v>
      </c>
      <c r="F31" s="284" t="s">
        <v>787</v>
      </c>
      <c r="G31" s="289">
        <v>118737</v>
      </c>
      <c r="H31" s="295"/>
      <c r="I31" s="295"/>
      <c r="J31" s="289">
        <f t="shared" si="1"/>
        <v>118737</v>
      </c>
      <c r="K31" s="289">
        <v>-37269</v>
      </c>
      <c r="L31" s="295"/>
      <c r="M31" s="295">
        <v>-37269</v>
      </c>
      <c r="N31" s="289">
        <f t="shared" si="0"/>
        <v>0</v>
      </c>
      <c r="P31" s="202"/>
    </row>
    <row r="32" spans="1:16" x14ac:dyDescent="0.25">
      <c r="A32" s="38" t="s">
        <v>924</v>
      </c>
      <c r="B32" s="38" t="s">
        <v>925</v>
      </c>
      <c r="C32" s="284">
        <v>321</v>
      </c>
      <c r="D32" s="284">
        <v>96</v>
      </c>
      <c r="E32" s="284" t="s">
        <v>814</v>
      </c>
      <c r="F32" s="284" t="s">
        <v>787</v>
      </c>
      <c r="G32" s="289">
        <v>4530988</v>
      </c>
      <c r="H32" s="295"/>
      <c r="I32" s="295"/>
      <c r="J32" s="289">
        <f t="shared" si="1"/>
        <v>4530988</v>
      </c>
      <c r="K32" s="289">
        <v>2637455</v>
      </c>
      <c r="L32" s="295"/>
      <c r="M32" s="295"/>
      <c r="N32" s="289">
        <f t="shared" si="0"/>
        <v>2637455</v>
      </c>
      <c r="P32" s="202"/>
    </row>
    <row r="33" spans="1:16" x14ac:dyDescent="0.25">
      <c r="A33" s="38" t="s">
        <v>833</v>
      </c>
      <c r="B33" s="38" t="s">
        <v>834</v>
      </c>
      <c r="C33" s="284">
        <v>323</v>
      </c>
      <c r="D33" s="284">
        <v>197</v>
      </c>
      <c r="E33" s="284" t="s">
        <v>814</v>
      </c>
      <c r="F33" s="284" t="s">
        <v>787</v>
      </c>
      <c r="G33" s="289">
        <v>491095537</v>
      </c>
      <c r="H33" s="295">
        <v>16725211</v>
      </c>
      <c r="I33" s="295">
        <v>26332442</v>
      </c>
      <c r="J33" s="289">
        <f t="shared" si="1"/>
        <v>448037884</v>
      </c>
      <c r="K33" s="289">
        <v>414143271</v>
      </c>
      <c r="L33" s="295">
        <v>-898812.49</v>
      </c>
      <c r="M33" s="295">
        <f>210216.72+1865.5+1923019.75+5772352.93+5439844.25+267083.13+44644.15+113377.56+16513.18+26798</f>
        <v>13815715.170000002</v>
      </c>
      <c r="N33" s="289">
        <f t="shared" si="0"/>
        <v>401226368.31999999</v>
      </c>
      <c r="O33" s="30"/>
      <c r="P33" s="202"/>
    </row>
    <row r="34" spans="1:16" x14ac:dyDescent="0.25">
      <c r="A34" s="38" t="s">
        <v>835</v>
      </c>
      <c r="B34" s="38" t="s">
        <v>836</v>
      </c>
      <c r="C34" s="284">
        <v>323</v>
      </c>
      <c r="D34" s="284">
        <v>185</v>
      </c>
      <c r="E34" s="284" t="s">
        <v>814</v>
      </c>
      <c r="F34" s="284" t="s">
        <v>787</v>
      </c>
      <c r="G34" s="289">
        <v>19725087</v>
      </c>
      <c r="H34" s="295"/>
      <c r="I34" s="295"/>
      <c r="J34" s="289">
        <f t="shared" si="1"/>
        <v>19725087</v>
      </c>
      <c r="K34" s="289">
        <v>10862755</v>
      </c>
      <c r="L34" s="295"/>
      <c r="M34" s="295"/>
      <c r="N34" s="289">
        <f t="shared" si="0"/>
        <v>10862755</v>
      </c>
      <c r="P34" s="202"/>
    </row>
    <row r="35" spans="1:16" x14ac:dyDescent="0.25">
      <c r="A35" s="38" t="s">
        <v>837</v>
      </c>
      <c r="B35" s="38" t="s">
        <v>838</v>
      </c>
      <c r="C35" s="284">
        <v>323</v>
      </c>
      <c r="D35" s="284">
        <v>189</v>
      </c>
      <c r="E35" s="284" t="s">
        <v>814</v>
      </c>
      <c r="F35" s="284" t="s">
        <v>787</v>
      </c>
      <c r="G35" s="289">
        <v>12084698</v>
      </c>
      <c r="H35" s="295"/>
      <c r="I35" s="295">
        <v>701885</v>
      </c>
      <c r="J35" s="289">
        <f t="shared" si="1"/>
        <v>11382813</v>
      </c>
      <c r="K35" s="289">
        <v>11375477</v>
      </c>
      <c r="L35" s="295"/>
      <c r="M35" s="295">
        <v>0</v>
      </c>
      <c r="N35" s="289">
        <f t="shared" si="0"/>
        <v>11375477</v>
      </c>
      <c r="P35" s="202"/>
    </row>
    <row r="36" spans="1:16" x14ac:dyDescent="0.25">
      <c r="A36" s="38" t="s">
        <v>839</v>
      </c>
      <c r="B36" s="38" t="s">
        <v>840</v>
      </c>
      <c r="C36" s="284">
        <v>323</v>
      </c>
      <c r="D36" s="284">
        <v>191</v>
      </c>
      <c r="E36" s="284" t="s">
        <v>814</v>
      </c>
      <c r="F36" s="284" t="s">
        <v>787</v>
      </c>
      <c r="G36" s="289">
        <v>3532922</v>
      </c>
      <c r="H36" s="295"/>
      <c r="I36" s="295">
        <v>3532922</v>
      </c>
      <c r="J36" s="289">
        <f t="shared" si="1"/>
        <v>0</v>
      </c>
      <c r="K36" s="289">
        <v>5439844</v>
      </c>
      <c r="L36" s="295"/>
      <c r="M36" s="295">
        <v>5439844.25</v>
      </c>
      <c r="N36" s="289">
        <f t="shared" si="0"/>
        <v>-0.25</v>
      </c>
      <c r="P36" s="202"/>
    </row>
    <row r="37" spans="1:16" x14ac:dyDescent="0.25">
      <c r="A37" s="38" t="s">
        <v>841</v>
      </c>
      <c r="B37" s="38" t="s">
        <v>842</v>
      </c>
      <c r="C37" s="284">
        <v>335</v>
      </c>
      <c r="D37" s="298" t="s">
        <v>1254</v>
      </c>
      <c r="E37" s="284"/>
      <c r="F37" s="284" t="s">
        <v>787</v>
      </c>
      <c r="G37" s="289">
        <v>3886762</v>
      </c>
      <c r="H37" s="295"/>
      <c r="I37" s="295"/>
      <c r="J37" s="289">
        <f t="shared" si="1"/>
        <v>3886762</v>
      </c>
      <c r="K37" s="289">
        <f>1153958+2553172</f>
        <v>3707130</v>
      </c>
      <c r="L37" s="295"/>
      <c r="M37" s="295"/>
      <c r="N37" s="289">
        <f t="shared" si="0"/>
        <v>3707130</v>
      </c>
      <c r="P37" s="202"/>
    </row>
    <row r="38" spans="1:16" x14ac:dyDescent="0.25">
      <c r="A38" s="38" t="s">
        <v>976</v>
      </c>
      <c r="B38" s="38" t="s">
        <v>843</v>
      </c>
      <c r="C38" s="284">
        <v>350</v>
      </c>
      <c r="D38" s="284">
        <v>19</v>
      </c>
      <c r="E38" s="284"/>
      <c r="F38" s="284" t="s">
        <v>787</v>
      </c>
      <c r="G38" s="289">
        <v>2546053</v>
      </c>
      <c r="H38" s="295"/>
      <c r="I38" s="295"/>
      <c r="J38" s="289">
        <f t="shared" si="1"/>
        <v>2546053</v>
      </c>
      <c r="K38" s="289">
        <v>2795583</v>
      </c>
      <c r="L38" s="295"/>
      <c r="M38" s="295"/>
      <c r="N38" s="289">
        <f t="shared" si="0"/>
        <v>2795583</v>
      </c>
      <c r="P38" s="202"/>
    </row>
    <row r="39" spans="1:16" x14ac:dyDescent="0.25">
      <c r="A39" s="38" t="s">
        <v>844</v>
      </c>
      <c r="B39" s="38" t="s">
        <v>1059</v>
      </c>
      <c r="C39" s="284">
        <v>336</v>
      </c>
      <c r="D39" s="284">
        <v>7</v>
      </c>
      <c r="E39" s="284"/>
      <c r="F39" s="284" t="s">
        <v>823</v>
      </c>
      <c r="G39" s="289">
        <v>71186690</v>
      </c>
      <c r="H39" s="295"/>
      <c r="I39" s="295"/>
      <c r="J39" s="289">
        <f t="shared" si="1"/>
        <v>71186690</v>
      </c>
      <c r="K39" s="289">
        <v>73707356</v>
      </c>
      <c r="L39" s="295"/>
      <c r="M39" s="295">
        <f>73292.62+7103.36</f>
        <v>80395.98</v>
      </c>
      <c r="N39" s="289">
        <f t="shared" si="0"/>
        <v>73626960.019999996</v>
      </c>
      <c r="P39" s="202"/>
    </row>
    <row r="40" spans="1:16" x14ac:dyDescent="0.25">
      <c r="A40" s="38" t="s">
        <v>845</v>
      </c>
      <c r="B40" s="38" t="s">
        <v>1060</v>
      </c>
      <c r="C40" s="284">
        <v>336</v>
      </c>
      <c r="D40" s="284">
        <v>10</v>
      </c>
      <c r="E40" s="284"/>
      <c r="F40" s="284" t="s">
        <v>823</v>
      </c>
      <c r="G40" s="289">
        <v>58675039</v>
      </c>
      <c r="H40" s="295">
        <v>1591204</v>
      </c>
      <c r="I40" s="295"/>
      <c r="J40" s="289">
        <f t="shared" si="1"/>
        <v>57083835</v>
      </c>
      <c r="K40" s="289">
        <v>58961710</v>
      </c>
      <c r="L40" s="295">
        <v>3501929.27</v>
      </c>
      <c r="M40" s="295"/>
      <c r="N40" s="289">
        <f t="shared" si="0"/>
        <v>55459780.729999997</v>
      </c>
      <c r="P40" s="202"/>
    </row>
    <row r="41" spans="1:16" x14ac:dyDescent="0.25">
      <c r="A41" s="38" t="s">
        <v>846</v>
      </c>
      <c r="B41" s="38" t="s">
        <v>1061</v>
      </c>
      <c r="C41" s="284">
        <v>336</v>
      </c>
      <c r="D41" s="284">
        <v>1</v>
      </c>
      <c r="E41" s="284"/>
      <c r="F41" s="284" t="s">
        <v>823</v>
      </c>
      <c r="G41" s="289">
        <v>45637934</v>
      </c>
      <c r="H41" s="295">
        <v>22499251</v>
      </c>
      <c r="I41" s="295"/>
      <c r="J41" s="289">
        <f t="shared" si="1"/>
        <v>23138683</v>
      </c>
      <c r="K41" s="289">
        <v>52622957</v>
      </c>
      <c r="L41" s="295">
        <v>6564758.2699999996</v>
      </c>
      <c r="M41" s="295"/>
      <c r="N41" s="289">
        <f t="shared" si="0"/>
        <v>46058198.730000004</v>
      </c>
      <c r="P41" s="202"/>
    </row>
    <row r="42" spans="1:16" x14ac:dyDescent="0.25">
      <c r="A42" s="38" t="s">
        <v>847</v>
      </c>
      <c r="B42" s="38" t="s">
        <v>848</v>
      </c>
      <c r="C42" s="284" t="s">
        <v>1317</v>
      </c>
      <c r="D42" s="299" t="s">
        <v>1336</v>
      </c>
      <c r="E42" s="284"/>
      <c r="F42" s="284" t="s">
        <v>849</v>
      </c>
      <c r="G42" s="289">
        <v>48779176</v>
      </c>
      <c r="H42" s="295"/>
      <c r="I42" s="295">
        <v>57911</v>
      </c>
      <c r="J42" s="289">
        <f t="shared" si="1"/>
        <v>48721265</v>
      </c>
      <c r="K42" s="289">
        <v>47358901</v>
      </c>
      <c r="L42" s="295"/>
      <c r="M42" s="295">
        <f>32585.78+1118.78+5242.75</f>
        <v>38947.31</v>
      </c>
      <c r="N42" s="289">
        <f t="shared" si="0"/>
        <v>47319953.689999998</v>
      </c>
      <c r="P42" s="202"/>
    </row>
    <row r="43" spans="1:16" x14ac:dyDescent="0.25">
      <c r="A43" s="38" t="s">
        <v>850</v>
      </c>
      <c r="B43" s="38" t="s">
        <v>851</v>
      </c>
      <c r="C43" s="284" t="s">
        <v>1317</v>
      </c>
      <c r="D43" s="284" t="s">
        <v>1335</v>
      </c>
      <c r="E43" s="284"/>
      <c r="F43" s="284" t="s">
        <v>849</v>
      </c>
      <c r="G43" s="289">
        <v>191573564</v>
      </c>
      <c r="H43" s="295"/>
      <c r="I43" s="295">
        <v>326298</v>
      </c>
      <c r="J43" s="289">
        <f t="shared" si="1"/>
        <v>191247266</v>
      </c>
      <c r="K43" s="289">
        <v>201490563</v>
      </c>
      <c r="L43" s="295"/>
      <c r="M43" s="295">
        <v>194255.64</v>
      </c>
      <c r="N43" s="289">
        <f t="shared" si="0"/>
        <v>201296307.36000001</v>
      </c>
      <c r="P43" s="202"/>
    </row>
    <row r="44" spans="1:16" ht="15.75" customHeight="1" x14ac:dyDescent="0.25">
      <c r="A44" s="38" t="s">
        <v>852</v>
      </c>
      <c r="B44" s="38" t="s">
        <v>853</v>
      </c>
      <c r="C44" s="284">
        <v>266</v>
      </c>
      <c r="D44" s="284">
        <v>8</v>
      </c>
      <c r="E44" s="284"/>
      <c r="F44" s="284" t="s">
        <v>823</v>
      </c>
      <c r="G44" s="289">
        <v>5263008</v>
      </c>
      <c r="H44" s="295"/>
      <c r="I44" s="295"/>
      <c r="J44" s="289">
        <f t="shared" si="1"/>
        <v>5263008</v>
      </c>
      <c r="K44" s="289">
        <v>5298340</v>
      </c>
      <c r="L44" s="295"/>
      <c r="M44" s="295"/>
      <c r="N44" s="289">
        <f t="shared" si="0"/>
        <v>5298340</v>
      </c>
      <c r="P44" s="202"/>
    </row>
    <row r="45" spans="1:16" x14ac:dyDescent="0.25">
      <c r="A45" s="38" t="s">
        <v>856</v>
      </c>
      <c r="B45" s="38" t="s">
        <v>857</v>
      </c>
      <c r="C45" s="284">
        <v>355</v>
      </c>
      <c r="D45" s="284">
        <v>65</v>
      </c>
      <c r="E45" s="284"/>
      <c r="F45" s="284" t="s">
        <v>787</v>
      </c>
      <c r="G45" s="289">
        <v>909176077</v>
      </c>
      <c r="H45" s="295"/>
      <c r="I45" s="295">
        <v>340727</v>
      </c>
      <c r="J45" s="289">
        <f t="shared" si="1"/>
        <v>908835350</v>
      </c>
      <c r="K45" s="289">
        <v>841258331</v>
      </c>
      <c r="L45" s="295"/>
      <c r="M45" s="295">
        <v>1865.5</v>
      </c>
      <c r="N45" s="289">
        <f t="shared" si="0"/>
        <v>841256465.5</v>
      </c>
      <c r="P45" s="202"/>
    </row>
    <row r="46" spans="1:16" x14ac:dyDescent="0.25">
      <c r="A46" s="38" t="s">
        <v>858</v>
      </c>
      <c r="B46" s="38" t="s">
        <v>859</v>
      </c>
      <c r="C46" s="284">
        <v>354</v>
      </c>
      <c r="D46" s="284">
        <v>27</v>
      </c>
      <c r="E46" s="284"/>
      <c r="F46" s="284" t="s">
        <v>787</v>
      </c>
      <c r="G46" s="289">
        <v>186379257</v>
      </c>
      <c r="H46" s="295"/>
      <c r="I46" s="295"/>
      <c r="J46" s="289">
        <f t="shared" si="1"/>
        <v>186379257</v>
      </c>
      <c r="K46" s="289">
        <v>133593005</v>
      </c>
      <c r="L46" s="295"/>
      <c r="M46" s="295"/>
      <c r="N46" s="289">
        <f t="shared" si="0"/>
        <v>133593005</v>
      </c>
      <c r="P46" s="202"/>
    </row>
    <row r="47" spans="1:16" x14ac:dyDescent="0.25">
      <c r="A47" s="38" t="s">
        <v>860</v>
      </c>
      <c r="B47" s="38" t="s">
        <v>861</v>
      </c>
      <c r="C47" s="284">
        <v>354</v>
      </c>
      <c r="D47" s="284">
        <v>21</v>
      </c>
      <c r="E47" s="284"/>
      <c r="F47" s="284" t="s">
        <v>787</v>
      </c>
      <c r="G47" s="289">
        <v>22228947</v>
      </c>
      <c r="H47" s="295"/>
      <c r="I47" s="295"/>
      <c r="J47" s="289">
        <f t="shared" si="1"/>
        <v>22228947</v>
      </c>
      <c r="K47" s="289">
        <v>22980494</v>
      </c>
      <c r="L47" s="295"/>
      <c r="M47" s="295"/>
      <c r="N47" s="289">
        <f t="shared" si="0"/>
        <v>22980494</v>
      </c>
      <c r="P47" s="202"/>
    </row>
    <row r="48" spans="1:16" x14ac:dyDescent="0.25">
      <c r="A48" s="38" t="s">
        <v>862</v>
      </c>
      <c r="B48" s="38" t="s">
        <v>863</v>
      </c>
      <c r="C48" s="296">
        <v>117</v>
      </c>
      <c r="D48" s="285" t="s">
        <v>864</v>
      </c>
      <c r="E48" s="285"/>
      <c r="F48" s="285" t="s">
        <v>814</v>
      </c>
      <c r="G48" s="289">
        <v>435816696</v>
      </c>
      <c r="H48" s="295"/>
      <c r="I48" s="295"/>
      <c r="J48" s="289">
        <f t="shared" si="1"/>
        <v>435816696</v>
      </c>
      <c r="K48" s="289">
        <f>437490775+5981227+6494805+6738727</f>
        <v>456705534</v>
      </c>
      <c r="L48" s="295"/>
      <c r="M48" s="295"/>
      <c r="N48" s="289">
        <f t="shared" si="0"/>
        <v>456705534</v>
      </c>
      <c r="P48" s="202"/>
    </row>
    <row r="49" spans="1:16" x14ac:dyDescent="0.25">
      <c r="A49" s="38" t="s">
        <v>865</v>
      </c>
      <c r="B49" s="38" t="s">
        <v>866</v>
      </c>
      <c r="C49" s="296">
        <v>112</v>
      </c>
      <c r="D49" s="285">
        <v>24</v>
      </c>
      <c r="E49" s="285"/>
      <c r="F49" s="285" t="s">
        <v>814</v>
      </c>
      <c r="G49" s="289">
        <v>9626310735</v>
      </c>
      <c r="H49" s="295"/>
      <c r="I49" s="295"/>
      <c r="J49" s="289">
        <f t="shared" si="1"/>
        <v>9626310735</v>
      </c>
      <c r="K49" s="289">
        <v>10088892779</v>
      </c>
      <c r="L49" s="295"/>
      <c r="M49" s="295"/>
      <c r="N49" s="289">
        <f t="shared" si="0"/>
        <v>10088892779</v>
      </c>
      <c r="P49" s="202"/>
    </row>
    <row r="50" spans="1:16" x14ac:dyDescent="0.25">
      <c r="A50" s="38" t="s">
        <v>867</v>
      </c>
      <c r="B50" s="38" t="s">
        <v>868</v>
      </c>
      <c r="C50" s="284">
        <v>111</v>
      </c>
      <c r="D50" s="284">
        <v>81</v>
      </c>
      <c r="E50" s="284"/>
      <c r="F50" s="284" t="s">
        <v>814</v>
      </c>
      <c r="G50" s="289">
        <v>70374838</v>
      </c>
      <c r="H50" s="295"/>
      <c r="I50" s="295"/>
      <c r="J50" s="289">
        <f t="shared" si="1"/>
        <v>70374838</v>
      </c>
      <c r="K50" s="289">
        <v>63880032</v>
      </c>
      <c r="L50" s="295"/>
      <c r="M50" s="295"/>
      <c r="N50" s="289">
        <f t="shared" si="0"/>
        <v>63880032</v>
      </c>
      <c r="P50" s="202"/>
    </row>
    <row r="51" spans="1:16" x14ac:dyDescent="0.25">
      <c r="A51" s="38" t="s">
        <v>869</v>
      </c>
      <c r="B51" s="38" t="s">
        <v>870</v>
      </c>
      <c r="C51" s="284">
        <v>113</v>
      </c>
      <c r="D51" s="284">
        <v>61</v>
      </c>
      <c r="E51" s="284"/>
      <c r="F51" s="284" t="s">
        <v>814</v>
      </c>
      <c r="G51" s="289">
        <v>0</v>
      </c>
      <c r="H51" s="295"/>
      <c r="I51" s="295"/>
      <c r="J51" s="289">
        <f t="shared" si="1"/>
        <v>0</v>
      </c>
      <c r="K51" s="289">
        <v>0</v>
      </c>
      <c r="L51" s="295"/>
      <c r="M51" s="295"/>
      <c r="N51" s="289">
        <f t="shared" si="0"/>
        <v>0</v>
      </c>
      <c r="P51" s="202"/>
    </row>
    <row r="52" spans="1:16" x14ac:dyDescent="0.25">
      <c r="A52" s="38" t="s">
        <v>871</v>
      </c>
      <c r="B52" s="38" t="s">
        <v>872</v>
      </c>
      <c r="C52" s="284">
        <v>112</v>
      </c>
      <c r="D52" s="284">
        <v>16</v>
      </c>
      <c r="E52" s="284"/>
      <c r="F52" s="284" t="s">
        <v>814</v>
      </c>
      <c r="G52" s="289">
        <v>10773721634</v>
      </c>
      <c r="H52" s="295"/>
      <c r="I52" s="295"/>
      <c r="J52" s="289">
        <f t="shared" si="1"/>
        <v>10773721634</v>
      </c>
      <c r="K52" s="289">
        <v>11365886081</v>
      </c>
      <c r="L52" s="295"/>
      <c r="M52" s="295"/>
      <c r="N52" s="289">
        <f t="shared" si="0"/>
        <v>11365886081</v>
      </c>
      <c r="P52" s="202"/>
    </row>
    <row r="53" spans="1:16" x14ac:dyDescent="0.25">
      <c r="A53" s="38" t="s">
        <v>873</v>
      </c>
      <c r="B53" s="38" t="s">
        <v>874</v>
      </c>
      <c r="C53" s="284">
        <v>112</v>
      </c>
      <c r="D53" s="284">
        <v>12</v>
      </c>
      <c r="E53" s="284"/>
      <c r="F53" s="284" t="s">
        <v>814</v>
      </c>
      <c r="G53" s="289">
        <v>3017471</v>
      </c>
      <c r="H53" s="295"/>
      <c r="I53" s="295"/>
      <c r="J53" s="289">
        <f t="shared" si="1"/>
        <v>3017471</v>
      </c>
      <c r="K53" s="289">
        <v>4810163</v>
      </c>
      <c r="L53" s="295"/>
      <c r="M53" s="295"/>
      <c r="N53" s="289">
        <f t="shared" si="0"/>
        <v>4810163</v>
      </c>
      <c r="P53" s="202"/>
    </row>
    <row r="54" spans="1:16" x14ac:dyDescent="0.25">
      <c r="A54" s="38" t="s">
        <v>905</v>
      </c>
      <c r="B54" s="38" t="s">
        <v>906</v>
      </c>
      <c r="C54" s="284">
        <v>400</v>
      </c>
      <c r="D54" s="284">
        <v>17</v>
      </c>
      <c r="E54" s="284"/>
      <c r="F54" s="284" t="s">
        <v>907</v>
      </c>
      <c r="G54" s="289">
        <v>157977</v>
      </c>
      <c r="H54" s="295"/>
      <c r="I54" s="295"/>
      <c r="J54" s="289">
        <f t="shared" si="1"/>
        <v>157977</v>
      </c>
      <c r="K54" s="289">
        <v>159852</v>
      </c>
      <c r="L54" s="295"/>
      <c r="M54" s="295"/>
      <c r="N54" s="289">
        <f t="shared" si="0"/>
        <v>159852</v>
      </c>
      <c r="P54" s="202"/>
    </row>
    <row r="55" spans="1:16" x14ac:dyDescent="0.25">
      <c r="A55" s="38" t="s">
        <v>908</v>
      </c>
      <c r="B55" s="38" t="s">
        <v>909</v>
      </c>
      <c r="C55" s="284">
        <v>400</v>
      </c>
      <c r="D55" s="284">
        <v>17</v>
      </c>
      <c r="E55" s="284"/>
      <c r="F55" s="284" t="s">
        <v>823</v>
      </c>
      <c r="G55" s="289">
        <v>47113</v>
      </c>
      <c r="H55" s="295"/>
      <c r="I55" s="295"/>
      <c r="J55" s="289">
        <f t="shared" si="1"/>
        <v>47113</v>
      </c>
      <c r="K55" s="289">
        <v>46712</v>
      </c>
      <c r="L55" s="295"/>
      <c r="M55" s="295"/>
      <c r="N55" s="289">
        <f t="shared" si="0"/>
        <v>46712</v>
      </c>
      <c r="P55" s="202"/>
    </row>
    <row r="56" spans="1:16" x14ac:dyDescent="0.25">
      <c r="A56" s="38" t="s">
        <v>910</v>
      </c>
      <c r="B56" s="38" t="s">
        <v>911</v>
      </c>
      <c r="C56" s="284">
        <v>400</v>
      </c>
      <c r="D56" s="284">
        <v>17</v>
      </c>
      <c r="E56" s="284"/>
      <c r="F56" s="284" t="s">
        <v>788</v>
      </c>
      <c r="G56" s="289">
        <v>27414</v>
      </c>
      <c r="H56" s="295"/>
      <c r="I56" s="295"/>
      <c r="J56" s="289">
        <f t="shared" si="1"/>
        <v>27414</v>
      </c>
      <c r="K56" s="289">
        <v>26651</v>
      </c>
      <c r="L56" s="295"/>
      <c r="M56" s="295"/>
      <c r="N56" s="289">
        <f t="shared" si="0"/>
        <v>26651</v>
      </c>
      <c r="P56" s="202"/>
    </row>
    <row r="57" spans="1:16" x14ac:dyDescent="0.25">
      <c r="A57" s="38" t="s">
        <v>912</v>
      </c>
      <c r="B57" s="38" t="s">
        <v>913</v>
      </c>
      <c r="C57" s="284">
        <v>400</v>
      </c>
      <c r="D57" s="284">
        <v>17</v>
      </c>
      <c r="E57" s="284"/>
      <c r="F57" s="284" t="s">
        <v>914</v>
      </c>
      <c r="G57" s="289">
        <v>0</v>
      </c>
      <c r="H57" s="295"/>
      <c r="I57" s="295"/>
      <c r="J57" s="289">
        <f t="shared" si="1"/>
        <v>0</v>
      </c>
      <c r="K57" s="289">
        <v>0</v>
      </c>
      <c r="L57" s="295"/>
      <c r="M57" s="295"/>
      <c r="N57" s="289">
        <f t="shared" si="0"/>
        <v>0</v>
      </c>
      <c r="P57" s="202"/>
    </row>
    <row r="58" spans="1:16" x14ac:dyDescent="0.25">
      <c r="A58" s="38" t="s">
        <v>977</v>
      </c>
      <c r="B58" s="38" t="s">
        <v>854</v>
      </c>
      <c r="C58" s="284">
        <v>423.3</v>
      </c>
      <c r="D58" s="284">
        <v>22</v>
      </c>
      <c r="E58" s="284"/>
      <c r="F58" s="284" t="s">
        <v>855</v>
      </c>
      <c r="G58" s="289">
        <v>6489636</v>
      </c>
      <c r="H58" s="295"/>
      <c r="I58" s="295"/>
      <c r="J58" s="289">
        <f t="shared" si="1"/>
        <v>6489636</v>
      </c>
      <c r="K58" s="289">
        <v>8356471</v>
      </c>
      <c r="L58" s="295"/>
      <c r="M58" s="295"/>
      <c r="N58" s="289">
        <f t="shared" si="0"/>
        <v>8356471</v>
      </c>
      <c r="P58" s="202"/>
    </row>
    <row r="59" spans="1:16" x14ac:dyDescent="0.25">
      <c r="N59" s="201"/>
      <c r="P59" s="202"/>
    </row>
    <row r="60" spans="1:16" x14ac:dyDescent="0.25">
      <c r="P60" s="202"/>
    </row>
    <row r="61" spans="1:16" x14ac:dyDescent="0.25">
      <c r="P61" s="202"/>
    </row>
    <row r="62" spans="1:16" x14ac:dyDescent="0.25">
      <c r="P62" s="202"/>
    </row>
    <row r="63" spans="1:16" x14ac:dyDescent="0.25">
      <c r="P63" s="202"/>
    </row>
    <row r="64" spans="1:16" x14ac:dyDescent="0.25">
      <c r="P64" s="202"/>
    </row>
    <row r="65" spans="16:16" x14ac:dyDescent="0.25">
      <c r="P65" s="202"/>
    </row>
    <row r="66" spans="16:16" x14ac:dyDescent="0.25">
      <c r="P66" s="202"/>
    </row>
    <row r="67" spans="16:16" x14ac:dyDescent="0.25">
      <c r="P67" s="202"/>
    </row>
    <row r="68" spans="16:16" x14ac:dyDescent="0.25">
      <c r="P68" s="202"/>
    </row>
    <row r="69" spans="16:16" x14ac:dyDescent="0.25">
      <c r="P69" s="202"/>
    </row>
    <row r="70" spans="16:16" x14ac:dyDescent="0.25">
      <c r="P70" s="202"/>
    </row>
    <row r="71" spans="16:16" x14ac:dyDescent="0.25">
      <c r="P71" s="202"/>
    </row>
    <row r="72" spans="16:16" x14ac:dyDescent="0.25">
      <c r="P72" s="202"/>
    </row>
    <row r="73" spans="16:16" x14ac:dyDescent="0.25">
      <c r="P73" s="202"/>
    </row>
    <row r="74" spans="16:16" x14ac:dyDescent="0.25">
      <c r="P74" s="202"/>
    </row>
    <row r="75" spans="16:16" x14ac:dyDescent="0.25">
      <c r="P75" s="202"/>
    </row>
    <row r="76" spans="16:16" x14ac:dyDescent="0.25">
      <c r="P76" s="202"/>
    </row>
    <row r="77" spans="16:16" x14ac:dyDescent="0.25">
      <c r="P77" s="202"/>
    </row>
    <row r="78" spans="16:16" x14ac:dyDescent="0.25">
      <c r="P78" s="202"/>
    </row>
    <row r="79" spans="16:16" x14ac:dyDescent="0.25">
      <c r="P79" s="202"/>
    </row>
    <row r="80" spans="16:16" x14ac:dyDescent="0.25">
      <c r="P80" s="202"/>
    </row>
    <row r="81" spans="16:16" x14ac:dyDescent="0.25">
      <c r="P81" s="202"/>
    </row>
    <row r="82" spans="16:16" x14ac:dyDescent="0.25">
      <c r="P82" s="202"/>
    </row>
    <row r="83" spans="16:16" x14ac:dyDescent="0.25">
      <c r="P83" s="202"/>
    </row>
    <row r="84" spans="16:16" x14ac:dyDescent="0.25">
      <c r="P84" s="202"/>
    </row>
    <row r="85" spans="16:16" x14ac:dyDescent="0.25">
      <c r="P85" s="202"/>
    </row>
    <row r="86" spans="16:16" x14ac:dyDescent="0.25">
      <c r="P86" s="202"/>
    </row>
    <row r="87" spans="16:16" x14ac:dyDescent="0.25">
      <c r="P87" s="202"/>
    </row>
    <row r="88" spans="16:16" x14ac:dyDescent="0.25">
      <c r="P88" s="202"/>
    </row>
    <row r="89" spans="16:16" x14ac:dyDescent="0.25">
      <c r="P89" s="202"/>
    </row>
    <row r="90" spans="16:16" x14ac:dyDescent="0.25">
      <c r="P90" s="202"/>
    </row>
    <row r="91" spans="16:16" x14ac:dyDescent="0.25">
      <c r="P91" s="202"/>
    </row>
    <row r="92" spans="16:16" x14ac:dyDescent="0.25">
      <c r="P92" s="202"/>
    </row>
    <row r="93" spans="16:16" x14ac:dyDescent="0.25">
      <c r="P93" s="202"/>
    </row>
    <row r="94" spans="16:16" x14ac:dyDescent="0.25">
      <c r="P94" s="202"/>
    </row>
    <row r="95" spans="16:16" x14ac:dyDescent="0.25">
      <c r="P95" s="202"/>
    </row>
    <row r="96" spans="16:16" x14ac:dyDescent="0.25">
      <c r="P96" s="202"/>
    </row>
    <row r="97" spans="16:16" x14ac:dyDescent="0.25">
      <c r="P97" s="202"/>
    </row>
    <row r="98" spans="16:16" x14ac:dyDescent="0.25">
      <c r="P98" s="202"/>
    </row>
    <row r="99" spans="16:16" x14ac:dyDescent="0.25">
      <c r="P99" s="202"/>
    </row>
    <row r="100" spans="16:16" x14ac:dyDescent="0.25">
      <c r="P100" s="202"/>
    </row>
    <row r="101" spans="16:16" x14ac:dyDescent="0.25">
      <c r="P101" s="202"/>
    </row>
    <row r="102" spans="16:16" x14ac:dyDescent="0.25">
      <c r="P102" s="202"/>
    </row>
  </sheetData>
  <customSheetViews>
    <customSheetView guid="{589A2A1C-99B3-4A22-A52E-EECEEAD60ADB}" showPageBreaks="1" fitToPage="1" printArea="1" showAutoFilter="1" topLeftCell="C1">
      <pane ySplit="1" topLeftCell="A2" activePane="bottomLeft" state="frozen"/>
      <selection pane="bottomLeft" activeCell="I24" sqref="I24"/>
      <pageMargins left="0.2" right="0.2" top="0.5" bottom="0.5" header="0.3" footer="0.3"/>
      <pageSetup scale="48" fitToHeight="0" orientation="landscape" r:id="rId1"/>
      <headerFooter>
        <oddFooter>&amp;L&amp;Z&amp;F</oddFooter>
      </headerFooter>
      <autoFilter ref="A1:O58"/>
    </customSheetView>
    <customSheetView guid="{C0F5889E-F852-4CB9-B477-759ADBCFF6D5}" showPageBreaks="1" fitToPage="1" printArea="1" showAutoFilter="1" topLeftCell="C1">
      <pane ySplit="1" topLeftCell="A12" activePane="bottomLeft" state="frozen"/>
      <selection pane="bottomLeft" activeCell="I24" sqref="I24"/>
      <pageMargins left="0.2" right="0.2" top="0.5" bottom="0.5" header="0.3" footer="0.3"/>
      <pageSetup scale="48" fitToHeight="0" orientation="landscape" r:id="rId2"/>
      <headerFooter>
        <oddFooter>&amp;L&amp;Z&amp;F</oddFooter>
      </headerFooter>
      <autoFilter ref="A1:O58"/>
    </customSheetView>
  </customSheetViews>
  <pageMargins left="0.2" right="0.2" top="0.5" bottom="0.5" header="0.3" footer="0.3"/>
  <pageSetup scale="48" fitToHeight="0" orientation="landscape" r:id="rId3"/>
  <headerFooter>
    <oddFooter>&amp;L&amp;Z&amp;F</oddFooter>
  </headerFooter>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6"/>
  <sheetViews>
    <sheetView zoomScaleNormal="100" workbookViewId="0">
      <selection sqref="A1:H1"/>
    </sheetView>
  </sheetViews>
  <sheetFormatPr defaultRowHeight="15" x14ac:dyDescent="0.25"/>
  <cols>
    <col min="1" max="1" width="64.42578125" style="5" bestFit="1" customWidth="1"/>
    <col min="2" max="2" width="20.140625" style="86" bestFit="1" customWidth="1"/>
    <col min="3" max="3" width="19.7109375" style="86" bestFit="1" customWidth="1"/>
    <col min="4" max="4" width="18.85546875" style="86" bestFit="1" customWidth="1"/>
    <col min="5" max="5" width="1.7109375" style="86" customWidth="1"/>
    <col min="6" max="6" width="11.5703125" style="86" bestFit="1" customWidth="1"/>
    <col min="7" max="7" width="9.28515625" style="86" bestFit="1" customWidth="1"/>
    <col min="8" max="8" width="2.5703125" style="86" customWidth="1"/>
    <col min="9" max="9" width="21.5703125" style="86" bestFit="1" customWidth="1"/>
    <col min="10" max="10" width="49.140625" style="5" bestFit="1" customWidth="1"/>
    <col min="11" max="16384" width="9.140625" style="86"/>
  </cols>
  <sheetData>
    <row r="1" spans="1:10" x14ac:dyDescent="0.25">
      <c r="A1" s="329" t="s">
        <v>0</v>
      </c>
      <c r="B1" s="329"/>
      <c r="C1" s="329"/>
      <c r="D1" s="329"/>
      <c r="E1" s="329"/>
      <c r="F1" s="329"/>
      <c r="G1" s="329"/>
      <c r="H1" s="329"/>
      <c r="I1" s="197" t="s">
        <v>706</v>
      </c>
    </row>
    <row r="2" spans="1:10" x14ac:dyDescent="0.25">
      <c r="A2" s="329" t="s">
        <v>117</v>
      </c>
      <c r="B2" s="329"/>
      <c r="C2" s="329"/>
      <c r="D2" s="329"/>
      <c r="E2" s="329"/>
      <c r="F2" s="329"/>
      <c r="G2" s="329"/>
      <c r="H2" s="329"/>
      <c r="I2" s="197" t="s">
        <v>260</v>
      </c>
    </row>
    <row r="3" spans="1:10" x14ac:dyDescent="0.25">
      <c r="A3" s="331" t="str">
        <f>+Summary!A3</f>
        <v>Utilizing Historic Cost Data for (2017) with Year-End Average Balances</v>
      </c>
      <c r="B3" s="331"/>
      <c r="C3" s="331"/>
      <c r="D3" s="331"/>
      <c r="E3" s="331"/>
      <c r="F3" s="331"/>
      <c r="G3" s="331"/>
      <c r="H3" s="331"/>
      <c r="I3" s="77"/>
      <c r="J3" s="234"/>
    </row>
    <row r="4" spans="1:10" x14ac:dyDescent="0.25">
      <c r="A4" s="329" t="s">
        <v>958</v>
      </c>
      <c r="B4" s="329"/>
      <c r="C4" s="329"/>
      <c r="D4" s="329"/>
      <c r="E4" s="329"/>
      <c r="F4" s="329"/>
      <c r="G4" s="329"/>
      <c r="H4" s="329"/>
      <c r="I4" s="119"/>
      <c r="J4" s="234"/>
    </row>
    <row r="5" spans="1:10" x14ac:dyDescent="0.25">
      <c r="B5" s="221"/>
      <c r="C5" s="221"/>
      <c r="D5" s="221"/>
      <c r="E5" s="221"/>
      <c r="F5" s="221"/>
      <c r="G5" s="221"/>
      <c r="H5" s="221"/>
      <c r="I5" s="221"/>
    </row>
    <row r="6" spans="1:10" x14ac:dyDescent="0.25">
      <c r="B6" s="290" t="s">
        <v>131</v>
      </c>
      <c r="C6" s="290" t="s">
        <v>131</v>
      </c>
      <c r="D6" s="11"/>
      <c r="E6" s="11"/>
      <c r="F6" s="11"/>
      <c r="G6" s="11"/>
      <c r="H6" s="11"/>
      <c r="I6" s="11"/>
    </row>
    <row r="7" spans="1:10" x14ac:dyDescent="0.25">
      <c r="B7" s="302">
        <v>42735</v>
      </c>
      <c r="C7" s="302">
        <v>43100</v>
      </c>
      <c r="D7" s="273" t="s">
        <v>195</v>
      </c>
      <c r="E7" s="11"/>
      <c r="F7" s="329" t="s">
        <v>129</v>
      </c>
      <c r="G7" s="329"/>
      <c r="H7" s="11"/>
      <c r="I7" s="11"/>
    </row>
    <row r="8" spans="1:10" x14ac:dyDescent="0.25">
      <c r="B8" s="294" t="s">
        <v>132</v>
      </c>
      <c r="C8" s="294" t="s">
        <v>132</v>
      </c>
      <c r="D8" s="276" t="s">
        <v>196</v>
      </c>
      <c r="E8" s="11"/>
      <c r="F8" s="333" t="s">
        <v>130</v>
      </c>
      <c r="G8" s="333"/>
      <c r="H8" s="11"/>
      <c r="I8" s="276" t="s">
        <v>128</v>
      </c>
    </row>
    <row r="9" spans="1:10" x14ac:dyDescent="0.25">
      <c r="B9" s="76"/>
      <c r="C9" s="76"/>
      <c r="D9" s="221"/>
      <c r="E9" s="221"/>
      <c r="F9" s="221"/>
      <c r="G9" s="221"/>
      <c r="H9" s="221"/>
      <c r="I9" s="221"/>
    </row>
    <row r="10" spans="1:10" x14ac:dyDescent="0.25">
      <c r="A10" s="65" t="s">
        <v>336</v>
      </c>
      <c r="B10" s="83">
        <v>0</v>
      </c>
      <c r="C10" s="83">
        <v>0</v>
      </c>
      <c r="D10" s="83">
        <f>ROUND((C10+B10)/2,0)</f>
        <v>0</v>
      </c>
      <c r="E10" s="221"/>
      <c r="F10" s="221" t="s">
        <v>141</v>
      </c>
      <c r="G10" s="237">
        <v>0</v>
      </c>
      <c r="H10" s="221"/>
      <c r="I10" s="83">
        <f>D10*G10</f>
        <v>0</v>
      </c>
    </row>
    <row r="11" spans="1:10" x14ac:dyDescent="0.25">
      <c r="A11" s="65" t="s">
        <v>268</v>
      </c>
      <c r="B11" s="83">
        <v>0</v>
      </c>
      <c r="C11" s="83">
        <v>0</v>
      </c>
      <c r="D11" s="83">
        <f>ROUND((C11+B11)/2,0)</f>
        <v>0</v>
      </c>
      <c r="E11" s="221"/>
      <c r="F11" s="221" t="s">
        <v>73</v>
      </c>
      <c r="G11" s="13">
        <f>'Allocation Factors'!$G$13</f>
        <v>0.91713571027193685</v>
      </c>
      <c r="H11" s="221"/>
      <c r="I11" s="83">
        <f>D11*G11</f>
        <v>0</v>
      </c>
    </row>
    <row r="12" spans="1:10" x14ac:dyDescent="0.25">
      <c r="A12" s="65" t="s">
        <v>269</v>
      </c>
      <c r="B12" s="83">
        <v>0</v>
      </c>
      <c r="C12" s="83">
        <v>0</v>
      </c>
      <c r="D12" s="83">
        <f>ROUND((C12+B12)/2,0)</f>
        <v>0</v>
      </c>
      <c r="E12" s="221"/>
      <c r="F12" s="221" t="s">
        <v>74</v>
      </c>
      <c r="G12" s="13">
        <f>'Allocation Factors'!$G$21</f>
        <v>3.54809369866841E-2</v>
      </c>
      <c r="H12" s="221"/>
      <c r="I12" s="83">
        <f>D12*G12</f>
        <v>0</v>
      </c>
    </row>
    <row r="13" spans="1:10" x14ac:dyDescent="0.25">
      <c r="A13" s="65" t="s">
        <v>337</v>
      </c>
      <c r="B13" s="83">
        <v>0</v>
      </c>
      <c r="C13" s="83">
        <v>0</v>
      </c>
      <c r="D13" s="83">
        <f>ROUND((C13+B13)/2,0)</f>
        <v>0</v>
      </c>
      <c r="E13" s="221"/>
      <c r="F13" s="221" t="s">
        <v>74</v>
      </c>
      <c r="G13" s="13">
        <f>'Allocation Factors'!$G$21</f>
        <v>3.54809369866841E-2</v>
      </c>
      <c r="H13" s="221"/>
      <c r="I13" s="83">
        <f>D13*G13</f>
        <v>0</v>
      </c>
    </row>
    <row r="14" spans="1:10" x14ac:dyDescent="0.25">
      <c r="A14" s="63"/>
      <c r="B14" s="34"/>
      <c r="C14" s="34"/>
      <c r="D14" s="221"/>
      <c r="E14" s="221"/>
      <c r="F14" s="221"/>
      <c r="G14" s="221"/>
      <c r="H14" s="221"/>
      <c r="I14" s="221"/>
    </row>
    <row r="15" spans="1:10" x14ac:dyDescent="0.25">
      <c r="A15" s="66" t="s">
        <v>959</v>
      </c>
      <c r="B15" s="117">
        <f>SUM(B10:B14)</f>
        <v>0</v>
      </c>
      <c r="C15" s="117">
        <f>SUM(C10:C14)</f>
        <v>0</v>
      </c>
      <c r="D15" s="117">
        <f>SUM(D10:D14)</f>
        <v>0</v>
      </c>
      <c r="E15" s="11"/>
      <c r="F15" s="11"/>
      <c r="G15" s="11"/>
      <c r="H15" s="11"/>
      <c r="I15" s="167">
        <f>SUM(I10:I14)</f>
        <v>0</v>
      </c>
    </row>
    <row r="16" spans="1:10" x14ac:dyDescent="0.25">
      <c r="B16" s="221"/>
      <c r="C16" s="39"/>
      <c r="D16" s="221"/>
      <c r="E16" s="221"/>
      <c r="F16" s="221"/>
      <c r="G16" s="221"/>
      <c r="H16" s="221"/>
      <c r="I16" s="221"/>
    </row>
    <row r="17" spans="1:9" x14ac:dyDescent="0.25">
      <c r="B17" s="39"/>
      <c r="C17" s="39"/>
      <c r="D17" s="221"/>
      <c r="E17" s="221"/>
      <c r="F17" s="221"/>
      <c r="G17" s="221"/>
      <c r="H17" s="221"/>
      <c r="I17" s="221"/>
    </row>
    <row r="18" spans="1:9" x14ac:dyDescent="0.25">
      <c r="A18" s="65" t="s">
        <v>336</v>
      </c>
      <c r="B18" s="236">
        <v>-5752337984.6899996</v>
      </c>
      <c r="C18" s="236">
        <v>-5831177569.9399996</v>
      </c>
      <c r="D18" s="83">
        <f t="shared" ref="D18:D23" si="0">ROUND((C18+B18)/2,0)</f>
        <v>-5791757777</v>
      </c>
      <c r="E18" s="221"/>
      <c r="F18" s="221" t="s">
        <v>141</v>
      </c>
      <c r="G18" s="237">
        <v>0</v>
      </c>
      <c r="H18" s="221"/>
      <c r="I18" s="83">
        <f>D18*G18</f>
        <v>0</v>
      </c>
    </row>
    <row r="19" spans="1:9" x14ac:dyDescent="0.25">
      <c r="A19" s="65" t="s">
        <v>268</v>
      </c>
      <c r="B19" s="236">
        <f>-557170295.13</f>
        <v>-557170295.13</v>
      </c>
      <c r="C19" s="236">
        <f>-604236319.08</f>
        <v>-604236319.08000004</v>
      </c>
      <c r="D19" s="83">
        <f t="shared" si="0"/>
        <v>-580703307</v>
      </c>
      <c r="E19" s="221"/>
      <c r="F19" s="221" t="s">
        <v>73</v>
      </c>
      <c r="G19" s="13">
        <f>'Allocation Factors'!$G$13</f>
        <v>0.91713571027193685</v>
      </c>
      <c r="H19" s="221"/>
      <c r="I19" s="83">
        <f>D19*G19</f>
        <v>-532583739.92270762</v>
      </c>
    </row>
    <row r="20" spans="1:9" x14ac:dyDescent="0.25">
      <c r="A20" s="65" t="s">
        <v>269</v>
      </c>
      <c r="B20" s="236">
        <v>-97552239.209999993</v>
      </c>
      <c r="C20" s="236">
        <v>-92181710.450000003</v>
      </c>
      <c r="D20" s="83">
        <f t="shared" si="0"/>
        <v>-94866975</v>
      </c>
      <c r="E20" s="221"/>
      <c r="F20" s="221" t="s">
        <v>74</v>
      </c>
      <c r="G20" s="13">
        <f>'Allocation Factors'!$G$21</f>
        <v>3.54809369866841E-2</v>
      </c>
      <c r="H20" s="221"/>
      <c r="I20" s="83">
        <f>D20*G20</f>
        <v>-3365969.162092336</v>
      </c>
    </row>
    <row r="21" spans="1:9" x14ac:dyDescent="0.25">
      <c r="A21" s="65" t="s">
        <v>337</v>
      </c>
      <c r="B21" s="236">
        <v>-46564057.969999999</v>
      </c>
      <c r="C21" s="236">
        <v>-52125185.530000001</v>
      </c>
      <c r="D21" s="83">
        <f t="shared" si="0"/>
        <v>-49344622</v>
      </c>
      <c r="E21" s="221"/>
      <c r="F21" s="221" t="s">
        <v>74</v>
      </c>
      <c r="G21" s="13">
        <f>'Allocation Factors'!$G$21</f>
        <v>3.54809369866841E-2</v>
      </c>
      <c r="H21" s="221"/>
      <c r="I21" s="83">
        <f>D21*G21</f>
        <v>-1750793.4238137458</v>
      </c>
    </row>
    <row r="22" spans="1:9" x14ac:dyDescent="0.25">
      <c r="A22" s="65" t="s">
        <v>1154</v>
      </c>
      <c r="B22" s="236">
        <v>0</v>
      </c>
      <c r="C22" s="236">
        <v>0</v>
      </c>
      <c r="D22" s="2">
        <f t="shared" si="0"/>
        <v>0</v>
      </c>
      <c r="E22" s="221"/>
      <c r="F22" s="221" t="s">
        <v>140</v>
      </c>
      <c r="G22" s="237">
        <v>0</v>
      </c>
      <c r="H22" s="221"/>
      <c r="I22" s="83">
        <f>D22*G22</f>
        <v>0</v>
      </c>
    </row>
    <row r="23" spans="1:9" x14ac:dyDescent="0.25">
      <c r="A23" s="66" t="s">
        <v>484</v>
      </c>
      <c r="B23" s="117">
        <f>SUM(B18:B22)</f>
        <v>-6453624577</v>
      </c>
      <c r="C23" s="117">
        <f>SUM(C18:C22)</f>
        <v>-6579720784.999999</v>
      </c>
      <c r="D23" s="18">
        <f t="shared" si="0"/>
        <v>-6516672681</v>
      </c>
      <c r="E23" s="11"/>
      <c r="F23" s="11"/>
      <c r="G23" s="11"/>
      <c r="H23" s="11"/>
      <c r="I23" s="167">
        <f>SUM(I18:I22)</f>
        <v>-537700502.50861371</v>
      </c>
    </row>
    <row r="24" spans="1:9" x14ac:dyDescent="0.25">
      <c r="B24" s="221"/>
      <c r="C24" s="221"/>
      <c r="D24" s="221"/>
      <c r="E24" s="221"/>
      <c r="F24" s="221"/>
      <c r="G24" s="221"/>
      <c r="H24" s="221"/>
      <c r="I24" s="221"/>
    </row>
    <row r="25" spans="1:9" x14ac:dyDescent="0.25">
      <c r="B25" s="6"/>
      <c r="C25" s="6"/>
      <c r="D25" s="221"/>
      <c r="E25" s="221"/>
      <c r="F25" s="221"/>
      <c r="G25" s="221"/>
      <c r="H25" s="221"/>
      <c r="I25" s="221"/>
    </row>
    <row r="26" spans="1:9" x14ac:dyDescent="0.25">
      <c r="B26" s="33"/>
      <c r="C26" s="33"/>
    </row>
    <row r="27" spans="1:9" x14ac:dyDescent="0.25">
      <c r="B27" s="33"/>
      <c r="C27" s="33"/>
    </row>
    <row r="28" spans="1:9" x14ac:dyDescent="0.25">
      <c r="B28" s="155"/>
      <c r="C28" s="155"/>
    </row>
    <row r="32" spans="1:9" x14ac:dyDescent="0.25">
      <c r="B32" s="40"/>
      <c r="C32" s="40"/>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howPageBreaks="1" fitToPage="1" printArea="1">
      <selection sqref="A1:H1"/>
      <pageMargins left="0.7" right="0.7" top="0.75" bottom="0.75" header="0.3" footer="0.3"/>
      <pageSetup scale="53" orientation="portrait" r:id="rId1"/>
      <headerFooter>
        <oddFooter>&amp;L&amp;Z&amp;F</oddFooter>
      </headerFooter>
    </customSheetView>
    <customSheetView guid="{C0F5889E-F852-4CB9-B477-759ADBCFF6D5}" showPageBreaks="1" fitToPage="1" printArea="1">
      <selection sqref="A1:H1"/>
      <pageMargins left="0.7" right="0.7" top="0.75" bottom="0.75" header="0.3" footer="0.3"/>
      <pageSetup scale="53" orientation="portrait" r:id="rId2"/>
      <headerFooter>
        <oddFooter>&amp;L&amp;Z&amp;F</oddFooter>
      </headerFooter>
    </customSheetView>
  </customSheetViews>
  <mergeCells count="6">
    <mergeCell ref="F8:G8"/>
    <mergeCell ref="F7:G7"/>
    <mergeCell ref="A1:H1"/>
    <mergeCell ref="A2:H2"/>
    <mergeCell ref="A3:H3"/>
    <mergeCell ref="A4:H4"/>
  </mergeCells>
  <pageMargins left="0.7" right="0.7" top="0.75" bottom="0.75" header="0.3" footer="0.3"/>
  <pageSetup scale="53" orientation="portrait" r:id="rId3"/>
  <headerFooter>
    <oddFooter>&amp;L&amp;Z&amp;F</oddFooter>
  </headerFooter>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zoomScale="80" zoomScaleNormal="80" workbookViewId="0">
      <selection sqref="A1:G1"/>
    </sheetView>
  </sheetViews>
  <sheetFormatPr defaultRowHeight="15" x14ac:dyDescent="0.25"/>
  <cols>
    <col min="1" max="1" width="55.140625" style="5" bestFit="1" customWidth="1"/>
    <col min="2" max="2" width="21.28515625" style="86" bestFit="1" customWidth="1"/>
    <col min="3" max="4" width="23" style="86" bestFit="1" customWidth="1"/>
    <col min="5" max="5" width="1.7109375" style="86" customWidth="1"/>
    <col min="6" max="6" width="11.5703125" style="86" bestFit="1" customWidth="1"/>
    <col min="7" max="7" width="10.42578125" style="86" bestFit="1" customWidth="1"/>
    <col min="8" max="8" width="2.5703125" style="86" customWidth="1"/>
    <col min="9" max="9" width="19.140625" style="86" bestFit="1" customWidth="1"/>
    <col min="10" max="13" width="15.7109375" style="86" customWidth="1"/>
    <col min="14" max="16384" width="9.140625" style="86"/>
  </cols>
  <sheetData>
    <row r="1" spans="1:12" x14ac:dyDescent="0.25">
      <c r="A1" s="329" t="s">
        <v>0</v>
      </c>
      <c r="B1" s="329"/>
      <c r="C1" s="329"/>
      <c r="D1" s="329"/>
      <c r="E1" s="329"/>
      <c r="F1" s="329"/>
      <c r="G1" s="329"/>
      <c r="H1" s="34"/>
      <c r="I1" s="197" t="s">
        <v>706</v>
      </c>
    </row>
    <row r="2" spans="1:12" x14ac:dyDescent="0.25">
      <c r="A2" s="329" t="s">
        <v>117</v>
      </c>
      <c r="B2" s="329"/>
      <c r="C2" s="329"/>
      <c r="D2" s="329"/>
      <c r="E2" s="329"/>
      <c r="F2" s="329"/>
      <c r="G2" s="329"/>
      <c r="H2" s="34"/>
      <c r="I2" s="197" t="s">
        <v>261</v>
      </c>
    </row>
    <row r="3" spans="1:12" x14ac:dyDescent="0.25">
      <c r="A3" s="331" t="str">
        <f>+Summary!A3</f>
        <v>Utilizing Historic Cost Data for (2017) with Year-End Average Balances</v>
      </c>
      <c r="B3" s="331"/>
      <c r="C3" s="331"/>
      <c r="D3" s="331"/>
      <c r="E3" s="331"/>
      <c r="F3" s="331"/>
      <c r="G3" s="331"/>
      <c r="H3" s="38"/>
      <c r="I3" s="38"/>
      <c r="J3" s="221"/>
      <c r="K3" s="221"/>
    </row>
    <row r="4" spans="1:12" x14ac:dyDescent="0.25">
      <c r="A4" s="329" t="s">
        <v>136</v>
      </c>
      <c r="B4" s="329"/>
      <c r="C4" s="329"/>
      <c r="D4" s="329"/>
      <c r="E4" s="329"/>
      <c r="F4" s="329"/>
      <c r="G4" s="329"/>
      <c r="H4" s="38"/>
      <c r="I4" s="38"/>
      <c r="J4" s="234"/>
      <c r="K4" s="221"/>
    </row>
    <row r="5" spans="1:12" x14ac:dyDescent="0.25">
      <c r="B5" s="221"/>
      <c r="C5" s="221"/>
      <c r="D5" s="221"/>
      <c r="E5" s="221"/>
      <c r="F5" s="221"/>
      <c r="G5" s="221"/>
      <c r="H5" s="221"/>
      <c r="I5" s="221"/>
      <c r="J5" s="234"/>
      <c r="K5" s="221"/>
    </row>
    <row r="6" spans="1:12" x14ac:dyDescent="0.25">
      <c r="B6" s="290" t="s">
        <v>131</v>
      </c>
      <c r="C6" s="290" t="s">
        <v>131</v>
      </c>
      <c r="D6" s="11"/>
      <c r="E6" s="11"/>
      <c r="F6" s="11"/>
      <c r="G6" s="11"/>
      <c r="H6" s="11"/>
      <c r="I6" s="11"/>
      <c r="J6" s="221"/>
      <c r="K6" s="221"/>
    </row>
    <row r="7" spans="1:12" x14ac:dyDescent="0.25">
      <c r="B7" s="302">
        <v>42735</v>
      </c>
      <c r="C7" s="302">
        <v>43100</v>
      </c>
      <c r="D7" s="290" t="s">
        <v>195</v>
      </c>
      <c r="E7" s="11"/>
      <c r="F7" s="329" t="s">
        <v>129</v>
      </c>
      <c r="G7" s="329"/>
      <c r="H7" s="11"/>
      <c r="I7" s="11"/>
      <c r="J7" s="221"/>
      <c r="K7" s="221"/>
    </row>
    <row r="8" spans="1:12" x14ac:dyDescent="0.25">
      <c r="B8" s="294" t="s">
        <v>132</v>
      </c>
      <c r="C8" s="294" t="s">
        <v>132</v>
      </c>
      <c r="D8" s="294" t="s">
        <v>196</v>
      </c>
      <c r="E8" s="11"/>
      <c r="F8" s="333" t="s">
        <v>130</v>
      </c>
      <c r="G8" s="333"/>
      <c r="H8" s="11"/>
      <c r="I8" s="294" t="s">
        <v>128</v>
      </c>
      <c r="J8" s="221"/>
      <c r="K8" s="221"/>
    </row>
    <row r="9" spans="1:12" x14ac:dyDescent="0.25">
      <c r="B9" s="76"/>
      <c r="C9" s="76"/>
      <c r="D9" s="221"/>
      <c r="E9" s="221"/>
      <c r="F9" s="221"/>
      <c r="G9" s="221"/>
      <c r="H9" s="221"/>
      <c r="I9" s="221"/>
      <c r="J9" s="221"/>
      <c r="K9" s="6"/>
    </row>
    <row r="10" spans="1:12" x14ac:dyDescent="0.25">
      <c r="A10" s="65" t="s">
        <v>431</v>
      </c>
      <c r="B10" s="238">
        <f>-2812940664+11502+-1-SUM(B11:B21)</f>
        <v>-2523564417</v>
      </c>
      <c r="C10" s="238">
        <f>-2976389269-SUM(C11:C21)</f>
        <v>-2690476500</v>
      </c>
      <c r="D10" s="83">
        <f t="shared" ref="D10:D23" si="0">ROUND((C10+B10)/2,0)</f>
        <v>-2607020459</v>
      </c>
      <c r="E10" s="221"/>
      <c r="F10" s="221" t="s">
        <v>140</v>
      </c>
      <c r="G10" s="237">
        <v>0</v>
      </c>
      <c r="H10" s="221"/>
      <c r="I10" s="32">
        <f t="shared" ref="I10:I20" si="1">D10*G10</f>
        <v>0</v>
      </c>
      <c r="J10" s="221"/>
      <c r="K10" s="6"/>
    </row>
    <row r="11" spans="1:12" x14ac:dyDescent="0.25">
      <c r="A11" s="65" t="s">
        <v>986</v>
      </c>
      <c r="B11" s="236">
        <v>40621</v>
      </c>
      <c r="C11" s="236">
        <f>-49307+-796</f>
        <v>-50103</v>
      </c>
      <c r="D11" s="83">
        <f t="shared" si="0"/>
        <v>-4741</v>
      </c>
      <c r="E11" s="221"/>
      <c r="F11" s="221" t="s">
        <v>74</v>
      </c>
      <c r="G11" s="13">
        <f>'Allocation Factors'!$G$21</f>
        <v>3.54809369866841E-2</v>
      </c>
      <c r="H11" s="221"/>
      <c r="I11" s="32">
        <f t="shared" ref="I11" si="2">D11*G11</f>
        <v>-168.21512225386931</v>
      </c>
      <c r="J11" s="221"/>
      <c r="K11" s="6"/>
    </row>
    <row r="12" spans="1:12" x14ac:dyDescent="0.25">
      <c r="A12" s="65" t="s">
        <v>139</v>
      </c>
      <c r="B12" s="236">
        <v>0</v>
      </c>
      <c r="C12" s="236">
        <v>0</v>
      </c>
      <c r="D12" s="83">
        <f t="shared" si="0"/>
        <v>0</v>
      </c>
      <c r="E12" s="221"/>
      <c r="F12" s="221" t="s">
        <v>108</v>
      </c>
      <c r="G12" s="13">
        <f>'Rate Base'!$L$42</f>
        <v>9.65808516409917E-2</v>
      </c>
      <c r="H12" s="221"/>
      <c r="I12" s="32">
        <f t="shared" si="1"/>
        <v>0</v>
      </c>
      <c r="J12" s="221"/>
      <c r="K12" s="6"/>
    </row>
    <row r="13" spans="1:12" x14ac:dyDescent="0.25">
      <c r="A13" s="65" t="s">
        <v>138</v>
      </c>
      <c r="B13" s="236">
        <v>-26145308</v>
      </c>
      <c r="C13" s="236">
        <f>-14916147+-8677144</f>
        <v>-23593291</v>
      </c>
      <c r="D13" s="83">
        <f t="shared" si="0"/>
        <v>-24869300</v>
      </c>
      <c r="E13" s="221"/>
      <c r="F13" s="221" t="s">
        <v>108</v>
      </c>
      <c r="G13" s="13">
        <f>'Rate Base'!$L$42</f>
        <v>9.65808516409917E-2</v>
      </c>
      <c r="H13" s="221"/>
      <c r="I13" s="32">
        <f t="shared" si="1"/>
        <v>-2401898.1737153148</v>
      </c>
      <c r="J13" s="221"/>
      <c r="K13" s="6"/>
    </row>
    <row r="14" spans="1:12" x14ac:dyDescent="0.25">
      <c r="A14" s="65" t="s">
        <v>201</v>
      </c>
      <c r="B14" s="236">
        <v>0</v>
      </c>
      <c r="C14" s="236">
        <v>0</v>
      </c>
      <c r="D14" s="83">
        <f t="shared" si="0"/>
        <v>0</v>
      </c>
      <c r="E14" s="221"/>
      <c r="F14" s="221" t="s">
        <v>74</v>
      </c>
      <c r="G14" s="13">
        <f>'Allocation Factors'!$G$21</f>
        <v>3.54809369866841E-2</v>
      </c>
      <c r="H14" s="221"/>
      <c r="I14" s="32">
        <f t="shared" si="1"/>
        <v>0</v>
      </c>
      <c r="J14" s="221"/>
      <c r="K14" s="6"/>
      <c r="L14" s="23"/>
    </row>
    <row r="15" spans="1:12" x14ac:dyDescent="0.25">
      <c r="A15" s="65" t="s">
        <v>987</v>
      </c>
      <c r="B15" s="236">
        <v>0</v>
      </c>
      <c r="C15" s="236">
        <v>0</v>
      </c>
      <c r="D15" s="83">
        <f t="shared" si="0"/>
        <v>0</v>
      </c>
      <c r="E15" s="221"/>
      <c r="F15" s="221" t="s">
        <v>74</v>
      </c>
      <c r="G15" s="13">
        <f>'Allocation Factors'!$G$21</f>
        <v>3.54809369866841E-2</v>
      </c>
      <c r="H15" s="221"/>
      <c r="I15" s="32">
        <f t="shared" ref="I15:I19" si="3">D15*G15</f>
        <v>0</v>
      </c>
      <c r="J15" s="221"/>
      <c r="K15" s="6"/>
      <c r="L15" s="23"/>
    </row>
    <row r="16" spans="1:12" x14ac:dyDescent="0.25">
      <c r="A16" s="65" t="s">
        <v>1026</v>
      </c>
      <c r="B16" s="236">
        <v>1712937</v>
      </c>
      <c r="C16" s="236">
        <f>13638+-102155</f>
        <v>-88517</v>
      </c>
      <c r="D16" s="83">
        <f t="shared" ref="D16:D17" si="4">ROUND((C16+B16)/2,0)</f>
        <v>812210</v>
      </c>
      <c r="E16" s="221"/>
      <c r="F16" s="221" t="s">
        <v>74</v>
      </c>
      <c r="G16" s="13">
        <f>'Allocation Factors'!$G$21</f>
        <v>3.54809369866841E-2</v>
      </c>
      <c r="H16" s="221"/>
      <c r="I16" s="32">
        <f t="shared" ref="I16:I17" si="5">D16*G16</f>
        <v>28817.971829954691</v>
      </c>
      <c r="J16" s="221"/>
      <c r="K16" s="6"/>
      <c r="L16" s="23"/>
    </row>
    <row r="17" spans="1:12" x14ac:dyDescent="0.25">
      <c r="A17" s="65" t="s">
        <v>1027</v>
      </c>
      <c r="B17" s="236">
        <v>15509352</v>
      </c>
      <c r="C17" s="236">
        <f>10374206+4223408</f>
        <v>14597614</v>
      </c>
      <c r="D17" s="83">
        <f t="shared" si="4"/>
        <v>15053483</v>
      </c>
      <c r="E17" s="221"/>
      <c r="F17" s="221" t="s">
        <v>140</v>
      </c>
      <c r="G17" s="237">
        <v>0</v>
      </c>
      <c r="H17" s="221"/>
      <c r="I17" s="32">
        <f t="shared" si="5"/>
        <v>0</v>
      </c>
      <c r="J17" s="221"/>
      <c r="K17" s="6"/>
      <c r="L17" s="23"/>
    </row>
    <row r="18" spans="1:12" x14ac:dyDescent="0.25">
      <c r="A18" s="65" t="s">
        <v>988</v>
      </c>
      <c r="B18" s="236">
        <v>-176989723</v>
      </c>
      <c r="C18" s="236">
        <f>-94657397+-61595673</f>
        <v>-156253070</v>
      </c>
      <c r="D18" s="83">
        <f t="shared" si="0"/>
        <v>-166621397</v>
      </c>
      <c r="E18" s="221"/>
      <c r="F18" s="221" t="s">
        <v>74</v>
      </c>
      <c r="G18" s="13">
        <f>'Allocation Factors'!$G$21</f>
        <v>3.54809369866841E-2</v>
      </c>
      <c r="H18" s="221"/>
      <c r="I18" s="32">
        <f t="shared" si="3"/>
        <v>-5911883.2875902755</v>
      </c>
      <c r="J18" s="221"/>
      <c r="K18" s="6"/>
      <c r="L18" s="23"/>
    </row>
    <row r="19" spans="1:12" x14ac:dyDescent="0.25">
      <c r="A19" s="65" t="s">
        <v>989</v>
      </c>
      <c r="B19" s="236">
        <v>-1909288</v>
      </c>
      <c r="C19" s="236">
        <f>-1047121+-640417</f>
        <v>-1687538</v>
      </c>
      <c r="D19" s="83">
        <f t="shared" si="0"/>
        <v>-1798413</v>
      </c>
      <c r="E19" s="221"/>
      <c r="F19" s="221" t="s">
        <v>140</v>
      </c>
      <c r="G19" s="237">
        <v>0</v>
      </c>
      <c r="H19" s="221"/>
      <c r="I19" s="32">
        <f t="shared" si="3"/>
        <v>0</v>
      </c>
      <c r="J19" s="221"/>
      <c r="K19" s="6"/>
      <c r="L19" s="23"/>
    </row>
    <row r="20" spans="1:12" x14ac:dyDescent="0.25">
      <c r="A20" s="65" t="s">
        <v>990</v>
      </c>
      <c r="B20" s="236">
        <v>-101583335</v>
      </c>
      <c r="C20" s="236">
        <f>-62503136+-17478239+-38856495</f>
        <v>-118837870</v>
      </c>
      <c r="D20" s="83">
        <f t="shared" si="0"/>
        <v>-110210603</v>
      </c>
      <c r="E20" s="221"/>
      <c r="F20" s="25" t="s">
        <v>74</v>
      </c>
      <c r="G20" s="13">
        <f>'Allocation Factors'!$G$21</f>
        <v>3.54809369866841E-2</v>
      </c>
      <c r="H20" s="221"/>
      <c r="I20" s="32">
        <f t="shared" si="1"/>
        <v>-3910375.4603074575</v>
      </c>
      <c r="J20" s="221"/>
      <c r="K20" s="6"/>
    </row>
    <row r="21" spans="1:12" x14ac:dyDescent="0.25">
      <c r="A21" s="65" t="s">
        <v>1028</v>
      </c>
      <c r="B21" s="7">
        <v>-2</v>
      </c>
      <c r="C21" s="7">
        <f>4+2</f>
        <v>6</v>
      </c>
      <c r="D21" s="83">
        <f t="shared" si="0"/>
        <v>2</v>
      </c>
      <c r="E21" s="221"/>
      <c r="F21" s="25" t="s">
        <v>74</v>
      </c>
      <c r="G21" s="13">
        <f>'Allocation Factors'!$G$21</f>
        <v>3.54809369866841E-2</v>
      </c>
      <c r="H21" s="221"/>
      <c r="I21" s="32">
        <f t="shared" ref="I21" si="6">D21*G21</f>
        <v>7.09618739733682E-2</v>
      </c>
      <c r="J21" s="221"/>
      <c r="K21" s="6"/>
    </row>
    <row r="22" spans="1:12" x14ac:dyDescent="0.25">
      <c r="A22" s="63"/>
      <c r="B22" s="7"/>
      <c r="C22" s="76"/>
      <c r="D22" s="221"/>
      <c r="E22" s="221"/>
      <c r="F22" s="221"/>
      <c r="G22" s="221"/>
      <c r="H22" s="221"/>
      <c r="I22" s="221"/>
      <c r="J22" s="221"/>
      <c r="K22" s="6"/>
    </row>
    <row r="23" spans="1:12" x14ac:dyDescent="0.25">
      <c r="A23" s="66" t="s">
        <v>485</v>
      </c>
      <c r="B23" s="282">
        <f>SUM(B10:B22)</f>
        <v>-2812929163</v>
      </c>
      <c r="C23" s="117">
        <f>SUM(C10:C22)</f>
        <v>-2976389269</v>
      </c>
      <c r="D23" s="117">
        <f t="shared" si="0"/>
        <v>-2894659216</v>
      </c>
      <c r="E23" s="11"/>
      <c r="F23" s="11"/>
      <c r="G23" s="11"/>
      <c r="H23" s="11"/>
      <c r="I23" s="115">
        <f>SUM(I10:I22)</f>
        <v>-12195507.093943473</v>
      </c>
      <c r="J23" s="221"/>
      <c r="K23" s="6"/>
    </row>
    <row r="24" spans="1:12" x14ac:dyDescent="0.25">
      <c r="B24" s="6"/>
      <c r="C24" s="221"/>
      <c r="D24" s="221"/>
      <c r="E24" s="221"/>
      <c r="F24" s="221"/>
      <c r="G24" s="221"/>
      <c r="H24" s="221"/>
      <c r="I24" s="221"/>
      <c r="J24" s="221"/>
      <c r="K24" s="221"/>
    </row>
    <row r="25" spans="1:12" x14ac:dyDescent="0.25">
      <c r="B25" s="221"/>
      <c r="C25" s="6"/>
      <c r="D25" s="221"/>
      <c r="E25" s="221"/>
      <c r="F25" s="221"/>
      <c r="G25" s="221"/>
      <c r="H25" s="221"/>
      <c r="I25" s="221"/>
    </row>
    <row r="26" spans="1:12" x14ac:dyDescent="0.25">
      <c r="B26" s="33"/>
      <c r="C26" s="33"/>
      <c r="D26" s="221"/>
      <c r="E26" s="221"/>
      <c r="F26" s="221"/>
      <c r="G26" s="221"/>
      <c r="H26" s="221"/>
      <c r="I26" s="33"/>
    </row>
    <row r="27" spans="1:12" x14ac:dyDescent="0.25">
      <c r="B27" s="221"/>
      <c r="C27" s="221"/>
      <c r="D27" s="221"/>
      <c r="E27" s="221"/>
      <c r="F27" s="221"/>
      <c r="G27" s="221"/>
      <c r="H27" s="221"/>
      <c r="I27" s="221"/>
    </row>
    <row r="28" spans="1:12" x14ac:dyDescent="0.25">
      <c r="A28" s="329" t="s">
        <v>0</v>
      </c>
      <c r="B28" s="329"/>
      <c r="C28" s="329"/>
      <c r="D28" s="329"/>
      <c r="E28" s="329"/>
      <c r="F28" s="329"/>
      <c r="G28" s="329"/>
      <c r="H28" s="329"/>
      <c r="I28" s="329"/>
    </row>
    <row r="29" spans="1:12" x14ac:dyDescent="0.25">
      <c r="A29" s="329" t="s">
        <v>117</v>
      </c>
      <c r="B29" s="329"/>
      <c r="C29" s="329"/>
      <c r="D29" s="329"/>
      <c r="E29" s="329"/>
      <c r="F29" s="329"/>
      <c r="G29" s="329"/>
      <c r="H29" s="329"/>
      <c r="I29" s="329"/>
    </row>
    <row r="30" spans="1:12" x14ac:dyDescent="0.25">
      <c r="A30" s="11"/>
      <c r="B30" s="11"/>
      <c r="C30" s="11"/>
      <c r="D30" s="11"/>
      <c r="E30" s="11"/>
      <c r="F30" s="290"/>
      <c r="G30" s="290"/>
      <c r="H30" s="18"/>
      <c r="I30" s="11"/>
    </row>
    <row r="31" spans="1:12" x14ac:dyDescent="0.25">
      <c r="A31" s="329" t="s">
        <v>967</v>
      </c>
      <c r="B31" s="329"/>
      <c r="C31" s="329"/>
      <c r="D31" s="329"/>
      <c r="E31" s="329"/>
      <c r="F31" s="329"/>
      <c r="G31" s="329"/>
      <c r="H31" s="329"/>
      <c r="I31" s="329"/>
    </row>
    <row r="32" spans="1:12" x14ac:dyDescent="0.25">
      <c r="B32" s="221"/>
      <c r="C32" s="221"/>
      <c r="D32" s="221"/>
      <c r="E32" s="221"/>
      <c r="F32" s="221"/>
      <c r="G32" s="221"/>
      <c r="H32" s="221"/>
      <c r="I32" s="221"/>
    </row>
    <row r="33" spans="1:9" x14ac:dyDescent="0.25">
      <c r="B33" s="290" t="s">
        <v>131</v>
      </c>
      <c r="C33" s="290" t="s">
        <v>131</v>
      </c>
      <c r="D33" s="11"/>
      <c r="E33" s="11"/>
      <c r="F33" s="11"/>
      <c r="G33" s="11"/>
      <c r="H33" s="11"/>
      <c r="I33" s="11"/>
    </row>
    <row r="34" spans="1:9" x14ac:dyDescent="0.25">
      <c r="B34" s="303">
        <f>+B7</f>
        <v>42735</v>
      </c>
      <c r="C34" s="303">
        <f>+C7</f>
        <v>43100</v>
      </c>
      <c r="D34" s="290" t="s">
        <v>195</v>
      </c>
      <c r="E34" s="11"/>
      <c r="F34" s="329" t="s">
        <v>129</v>
      </c>
      <c r="G34" s="329"/>
      <c r="H34" s="11"/>
      <c r="I34" s="11"/>
    </row>
    <row r="35" spans="1:9" x14ac:dyDescent="0.25">
      <c r="B35" s="294" t="s">
        <v>132</v>
      </c>
      <c r="C35" s="294" t="s">
        <v>132</v>
      </c>
      <c r="D35" s="294" t="s">
        <v>196</v>
      </c>
      <c r="E35" s="11"/>
      <c r="F35" s="333" t="s">
        <v>130</v>
      </c>
      <c r="G35" s="333"/>
      <c r="H35" s="11"/>
      <c r="I35" s="294" t="s">
        <v>128</v>
      </c>
    </row>
    <row r="36" spans="1:9" x14ac:dyDescent="0.25">
      <c r="B36" s="76"/>
      <c r="C36" s="76"/>
      <c r="D36" s="221"/>
      <c r="E36" s="221"/>
      <c r="F36" s="221"/>
      <c r="G36" s="221"/>
      <c r="H36" s="221"/>
      <c r="I36" s="221"/>
    </row>
    <row r="37" spans="1:9" x14ac:dyDescent="0.25">
      <c r="A37" s="65" t="s">
        <v>201</v>
      </c>
      <c r="B37" s="7">
        <v>0</v>
      </c>
      <c r="C37" s="7">
        <v>0</v>
      </c>
      <c r="D37" s="83">
        <f>ROUND((C37+B37)/2,0)</f>
        <v>0</v>
      </c>
      <c r="E37" s="221"/>
      <c r="F37" s="221" t="s">
        <v>74</v>
      </c>
      <c r="G37" s="13">
        <f>'Allocation Factors'!$G$21</f>
        <v>3.54809369866841E-2</v>
      </c>
      <c r="H37" s="221"/>
      <c r="I37" s="32">
        <f>D37*G37</f>
        <v>0</v>
      </c>
    </row>
    <row r="40" spans="1:9" x14ac:dyDescent="0.25">
      <c r="I40" s="18">
        <f>SUM(I37:I39)</f>
        <v>0</v>
      </c>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sortState ref="A10:I38">
    <sortCondition ref="A38"/>
  </sortState>
  <customSheetViews>
    <customSheetView guid="{589A2A1C-99B3-4A22-A52E-EECEEAD60ADB}" scale="80" showPageBreaks="1" fitToPage="1" printArea="1">
      <selection activeCell="C10" sqref="C10"/>
      <pageMargins left="0.7" right="0.7" top="0.75" bottom="0.75" header="0.3" footer="0.3"/>
      <pageSetup scale="54" orientation="portrait" r:id="rId1"/>
      <headerFooter>
        <oddFooter>&amp;L&amp;Z&amp;F</oddFooter>
      </headerFooter>
    </customSheetView>
    <customSheetView guid="{C0F5889E-F852-4CB9-B477-759ADBCFF6D5}" scale="80" showPageBreaks="1" fitToPage="1" printArea="1">
      <selection sqref="A1:G1"/>
      <pageMargins left="0.7" right="0.7" top="0.75" bottom="0.75" header="0.3" footer="0.3"/>
      <pageSetup scale="54" orientation="portrait" r:id="rId2"/>
      <headerFooter>
        <oddFooter>&amp;L&amp;Z&amp;F</oddFooter>
      </headerFooter>
    </customSheetView>
  </customSheetViews>
  <mergeCells count="11">
    <mergeCell ref="F34:G34"/>
    <mergeCell ref="F35:G35"/>
    <mergeCell ref="A28:I28"/>
    <mergeCell ref="A29:I29"/>
    <mergeCell ref="A31:I31"/>
    <mergeCell ref="F8:G8"/>
    <mergeCell ref="F7:G7"/>
    <mergeCell ref="A1:G1"/>
    <mergeCell ref="A2:G2"/>
    <mergeCell ref="A4:G4"/>
    <mergeCell ref="A3:G3"/>
  </mergeCells>
  <pageMargins left="0.7" right="0.7" top="0.75" bottom="0.75" header="0.3" footer="0.3"/>
  <pageSetup scale="54" orientation="portrait" r:id="rId3"/>
  <headerFooter>
    <oddFooter>&amp;L&amp;Z&amp;F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8"/>
  <sheetViews>
    <sheetView zoomScale="80" zoomScaleNormal="80" workbookViewId="0">
      <selection sqref="A1:H1"/>
    </sheetView>
  </sheetViews>
  <sheetFormatPr defaultColWidth="6.42578125" defaultRowHeight="15" x14ac:dyDescent="0.25"/>
  <cols>
    <col min="1" max="1" width="53" style="5" bestFit="1" customWidth="1"/>
    <col min="2" max="2" width="18.5703125" style="86" bestFit="1" customWidth="1"/>
    <col min="3" max="3" width="17.85546875" style="86" bestFit="1" customWidth="1"/>
    <col min="4" max="4" width="18.85546875" style="86" bestFit="1" customWidth="1"/>
    <col min="5" max="5" width="1.7109375" style="86" customWidth="1"/>
    <col min="6" max="7" width="12" style="86" bestFit="1" customWidth="1"/>
    <col min="8" max="8" width="1.7109375" style="86" customWidth="1"/>
    <col min="9" max="9" width="16.42578125" style="86" bestFit="1" customWidth="1"/>
    <col min="10" max="10" width="6.42578125" style="86"/>
    <col min="11" max="11" width="17.140625" style="86" bestFit="1" customWidth="1"/>
    <col min="12" max="12" width="16" style="86" bestFit="1" customWidth="1"/>
    <col min="13" max="16384" width="6.42578125" style="86"/>
  </cols>
  <sheetData>
    <row r="1" spans="1:12" x14ac:dyDescent="0.25">
      <c r="A1" s="329" t="s">
        <v>0</v>
      </c>
      <c r="B1" s="329"/>
      <c r="C1" s="329"/>
      <c r="D1" s="329"/>
      <c r="E1" s="329"/>
      <c r="F1" s="329"/>
      <c r="G1" s="329"/>
      <c r="H1" s="329"/>
      <c r="I1" s="197" t="s">
        <v>706</v>
      </c>
    </row>
    <row r="2" spans="1:12" x14ac:dyDescent="0.25">
      <c r="A2" s="329" t="s">
        <v>117</v>
      </c>
      <c r="B2" s="329"/>
      <c r="C2" s="329"/>
      <c r="D2" s="329"/>
      <c r="E2" s="329"/>
      <c r="F2" s="329"/>
      <c r="G2" s="329"/>
      <c r="H2" s="329"/>
      <c r="I2" s="197" t="s">
        <v>262</v>
      </c>
    </row>
    <row r="3" spans="1:12" x14ac:dyDescent="0.25">
      <c r="A3" s="331" t="str">
        <f>+Summary!A3</f>
        <v>Utilizing Historic Cost Data for (2017) with Year-End Average Balances</v>
      </c>
      <c r="B3" s="331"/>
      <c r="C3" s="331"/>
      <c r="D3" s="331"/>
      <c r="E3" s="331"/>
      <c r="F3" s="331"/>
      <c r="G3" s="331"/>
      <c r="H3" s="331"/>
    </row>
    <row r="4" spans="1:12" x14ac:dyDescent="0.25">
      <c r="A4" s="329" t="s">
        <v>968</v>
      </c>
      <c r="B4" s="329"/>
      <c r="C4" s="329"/>
      <c r="D4" s="329"/>
      <c r="E4" s="329"/>
      <c r="F4" s="329"/>
      <c r="G4" s="329"/>
      <c r="H4" s="329"/>
      <c r="I4" s="76"/>
    </row>
    <row r="5" spans="1:12" x14ac:dyDescent="0.25">
      <c r="B5" s="221"/>
      <c r="C5" s="221"/>
      <c r="D5" s="221"/>
      <c r="E5" s="221"/>
      <c r="F5" s="221"/>
      <c r="G5" s="221"/>
      <c r="H5" s="221"/>
      <c r="I5" s="221"/>
    </row>
    <row r="6" spans="1:12" x14ac:dyDescent="0.25">
      <c r="B6" s="290" t="s">
        <v>131</v>
      </c>
      <c r="C6" s="290" t="s">
        <v>131</v>
      </c>
      <c r="D6" s="11"/>
      <c r="E6" s="11"/>
      <c r="F6" s="11"/>
      <c r="G6" s="11"/>
      <c r="H6" s="11"/>
      <c r="I6" s="11"/>
    </row>
    <row r="7" spans="1:12" x14ac:dyDescent="0.25">
      <c r="B7" s="302">
        <v>42735</v>
      </c>
      <c r="C7" s="302">
        <v>43100</v>
      </c>
      <c r="D7" s="290" t="s">
        <v>197</v>
      </c>
      <c r="E7" s="11"/>
      <c r="F7" s="329" t="s">
        <v>129</v>
      </c>
      <c r="G7" s="329"/>
      <c r="H7" s="11"/>
      <c r="I7" s="11"/>
    </row>
    <row r="8" spans="1:12" x14ac:dyDescent="0.25">
      <c r="B8" s="294" t="s">
        <v>132</v>
      </c>
      <c r="C8" s="294" t="s">
        <v>132</v>
      </c>
      <c r="D8" s="294" t="s">
        <v>196</v>
      </c>
      <c r="E8" s="11"/>
      <c r="F8" s="333" t="s">
        <v>130</v>
      </c>
      <c r="G8" s="333"/>
      <c r="H8" s="11"/>
      <c r="I8" s="294" t="s">
        <v>128</v>
      </c>
    </row>
    <row r="9" spans="1:12" x14ac:dyDescent="0.25">
      <c r="B9" s="76"/>
      <c r="C9" s="76"/>
      <c r="D9" s="221"/>
      <c r="E9" s="221"/>
      <c r="F9" s="221"/>
      <c r="G9" s="221"/>
      <c r="H9" s="221"/>
      <c r="I9" s="221"/>
    </row>
    <row r="10" spans="1:12" x14ac:dyDescent="0.25">
      <c r="A10" s="65" t="s">
        <v>123</v>
      </c>
      <c r="B10" s="236">
        <v>0</v>
      </c>
      <c r="C10" s="236">
        <v>0</v>
      </c>
      <c r="D10" s="83">
        <f>ROUND((C10+B10)/2,0)</f>
        <v>0</v>
      </c>
      <c r="E10" s="221"/>
      <c r="F10" s="221" t="s">
        <v>74</v>
      </c>
      <c r="G10" s="13">
        <f>'Allocation Factors'!$G$21</f>
        <v>3.54809369866841E-2</v>
      </c>
      <c r="H10" s="221"/>
      <c r="I10" s="32">
        <f>D10*G10</f>
        <v>0</v>
      </c>
      <c r="J10" s="221"/>
      <c r="K10" s="6"/>
      <c r="L10" s="6"/>
    </row>
    <row r="11" spans="1:12" x14ac:dyDescent="0.25">
      <c r="A11" s="65" t="s">
        <v>211</v>
      </c>
      <c r="B11" s="236">
        <v>476399937</v>
      </c>
      <c r="C11" s="236">
        <v>405380658</v>
      </c>
      <c r="D11" s="83">
        <f>ROUND((C11+B11)/2,0)</f>
        <v>440890298</v>
      </c>
      <c r="E11" s="221"/>
      <c r="F11" s="221" t="s">
        <v>74</v>
      </c>
      <c r="G11" s="13">
        <f>'Allocation Factors'!$G$21</f>
        <v>3.54809369866841E-2</v>
      </c>
      <c r="H11" s="221"/>
      <c r="I11" s="32">
        <f>D11*G11</f>
        <v>15643200.881378375</v>
      </c>
      <c r="J11" s="221"/>
      <c r="K11" s="6"/>
      <c r="L11" s="6"/>
    </row>
    <row r="12" spans="1:12" s="221" customFormat="1" x14ac:dyDescent="0.25">
      <c r="A12" s="65" t="s">
        <v>1018</v>
      </c>
      <c r="B12" s="236">
        <v>5139194</v>
      </c>
      <c r="C12" s="236">
        <v>4484411</v>
      </c>
      <c r="D12" s="83">
        <f>ROUND((C12+B12)/2,0)</f>
        <v>4811803</v>
      </c>
      <c r="F12" s="25" t="s">
        <v>140</v>
      </c>
      <c r="G12" s="237">
        <v>0</v>
      </c>
      <c r="I12" s="32">
        <f>D12*G12</f>
        <v>0</v>
      </c>
      <c r="J12" s="267"/>
      <c r="K12" s="6"/>
      <c r="L12" s="6"/>
    </row>
    <row r="13" spans="1:12" x14ac:dyDescent="0.25">
      <c r="A13" s="65"/>
      <c r="B13" s="7"/>
      <c r="C13" s="7"/>
      <c r="D13" s="2"/>
      <c r="E13" s="221"/>
      <c r="F13" s="221"/>
      <c r="G13" s="221"/>
      <c r="H13" s="221"/>
      <c r="I13" s="32"/>
    </row>
    <row r="14" spans="1:12" x14ac:dyDescent="0.25">
      <c r="A14" s="66" t="s">
        <v>486</v>
      </c>
      <c r="B14" s="117">
        <f>SUM(B10:B13)</f>
        <v>481539131</v>
      </c>
      <c r="C14" s="117">
        <f>SUM(C10:C13)</f>
        <v>409865069</v>
      </c>
      <c r="D14" s="18">
        <f>ROUND((C14+B14)/2,0)</f>
        <v>445702100</v>
      </c>
      <c r="E14" s="221"/>
      <c r="F14" s="221"/>
      <c r="G14" s="221"/>
      <c r="H14" s="221"/>
      <c r="I14" s="115">
        <f>SUM(I10:I13)</f>
        <v>15643200.881378375</v>
      </c>
      <c r="K14" s="6"/>
      <c r="L14" s="6"/>
    </row>
    <row r="15" spans="1:12" x14ac:dyDescent="0.25">
      <c r="B15" s="6"/>
      <c r="C15" s="6"/>
      <c r="D15" s="221"/>
      <c r="E15" s="221"/>
      <c r="F15" s="221"/>
      <c r="G15" s="221"/>
      <c r="H15" s="221"/>
      <c r="I15" s="221"/>
    </row>
    <row r="16" spans="1:12" x14ac:dyDescent="0.25">
      <c r="B16" s="6"/>
      <c r="C16" s="6"/>
      <c r="D16" s="221"/>
      <c r="E16" s="221"/>
      <c r="F16" s="221"/>
      <c r="G16" s="221"/>
      <c r="H16" s="221"/>
      <c r="I16" s="221"/>
    </row>
    <row r="17" spans="1:12" x14ac:dyDescent="0.25">
      <c r="B17" s="221"/>
      <c r="C17" s="221"/>
      <c r="D17" s="221"/>
      <c r="E17" s="221"/>
      <c r="F17" s="221"/>
      <c r="G17" s="221"/>
      <c r="H17" s="221"/>
      <c r="I17" s="221"/>
    </row>
    <row r="18" spans="1:12" x14ac:dyDescent="0.25">
      <c r="A18" s="329" t="s">
        <v>0</v>
      </c>
      <c r="B18" s="329"/>
      <c r="C18" s="329"/>
      <c r="D18" s="329"/>
      <c r="E18" s="329"/>
      <c r="F18" s="329"/>
      <c r="G18" s="329"/>
      <c r="H18" s="329"/>
      <c r="I18" s="329"/>
      <c r="L18" s="39"/>
    </row>
    <row r="19" spans="1:12" x14ac:dyDescent="0.25">
      <c r="A19" s="329" t="s">
        <v>117</v>
      </c>
      <c r="B19" s="329"/>
      <c r="C19" s="329"/>
      <c r="D19" s="329"/>
      <c r="E19" s="329"/>
      <c r="F19" s="329"/>
      <c r="G19" s="329"/>
      <c r="H19" s="329"/>
      <c r="I19" s="329"/>
      <c r="L19" s="33"/>
    </row>
    <row r="20" spans="1:12" x14ac:dyDescent="0.25">
      <c r="A20" s="11"/>
      <c r="B20" s="11"/>
      <c r="C20" s="11"/>
      <c r="D20" s="11"/>
      <c r="E20" s="11"/>
      <c r="F20" s="290"/>
      <c r="G20" s="290"/>
      <c r="H20" s="18"/>
      <c r="I20" s="11"/>
    </row>
    <row r="21" spans="1:12" x14ac:dyDescent="0.25">
      <c r="A21" s="329" t="s">
        <v>259</v>
      </c>
      <c r="B21" s="329"/>
      <c r="C21" s="329"/>
      <c r="D21" s="329"/>
      <c r="E21" s="329"/>
      <c r="F21" s="329"/>
      <c r="G21" s="329"/>
      <c r="H21" s="329"/>
      <c r="I21" s="329"/>
    </row>
    <row r="22" spans="1:12" x14ac:dyDescent="0.25">
      <c r="B22" s="221"/>
      <c r="C22" s="221"/>
      <c r="D22" s="221"/>
      <c r="E22" s="221"/>
      <c r="F22" s="11"/>
      <c r="G22" s="11"/>
      <c r="H22" s="11"/>
      <c r="I22" s="11"/>
      <c r="J22" s="221"/>
      <c r="K22" s="1"/>
    </row>
    <row r="23" spans="1:12" x14ac:dyDescent="0.25">
      <c r="B23" s="290" t="s">
        <v>131</v>
      </c>
      <c r="C23" s="290" t="s">
        <v>131</v>
      </c>
      <c r="D23" s="11"/>
      <c r="E23" s="11"/>
      <c r="F23" s="11"/>
      <c r="G23" s="11"/>
      <c r="H23" s="11"/>
      <c r="I23" s="11"/>
      <c r="K23" s="1"/>
    </row>
    <row r="24" spans="1:12" x14ac:dyDescent="0.25">
      <c r="B24" s="303">
        <f>+B7</f>
        <v>42735</v>
      </c>
      <c r="C24" s="303">
        <f>+C7</f>
        <v>43100</v>
      </c>
      <c r="D24" s="290" t="s">
        <v>197</v>
      </c>
      <c r="E24" s="11"/>
      <c r="F24" s="329" t="s">
        <v>129</v>
      </c>
      <c r="G24" s="329"/>
      <c r="H24" s="11"/>
      <c r="I24" s="11"/>
    </row>
    <row r="25" spans="1:12" x14ac:dyDescent="0.25">
      <c r="B25" s="294" t="s">
        <v>132</v>
      </c>
      <c r="C25" s="294" t="s">
        <v>132</v>
      </c>
      <c r="D25" s="294" t="s">
        <v>196</v>
      </c>
      <c r="E25" s="11"/>
      <c r="F25" s="333" t="s">
        <v>130</v>
      </c>
      <c r="G25" s="333"/>
      <c r="H25" s="11"/>
      <c r="I25" s="294" t="s">
        <v>128</v>
      </c>
    </row>
    <row r="26" spans="1:12" x14ac:dyDescent="0.25">
      <c r="B26" s="76"/>
      <c r="C26" s="76"/>
      <c r="D26" s="221"/>
      <c r="E26" s="221"/>
      <c r="F26" s="221"/>
      <c r="G26" s="221"/>
      <c r="H26" s="221"/>
      <c r="I26" s="221"/>
    </row>
    <row r="27" spans="1:12" x14ac:dyDescent="0.25">
      <c r="A27" s="65" t="s">
        <v>205</v>
      </c>
      <c r="B27" s="236">
        <v>0</v>
      </c>
      <c r="C27" s="236">
        <v>0</v>
      </c>
      <c r="D27" s="83">
        <f t="shared" ref="D27:D37" si="0">ROUND((C27+B27)/2,0)</f>
        <v>0</v>
      </c>
      <c r="E27" s="221"/>
      <c r="F27" s="25" t="s">
        <v>140</v>
      </c>
      <c r="G27" s="237">
        <v>0</v>
      </c>
      <c r="H27" s="221"/>
      <c r="I27" s="32">
        <f t="shared" ref="I27:I36" si="1">D27*G27</f>
        <v>0</v>
      </c>
      <c r="L27" s="6"/>
    </row>
    <row r="28" spans="1:12" x14ac:dyDescent="0.25">
      <c r="A28" s="65" t="s">
        <v>991</v>
      </c>
      <c r="B28" s="236">
        <v>0</v>
      </c>
      <c r="C28" s="236">
        <v>0</v>
      </c>
      <c r="D28" s="83">
        <f t="shared" si="0"/>
        <v>0</v>
      </c>
      <c r="E28" s="221"/>
      <c r="F28" s="25" t="s">
        <v>140</v>
      </c>
      <c r="G28" s="237">
        <v>0</v>
      </c>
      <c r="H28" s="221"/>
      <c r="I28" s="32">
        <f t="shared" ref="I28" si="2">D28*G28</f>
        <v>0</v>
      </c>
      <c r="L28" s="6"/>
    </row>
    <row r="29" spans="1:12" x14ac:dyDescent="0.25">
      <c r="A29" s="65" t="s">
        <v>206</v>
      </c>
      <c r="B29" s="236">
        <v>871261236</v>
      </c>
      <c r="C29" s="236">
        <v>455457126</v>
      </c>
      <c r="D29" s="83">
        <f t="shared" si="0"/>
        <v>663359181</v>
      </c>
      <c r="E29" s="221"/>
      <c r="F29" s="25" t="s">
        <v>140</v>
      </c>
      <c r="G29" s="237">
        <v>0</v>
      </c>
      <c r="H29" s="221"/>
      <c r="I29" s="32">
        <f t="shared" si="1"/>
        <v>0</v>
      </c>
      <c r="L29" s="6"/>
    </row>
    <row r="30" spans="1:12" x14ac:dyDescent="0.25">
      <c r="A30" s="65" t="s">
        <v>207</v>
      </c>
      <c r="B30" s="236">
        <v>9250303</v>
      </c>
      <c r="C30" s="236">
        <v>0</v>
      </c>
      <c r="D30" s="83">
        <f t="shared" si="0"/>
        <v>4625152</v>
      </c>
      <c r="E30" s="221"/>
      <c r="F30" s="25" t="s">
        <v>140</v>
      </c>
      <c r="G30" s="237">
        <v>0</v>
      </c>
      <c r="H30" s="221"/>
      <c r="I30" s="32">
        <f t="shared" si="1"/>
        <v>0</v>
      </c>
      <c r="L30" s="6"/>
    </row>
    <row r="31" spans="1:12" x14ac:dyDescent="0.25">
      <c r="A31" s="65" t="s">
        <v>1063</v>
      </c>
      <c r="B31" s="236">
        <v>76029245</v>
      </c>
      <c r="C31" s="236">
        <v>83027990</v>
      </c>
      <c r="D31" s="83">
        <f t="shared" si="0"/>
        <v>79528618</v>
      </c>
      <c r="E31" s="221"/>
      <c r="F31" s="25" t="s">
        <v>140</v>
      </c>
      <c r="G31" s="237">
        <v>0</v>
      </c>
      <c r="H31" s="221"/>
      <c r="I31" s="32">
        <f t="shared" ref="I31" si="3">D31*G31</f>
        <v>0</v>
      </c>
      <c r="L31" s="6"/>
    </row>
    <row r="32" spans="1:12" x14ac:dyDescent="0.25">
      <c r="A32" s="65" t="s">
        <v>208</v>
      </c>
      <c r="B32" s="236">
        <v>0</v>
      </c>
      <c r="C32" s="236">
        <v>0</v>
      </c>
      <c r="D32" s="83">
        <f t="shared" si="0"/>
        <v>0</v>
      </c>
      <c r="E32" s="221"/>
      <c r="F32" s="25" t="s">
        <v>141</v>
      </c>
      <c r="G32" s="237">
        <v>0</v>
      </c>
      <c r="H32" s="221"/>
      <c r="I32" s="32">
        <f t="shared" si="1"/>
        <v>0</v>
      </c>
      <c r="L32" s="6"/>
    </row>
    <row r="33" spans="1:12" x14ac:dyDescent="0.25">
      <c r="A33" s="65" t="s">
        <v>137</v>
      </c>
      <c r="B33" s="236">
        <v>585783</v>
      </c>
      <c r="C33" s="236">
        <v>269574</v>
      </c>
      <c r="D33" s="83">
        <f t="shared" si="0"/>
        <v>427679</v>
      </c>
      <c r="E33" s="221"/>
      <c r="F33" s="25" t="s">
        <v>141</v>
      </c>
      <c r="G33" s="237">
        <v>0</v>
      </c>
      <c r="H33" s="221"/>
      <c r="I33" s="32">
        <f t="shared" si="1"/>
        <v>0</v>
      </c>
      <c r="K33" s="30"/>
      <c r="L33" s="6"/>
    </row>
    <row r="34" spans="1:12" x14ac:dyDescent="0.25">
      <c r="A34" s="65" t="s">
        <v>209</v>
      </c>
      <c r="B34" s="236">
        <v>1926951</v>
      </c>
      <c r="C34" s="236">
        <v>1850974</v>
      </c>
      <c r="D34" s="83">
        <f t="shared" si="0"/>
        <v>1888963</v>
      </c>
      <c r="E34" s="221"/>
      <c r="F34" s="25" t="s">
        <v>141</v>
      </c>
      <c r="G34" s="237">
        <v>0</v>
      </c>
      <c r="H34" s="221"/>
      <c r="I34" s="32">
        <f t="shared" si="1"/>
        <v>0</v>
      </c>
      <c r="L34" s="6"/>
    </row>
    <row r="35" spans="1:12" x14ac:dyDescent="0.25">
      <c r="A35" s="65" t="s">
        <v>210</v>
      </c>
      <c r="B35" s="236">
        <v>0</v>
      </c>
      <c r="C35" s="236">
        <v>0</v>
      </c>
      <c r="D35" s="83">
        <f t="shared" si="0"/>
        <v>0</v>
      </c>
      <c r="E35" s="221"/>
      <c r="F35" s="25" t="s">
        <v>140</v>
      </c>
      <c r="G35" s="237">
        <v>0</v>
      </c>
      <c r="H35" s="221"/>
      <c r="I35" s="32">
        <f t="shared" si="1"/>
        <v>0</v>
      </c>
      <c r="L35" s="6"/>
    </row>
    <row r="36" spans="1:12" x14ac:dyDescent="0.25">
      <c r="A36" s="65" t="s">
        <v>232</v>
      </c>
      <c r="B36" s="236">
        <v>0</v>
      </c>
      <c r="C36" s="236">
        <v>0</v>
      </c>
      <c r="D36" s="83">
        <f t="shared" si="0"/>
        <v>0</v>
      </c>
      <c r="E36" s="221"/>
      <c r="F36" s="25" t="s">
        <v>141</v>
      </c>
      <c r="G36" s="237">
        <v>0</v>
      </c>
      <c r="H36" s="221"/>
      <c r="I36" s="32">
        <f t="shared" si="1"/>
        <v>0</v>
      </c>
      <c r="L36" s="6"/>
    </row>
    <row r="37" spans="1:12" x14ac:dyDescent="0.25">
      <c r="A37" s="65" t="s">
        <v>233</v>
      </c>
      <c r="B37" s="236">
        <v>0</v>
      </c>
      <c r="C37" s="236">
        <v>0</v>
      </c>
      <c r="D37" s="83">
        <f t="shared" si="0"/>
        <v>0</v>
      </c>
      <c r="E37" s="221"/>
      <c r="F37" s="25" t="s">
        <v>141</v>
      </c>
      <c r="G37" s="237">
        <v>0</v>
      </c>
      <c r="H37" s="221"/>
      <c r="I37" s="32">
        <f t="shared" ref="I37" si="4">D37*G37</f>
        <v>0</v>
      </c>
      <c r="L37" s="6"/>
    </row>
    <row r="38" spans="1:12" x14ac:dyDescent="0.25">
      <c r="A38" s="65" t="s">
        <v>234</v>
      </c>
      <c r="B38" s="236">
        <v>80508293</v>
      </c>
      <c r="C38" s="236">
        <v>151408291</v>
      </c>
      <c r="D38" s="83">
        <f t="shared" ref="D38:D67" si="5">ROUND((C38+B38)/2,0)</f>
        <v>115958292</v>
      </c>
      <c r="E38" s="221"/>
      <c r="F38" s="25" t="s">
        <v>141</v>
      </c>
      <c r="G38" s="237">
        <v>0</v>
      </c>
      <c r="H38" s="221"/>
      <c r="I38" s="32">
        <f t="shared" ref="I38" si="6">D38*G38</f>
        <v>0</v>
      </c>
      <c r="L38" s="6"/>
    </row>
    <row r="39" spans="1:12" x14ac:dyDescent="0.25">
      <c r="A39" s="65" t="s">
        <v>1015</v>
      </c>
      <c r="B39" s="236">
        <v>4482011</v>
      </c>
      <c r="C39" s="236">
        <v>2690936</v>
      </c>
      <c r="D39" s="83">
        <f t="shared" si="5"/>
        <v>3586474</v>
      </c>
      <c r="E39" s="221"/>
      <c r="F39" s="25" t="s">
        <v>141</v>
      </c>
      <c r="G39" s="237">
        <v>0</v>
      </c>
      <c r="H39" s="221"/>
      <c r="I39" s="32">
        <f t="shared" ref="I39:I40" si="7">D39*G39</f>
        <v>0</v>
      </c>
      <c r="L39" s="6"/>
    </row>
    <row r="40" spans="1:12" x14ac:dyDescent="0.25">
      <c r="A40" s="65" t="s">
        <v>1016</v>
      </c>
      <c r="B40" s="236">
        <v>0</v>
      </c>
      <c r="C40" s="236">
        <v>0</v>
      </c>
      <c r="D40" s="83">
        <f t="shared" si="5"/>
        <v>0</v>
      </c>
      <c r="E40" s="221"/>
      <c r="F40" s="25" t="s">
        <v>140</v>
      </c>
      <c r="G40" s="237">
        <v>0</v>
      </c>
      <c r="H40" s="221"/>
      <c r="I40" s="32">
        <f t="shared" si="7"/>
        <v>0</v>
      </c>
      <c r="L40" s="6"/>
    </row>
    <row r="41" spans="1:12" x14ac:dyDescent="0.25">
      <c r="A41" s="65" t="s">
        <v>1017</v>
      </c>
      <c r="B41" s="236">
        <v>57624</v>
      </c>
      <c r="C41" s="236">
        <v>0</v>
      </c>
      <c r="D41" s="83">
        <f t="shared" si="5"/>
        <v>28812</v>
      </c>
      <c r="E41" s="221"/>
      <c r="F41" s="25" t="s">
        <v>141</v>
      </c>
      <c r="G41" s="237">
        <v>0</v>
      </c>
      <c r="H41" s="221"/>
      <c r="I41" s="32">
        <f t="shared" ref="I41:I50" si="8">D41*G41</f>
        <v>0</v>
      </c>
      <c r="L41" s="6"/>
    </row>
    <row r="42" spans="1:12" x14ac:dyDescent="0.25">
      <c r="A42" s="65" t="s">
        <v>1019</v>
      </c>
      <c r="B42" s="236">
        <v>0</v>
      </c>
      <c r="C42" s="236">
        <v>0</v>
      </c>
      <c r="D42" s="83">
        <f t="shared" si="5"/>
        <v>0</v>
      </c>
      <c r="E42" s="221"/>
      <c r="F42" s="25" t="s">
        <v>140</v>
      </c>
      <c r="G42" s="237">
        <v>0</v>
      </c>
      <c r="H42" s="221"/>
      <c r="I42" s="32">
        <f t="shared" si="8"/>
        <v>0</v>
      </c>
      <c r="L42" s="6"/>
    </row>
    <row r="43" spans="1:12" x14ac:dyDescent="0.25">
      <c r="A43" s="65" t="s">
        <v>1020</v>
      </c>
      <c r="B43" s="236">
        <v>93298364</v>
      </c>
      <c r="C43" s="236">
        <v>75013148</v>
      </c>
      <c r="D43" s="83">
        <f t="shared" si="5"/>
        <v>84155756</v>
      </c>
      <c r="E43" s="221"/>
      <c r="F43" s="25" t="s">
        <v>140</v>
      </c>
      <c r="G43" s="237">
        <v>0</v>
      </c>
      <c r="H43" s="221"/>
      <c r="I43" s="32">
        <f t="shared" si="8"/>
        <v>0</v>
      </c>
      <c r="L43" s="6"/>
    </row>
    <row r="44" spans="1:12" x14ac:dyDescent="0.25">
      <c r="A44" s="65" t="s">
        <v>1091</v>
      </c>
      <c r="B44" s="236">
        <v>1026416</v>
      </c>
      <c r="C44" s="236">
        <v>0</v>
      </c>
      <c r="D44" s="83">
        <f t="shared" si="5"/>
        <v>513208</v>
      </c>
      <c r="E44" s="221"/>
      <c r="F44" s="25" t="s">
        <v>140</v>
      </c>
      <c r="G44" s="237">
        <v>0</v>
      </c>
      <c r="H44" s="221"/>
      <c r="I44" s="32">
        <f t="shared" si="8"/>
        <v>0</v>
      </c>
      <c r="L44" s="6"/>
    </row>
    <row r="45" spans="1:12" x14ac:dyDescent="0.25">
      <c r="A45" s="65" t="s">
        <v>1096</v>
      </c>
      <c r="B45" s="236">
        <v>0</v>
      </c>
      <c r="C45" s="236">
        <v>0</v>
      </c>
      <c r="D45" s="83">
        <f t="shared" si="5"/>
        <v>0</v>
      </c>
      <c r="E45" s="221"/>
      <c r="F45" s="25" t="s">
        <v>141</v>
      </c>
      <c r="G45" s="237">
        <v>0</v>
      </c>
      <c r="H45" s="221"/>
      <c r="I45" s="32">
        <f t="shared" si="8"/>
        <v>0</v>
      </c>
      <c r="L45" s="6"/>
    </row>
    <row r="46" spans="1:12" x14ac:dyDescent="0.25">
      <c r="A46" s="65" t="s">
        <v>1092</v>
      </c>
      <c r="B46" s="236">
        <v>232414</v>
      </c>
      <c r="C46" s="236">
        <v>0</v>
      </c>
      <c r="D46" s="83">
        <f t="shared" si="5"/>
        <v>116207</v>
      </c>
      <c r="E46" s="221"/>
      <c r="F46" s="25" t="s">
        <v>140</v>
      </c>
      <c r="G46" s="237">
        <v>0</v>
      </c>
      <c r="H46" s="221"/>
      <c r="I46" s="32">
        <f t="shared" si="8"/>
        <v>0</v>
      </c>
      <c r="L46" s="6"/>
    </row>
    <row r="47" spans="1:12" x14ac:dyDescent="0.25">
      <c r="A47" s="65" t="s">
        <v>1097</v>
      </c>
      <c r="B47" s="236">
        <v>13031213</v>
      </c>
      <c r="C47" s="236">
        <v>5531089</v>
      </c>
      <c r="D47" s="83">
        <f t="shared" si="5"/>
        <v>9281151</v>
      </c>
      <c r="E47" s="221"/>
      <c r="F47" s="25" t="s">
        <v>141</v>
      </c>
      <c r="G47" s="237">
        <v>0</v>
      </c>
      <c r="H47" s="221"/>
      <c r="I47" s="32">
        <f t="shared" si="8"/>
        <v>0</v>
      </c>
      <c r="L47" s="6"/>
    </row>
    <row r="48" spans="1:12" x14ac:dyDescent="0.25">
      <c r="A48" s="65" t="s">
        <v>1093</v>
      </c>
      <c r="B48" s="236">
        <v>0</v>
      </c>
      <c r="C48" s="236">
        <v>0</v>
      </c>
      <c r="D48" s="83">
        <f t="shared" si="5"/>
        <v>0</v>
      </c>
      <c r="E48" s="221"/>
      <c r="F48" s="25" t="s">
        <v>140</v>
      </c>
      <c r="G48" s="237">
        <v>0</v>
      </c>
      <c r="H48" s="221"/>
      <c r="I48" s="32">
        <f t="shared" si="8"/>
        <v>0</v>
      </c>
      <c r="L48" s="6"/>
    </row>
    <row r="49" spans="1:12" x14ac:dyDescent="0.25">
      <c r="A49" s="65" t="s">
        <v>1094</v>
      </c>
      <c r="B49" s="236">
        <v>41848207</v>
      </c>
      <c r="C49" s="236">
        <v>58316070</v>
      </c>
      <c r="D49" s="83">
        <f t="shared" si="5"/>
        <v>50082139</v>
      </c>
      <c r="E49" s="221"/>
      <c r="F49" s="25" t="s">
        <v>141</v>
      </c>
      <c r="G49" s="237">
        <v>0</v>
      </c>
      <c r="H49" s="221"/>
      <c r="I49" s="32">
        <f t="shared" si="8"/>
        <v>0</v>
      </c>
      <c r="L49" s="6"/>
    </row>
    <row r="50" spans="1:12" x14ac:dyDescent="0.25">
      <c r="A50" s="65" t="s">
        <v>1095</v>
      </c>
      <c r="B50" s="236">
        <v>52404808</v>
      </c>
      <c r="C50" s="236">
        <v>25631114</v>
      </c>
      <c r="D50" s="83">
        <f t="shared" si="5"/>
        <v>39017961</v>
      </c>
      <c r="E50" s="221"/>
      <c r="F50" s="25" t="s">
        <v>141</v>
      </c>
      <c r="G50" s="237">
        <v>0</v>
      </c>
      <c r="H50" s="221"/>
      <c r="I50" s="32">
        <f t="shared" si="8"/>
        <v>0</v>
      </c>
      <c r="L50" s="6"/>
    </row>
    <row r="51" spans="1:12" x14ac:dyDescent="0.25">
      <c r="A51" s="65" t="s">
        <v>1163</v>
      </c>
      <c r="B51" s="236">
        <v>4270218</v>
      </c>
      <c r="C51" s="236">
        <v>3880158</v>
      </c>
      <c r="D51" s="83">
        <f t="shared" si="5"/>
        <v>4075188</v>
      </c>
      <c r="E51" s="221"/>
      <c r="F51" s="25" t="s">
        <v>141</v>
      </c>
      <c r="G51" s="237">
        <v>0</v>
      </c>
      <c r="H51" s="221"/>
      <c r="I51" s="32">
        <f t="shared" ref="I51:I65" si="9">D51*G51</f>
        <v>0</v>
      </c>
      <c r="L51" s="6"/>
    </row>
    <row r="52" spans="1:12" x14ac:dyDescent="0.25">
      <c r="A52" s="65" t="s">
        <v>1164</v>
      </c>
      <c r="B52" s="236">
        <v>123158</v>
      </c>
      <c r="C52" s="236">
        <v>7346</v>
      </c>
      <c r="D52" s="83">
        <f t="shared" si="5"/>
        <v>65252</v>
      </c>
      <c r="E52" s="221"/>
      <c r="F52" s="25" t="s">
        <v>141</v>
      </c>
      <c r="G52" s="237">
        <v>0</v>
      </c>
      <c r="H52" s="221"/>
      <c r="I52" s="32">
        <f t="shared" si="9"/>
        <v>0</v>
      </c>
      <c r="L52" s="6"/>
    </row>
    <row r="53" spans="1:12" x14ac:dyDescent="0.25">
      <c r="A53" s="65" t="s">
        <v>1165</v>
      </c>
      <c r="B53" s="236">
        <v>91587765</v>
      </c>
      <c r="C53" s="236">
        <v>83575860</v>
      </c>
      <c r="D53" s="83">
        <f t="shared" si="5"/>
        <v>87581813</v>
      </c>
      <c r="E53" s="221"/>
      <c r="F53" s="25" t="s">
        <v>141</v>
      </c>
      <c r="G53" s="237">
        <v>0</v>
      </c>
      <c r="H53" s="221"/>
      <c r="I53" s="32">
        <f t="shared" si="9"/>
        <v>0</v>
      </c>
      <c r="L53" s="6"/>
    </row>
    <row r="54" spans="1:12" x14ac:dyDescent="0.25">
      <c r="A54" s="65" t="s">
        <v>1166</v>
      </c>
      <c r="B54" s="236">
        <v>656028</v>
      </c>
      <c r="C54" s="236">
        <v>656028</v>
      </c>
      <c r="D54" s="83">
        <f t="shared" si="5"/>
        <v>656028</v>
      </c>
      <c r="E54" s="221"/>
      <c r="F54" s="25" t="s">
        <v>140</v>
      </c>
      <c r="G54" s="237">
        <v>0</v>
      </c>
      <c r="H54" s="221"/>
      <c r="I54" s="32">
        <f t="shared" si="9"/>
        <v>0</v>
      </c>
      <c r="L54" s="6"/>
    </row>
    <row r="55" spans="1:12" s="221" customFormat="1" x14ac:dyDescent="0.25">
      <c r="A55" s="65" t="s">
        <v>1196</v>
      </c>
      <c r="B55" s="236">
        <v>22100</v>
      </c>
      <c r="C55" s="236">
        <v>9318201</v>
      </c>
      <c r="D55" s="83">
        <f t="shared" si="5"/>
        <v>4670151</v>
      </c>
      <c r="F55" s="25" t="s">
        <v>140</v>
      </c>
      <c r="G55" s="237">
        <v>0</v>
      </c>
      <c r="I55" s="32">
        <f t="shared" si="9"/>
        <v>0</v>
      </c>
      <c r="L55" s="6"/>
    </row>
    <row r="56" spans="1:12" s="221" customFormat="1" x14ac:dyDescent="0.25">
      <c r="A56" s="65" t="s">
        <v>1197</v>
      </c>
      <c r="B56" s="236">
        <v>3123427</v>
      </c>
      <c r="C56" s="236">
        <v>2635349</v>
      </c>
      <c r="D56" s="83">
        <f t="shared" si="5"/>
        <v>2879388</v>
      </c>
      <c r="F56" s="25" t="s">
        <v>140</v>
      </c>
      <c r="G56" s="237">
        <v>0</v>
      </c>
      <c r="I56" s="32">
        <f t="shared" si="9"/>
        <v>0</v>
      </c>
      <c r="L56" s="6"/>
    </row>
    <row r="57" spans="1:12" s="221" customFormat="1" x14ac:dyDescent="0.25">
      <c r="A57" s="65" t="s">
        <v>1198</v>
      </c>
      <c r="B57" s="236">
        <v>1072340527</v>
      </c>
      <c r="C57" s="236">
        <v>1002325757</v>
      </c>
      <c r="D57" s="83">
        <f t="shared" si="5"/>
        <v>1037333142</v>
      </c>
      <c r="F57" s="25" t="s">
        <v>140</v>
      </c>
      <c r="G57" s="237">
        <v>0</v>
      </c>
      <c r="I57" s="32">
        <f t="shared" si="9"/>
        <v>0</v>
      </c>
      <c r="L57" s="6"/>
    </row>
    <row r="58" spans="1:12" s="221" customFormat="1" x14ac:dyDescent="0.25">
      <c r="A58" s="65" t="s">
        <v>1199</v>
      </c>
      <c r="B58" s="236">
        <v>0</v>
      </c>
      <c r="C58" s="236">
        <v>0</v>
      </c>
      <c r="D58" s="83">
        <f t="shared" si="5"/>
        <v>0</v>
      </c>
      <c r="F58" s="25" t="s">
        <v>141</v>
      </c>
      <c r="G58" s="237">
        <v>0</v>
      </c>
      <c r="I58" s="32">
        <f t="shared" si="9"/>
        <v>0</v>
      </c>
      <c r="L58" s="6"/>
    </row>
    <row r="59" spans="1:12" s="221" customFormat="1" x14ac:dyDescent="0.25">
      <c r="A59" s="65" t="s">
        <v>1250</v>
      </c>
      <c r="B59" s="236">
        <v>10452961</v>
      </c>
      <c r="C59" s="236">
        <v>35976077</v>
      </c>
      <c r="D59" s="83">
        <f t="shared" si="5"/>
        <v>23214519</v>
      </c>
      <c r="F59" s="25" t="s">
        <v>140</v>
      </c>
      <c r="G59" s="237">
        <v>0</v>
      </c>
      <c r="I59" s="32">
        <f t="shared" si="9"/>
        <v>0</v>
      </c>
      <c r="L59" s="6"/>
    </row>
    <row r="60" spans="1:12" s="221" customFormat="1" x14ac:dyDescent="0.25">
      <c r="A60" s="65" t="s">
        <v>1251</v>
      </c>
      <c r="B60" s="236">
        <v>2867186</v>
      </c>
      <c r="C60" s="236">
        <v>1964006</v>
      </c>
      <c r="D60" s="83">
        <f t="shared" si="5"/>
        <v>2415596</v>
      </c>
      <c r="F60" s="25" t="s">
        <v>141</v>
      </c>
      <c r="G60" s="237">
        <v>0</v>
      </c>
      <c r="I60" s="32">
        <f t="shared" si="9"/>
        <v>0</v>
      </c>
      <c r="L60" s="6"/>
    </row>
    <row r="61" spans="1:12" s="221" customFormat="1" x14ac:dyDescent="0.25">
      <c r="A61" s="65" t="s">
        <v>1252</v>
      </c>
      <c r="B61" s="236">
        <v>1620363</v>
      </c>
      <c r="C61" s="236">
        <v>2624093</v>
      </c>
      <c r="D61" s="83">
        <f t="shared" si="5"/>
        <v>2122228</v>
      </c>
      <c r="F61" s="25" t="s">
        <v>140</v>
      </c>
      <c r="G61" s="237">
        <v>0</v>
      </c>
      <c r="I61" s="32">
        <f t="shared" si="9"/>
        <v>0</v>
      </c>
      <c r="L61" s="6"/>
    </row>
    <row r="62" spans="1:12" x14ac:dyDescent="0.25">
      <c r="A62" s="65" t="s">
        <v>1167</v>
      </c>
      <c r="B62" s="236">
        <v>0</v>
      </c>
      <c r="C62" s="236">
        <v>0</v>
      </c>
      <c r="D62" s="83">
        <f t="shared" si="5"/>
        <v>0</v>
      </c>
      <c r="E62" s="221"/>
      <c r="F62" s="25" t="s">
        <v>140</v>
      </c>
      <c r="G62" s="237">
        <v>0</v>
      </c>
      <c r="H62" s="221"/>
      <c r="I62" s="32">
        <f t="shared" si="9"/>
        <v>0</v>
      </c>
      <c r="L62" s="6"/>
    </row>
    <row r="63" spans="1:12" s="221" customFormat="1" x14ac:dyDescent="0.25">
      <c r="A63" s="65" t="s">
        <v>1283</v>
      </c>
      <c r="B63" s="236">
        <v>101991131</v>
      </c>
      <c r="C63" s="236">
        <v>198221876</v>
      </c>
      <c r="D63" s="83">
        <f t="shared" si="5"/>
        <v>150106504</v>
      </c>
      <c r="F63" s="25" t="s">
        <v>140</v>
      </c>
      <c r="G63" s="237">
        <v>0</v>
      </c>
      <c r="I63" s="32">
        <f t="shared" si="9"/>
        <v>0</v>
      </c>
      <c r="L63" s="6"/>
    </row>
    <row r="64" spans="1:12" s="221" customFormat="1" x14ac:dyDescent="0.25">
      <c r="A64" s="65" t="s">
        <v>1284</v>
      </c>
      <c r="B64" s="236">
        <v>3120174</v>
      </c>
      <c r="C64" s="236">
        <v>9275700</v>
      </c>
      <c r="D64" s="83">
        <f t="shared" si="5"/>
        <v>6197937</v>
      </c>
      <c r="F64" s="25" t="s">
        <v>140</v>
      </c>
      <c r="G64" s="237">
        <v>0</v>
      </c>
      <c r="I64" s="32">
        <f t="shared" si="9"/>
        <v>0</v>
      </c>
      <c r="L64" s="6"/>
    </row>
    <row r="65" spans="1:12" s="221" customFormat="1" x14ac:dyDescent="0.25">
      <c r="A65" s="65" t="s">
        <v>1342</v>
      </c>
      <c r="B65" s="236">
        <v>0</v>
      </c>
      <c r="C65" s="236">
        <f>35827577+104749280</f>
        <v>140576857</v>
      </c>
      <c r="D65" s="83">
        <f t="shared" si="5"/>
        <v>70288429</v>
      </c>
      <c r="F65" s="25" t="s">
        <v>141</v>
      </c>
      <c r="G65" s="237">
        <v>0</v>
      </c>
      <c r="I65" s="32">
        <f t="shared" si="9"/>
        <v>0</v>
      </c>
      <c r="L65" s="6"/>
    </row>
    <row r="66" spans="1:12" x14ac:dyDescent="0.25">
      <c r="A66" s="4"/>
      <c r="B66" s="76"/>
      <c r="C66" s="76"/>
      <c r="D66" s="180"/>
      <c r="E66" s="221"/>
      <c r="F66" s="221"/>
      <c r="G66" s="221"/>
      <c r="H66" s="221"/>
      <c r="I66" s="221"/>
      <c r="K66" s="6"/>
    </row>
    <row r="67" spans="1:12" x14ac:dyDescent="0.25">
      <c r="A67" s="66" t="s">
        <v>486</v>
      </c>
      <c r="B67" s="117">
        <f>SUM(B27:B66)</f>
        <v>2538117906</v>
      </c>
      <c r="C67" s="117">
        <f>SUM(C27:C66)</f>
        <v>2350233620</v>
      </c>
      <c r="D67" s="18">
        <f t="shared" si="5"/>
        <v>2444175763</v>
      </c>
      <c r="E67" s="221"/>
      <c r="F67" s="221"/>
      <c r="G67" s="221"/>
      <c r="H67" s="221"/>
      <c r="I67" s="115">
        <f>SUM(I27:I66)</f>
        <v>0</v>
      </c>
    </row>
    <row r="68" spans="1:12" x14ac:dyDescent="0.25">
      <c r="B68" s="221"/>
      <c r="C68" s="221"/>
      <c r="D68" s="221"/>
      <c r="E68" s="221"/>
      <c r="F68" s="221"/>
      <c r="G68" s="221"/>
      <c r="H68" s="221"/>
      <c r="I68" s="221"/>
    </row>
    <row r="69" spans="1:12" x14ac:dyDescent="0.25">
      <c r="B69" s="6"/>
    </row>
    <row r="70" spans="1:12" x14ac:dyDescent="0.25">
      <c r="B70" s="6"/>
    </row>
    <row r="71" spans="1:12" x14ac:dyDescent="0.25">
      <c r="B71" s="6"/>
    </row>
    <row r="72" spans="1:12" x14ac:dyDescent="0.25">
      <c r="B72" s="6"/>
    </row>
    <row r="73" spans="1:12" x14ac:dyDescent="0.25">
      <c r="B73" s="6"/>
    </row>
    <row r="74" spans="1:12" x14ac:dyDescent="0.25">
      <c r="B74" s="6"/>
    </row>
    <row r="75" spans="1:12" x14ac:dyDescent="0.25">
      <c r="B75" s="6"/>
    </row>
    <row r="76" spans="1:12" x14ac:dyDescent="0.25">
      <c r="B76" s="6"/>
    </row>
    <row r="77" spans="1:12" x14ac:dyDescent="0.25">
      <c r="B77" s="6"/>
    </row>
    <row r="78" spans="1:12" x14ac:dyDescent="0.25">
      <c r="B78" s="6"/>
    </row>
    <row r="79" spans="1:12" x14ac:dyDescent="0.25">
      <c r="B79" s="6"/>
    </row>
    <row r="80" spans="1:12" x14ac:dyDescent="0.25">
      <c r="B80" s="6"/>
    </row>
    <row r="113" spans="2:2" x14ac:dyDescent="0.25">
      <c r="B113" s="193"/>
    </row>
    <row r="114" spans="2:2" x14ac:dyDescent="0.25">
      <c r="B114" s="194"/>
    </row>
    <row r="115" spans="2:2" x14ac:dyDescent="0.25">
      <c r="B115" s="193"/>
    </row>
    <row r="116" spans="2:2" x14ac:dyDescent="0.25">
      <c r="B116" s="194"/>
    </row>
    <row r="117" spans="2:2" x14ac:dyDescent="0.25">
      <c r="B117" s="194"/>
    </row>
    <row r="118" spans="2:2" x14ac:dyDescent="0.25">
      <c r="B118" s="194"/>
    </row>
  </sheetData>
  <customSheetViews>
    <customSheetView guid="{589A2A1C-99B3-4A22-A52E-EECEEAD60ADB}" scale="80" fitToPage="1" topLeftCell="A25">
      <selection activeCell="K47" sqref="K47"/>
      <pageMargins left="0.7" right="0.7" top="0.75" bottom="0.75" header="0.3" footer="0.3"/>
      <pageSetup scale="55" orientation="portrait" r:id="rId1"/>
      <headerFooter>
        <oddFooter>&amp;L&amp;Z&amp;F</oddFooter>
      </headerFooter>
    </customSheetView>
    <customSheetView guid="{C0F5889E-F852-4CB9-B477-759ADBCFF6D5}" scale="80" fitToPage="1" topLeftCell="A42">
      <selection activeCell="C55" sqref="C55"/>
      <pageMargins left="0.7" right="0.7" top="0.75" bottom="0.75" header="0.3" footer="0.3"/>
      <pageSetup scale="55" orientation="portrait" r:id="rId2"/>
      <headerFooter>
        <oddFooter>&amp;L&amp;Z&amp;F</oddFooter>
      </headerFooter>
    </customSheetView>
  </customSheetViews>
  <mergeCells count="11">
    <mergeCell ref="F8:G8"/>
    <mergeCell ref="F7:G7"/>
    <mergeCell ref="A1:H1"/>
    <mergeCell ref="A2:H2"/>
    <mergeCell ref="A4:H4"/>
    <mergeCell ref="A3:H3"/>
    <mergeCell ref="A18:I18"/>
    <mergeCell ref="A19:I19"/>
    <mergeCell ref="A21:I21"/>
    <mergeCell ref="F24:G24"/>
    <mergeCell ref="F25:G25"/>
  </mergeCells>
  <pageMargins left="0.7" right="0.7" top="0.75" bottom="0.75" header="0.3" footer="0.3"/>
  <pageSetup scale="55" orientation="portrait" r:id="rId3"/>
  <headerFooter>
    <oddFooter>&amp;L&amp;Z&amp;F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4"/>
  <sheetViews>
    <sheetView zoomScale="80" zoomScaleNormal="80" workbookViewId="0">
      <selection sqref="A1:H1"/>
    </sheetView>
  </sheetViews>
  <sheetFormatPr defaultRowHeight="15" x14ac:dyDescent="0.25"/>
  <cols>
    <col min="1" max="1" width="30.85546875" style="5" bestFit="1" customWidth="1"/>
    <col min="2" max="3" width="17.28515625" style="86" bestFit="1" customWidth="1"/>
    <col min="4" max="4" width="18.28515625" style="86" bestFit="1" customWidth="1"/>
    <col min="5" max="5" width="1.140625" style="86"/>
    <col min="6" max="6" width="13.140625" style="86" customWidth="1"/>
    <col min="7" max="7" width="12" style="86" bestFit="1" customWidth="1"/>
    <col min="8" max="8" width="1.7109375" style="86" customWidth="1"/>
    <col min="9" max="9" width="16.42578125" style="86" bestFit="1" customWidth="1"/>
    <col min="10" max="10" width="1.140625" style="86"/>
    <col min="11" max="11" width="1.5703125" style="86" bestFit="1" customWidth="1"/>
    <col min="12" max="12" width="5.140625" style="86" bestFit="1" customWidth="1"/>
    <col min="13" max="13" width="16.140625" style="86" bestFit="1" customWidth="1"/>
    <col min="14" max="14" width="16" style="86" bestFit="1" customWidth="1"/>
    <col min="15" max="16384" width="9.140625" style="86"/>
  </cols>
  <sheetData>
    <row r="1" spans="1:14" x14ac:dyDescent="0.25">
      <c r="A1" s="329" t="s">
        <v>0</v>
      </c>
      <c r="B1" s="329"/>
      <c r="C1" s="329"/>
      <c r="D1" s="329"/>
      <c r="E1" s="329"/>
      <c r="F1" s="329"/>
      <c r="G1" s="329"/>
      <c r="H1" s="329"/>
      <c r="I1" s="252" t="s">
        <v>706</v>
      </c>
    </row>
    <row r="2" spans="1:14" x14ac:dyDescent="0.25">
      <c r="A2" s="329" t="s">
        <v>117</v>
      </c>
      <c r="B2" s="329"/>
      <c r="C2" s="329"/>
      <c r="D2" s="329"/>
      <c r="E2" s="329"/>
      <c r="F2" s="329"/>
      <c r="G2" s="329"/>
      <c r="H2" s="329"/>
      <c r="I2" s="252" t="s">
        <v>323</v>
      </c>
    </row>
    <row r="3" spans="1:14" x14ac:dyDescent="0.25">
      <c r="A3" s="331" t="str">
        <f>+Summary!A3</f>
        <v>Utilizing Historic Cost Data for (2017) with Year-End Average Balances</v>
      </c>
      <c r="B3" s="331"/>
      <c r="C3" s="331"/>
      <c r="D3" s="331"/>
      <c r="E3" s="331"/>
      <c r="F3" s="331"/>
      <c r="G3" s="331"/>
      <c r="H3" s="331"/>
      <c r="I3" s="221"/>
    </row>
    <row r="4" spans="1:14" x14ac:dyDescent="0.25">
      <c r="A4" s="329" t="s">
        <v>1086</v>
      </c>
      <c r="B4" s="329"/>
      <c r="C4" s="329"/>
      <c r="D4" s="329"/>
      <c r="E4" s="329"/>
      <c r="F4" s="329"/>
      <c r="G4" s="329"/>
      <c r="H4" s="329"/>
      <c r="I4" s="76"/>
    </row>
    <row r="5" spans="1:14" x14ac:dyDescent="0.25">
      <c r="B5" s="221"/>
      <c r="C5" s="221"/>
      <c r="D5" s="221"/>
      <c r="E5" s="221"/>
      <c r="F5" s="221"/>
      <c r="G5" s="221"/>
      <c r="H5" s="221"/>
      <c r="I5" s="221"/>
    </row>
    <row r="6" spans="1:14" x14ac:dyDescent="0.25">
      <c r="B6" s="290" t="s">
        <v>131</v>
      </c>
      <c r="C6" s="290" t="s">
        <v>131</v>
      </c>
      <c r="D6" s="11"/>
      <c r="E6" s="11"/>
      <c r="F6" s="11"/>
      <c r="G6" s="11"/>
      <c r="H6" s="11"/>
      <c r="I6" s="11"/>
    </row>
    <row r="7" spans="1:14" x14ac:dyDescent="0.25">
      <c r="B7" s="302">
        <v>42735</v>
      </c>
      <c r="C7" s="302">
        <v>43100</v>
      </c>
      <c r="D7" s="290" t="s">
        <v>197</v>
      </c>
      <c r="E7" s="11"/>
      <c r="F7" s="329" t="s">
        <v>129</v>
      </c>
      <c r="G7" s="329"/>
      <c r="H7" s="11"/>
      <c r="I7" s="11"/>
    </row>
    <row r="8" spans="1:14" x14ac:dyDescent="0.25">
      <c r="B8" s="294" t="s">
        <v>132</v>
      </c>
      <c r="C8" s="294" t="s">
        <v>132</v>
      </c>
      <c r="D8" s="294" t="s">
        <v>196</v>
      </c>
      <c r="E8" s="11"/>
      <c r="F8" s="333" t="s">
        <v>130</v>
      </c>
      <c r="G8" s="333"/>
      <c r="H8" s="11"/>
      <c r="I8" s="294" t="s">
        <v>128</v>
      </c>
    </row>
    <row r="9" spans="1:14" x14ac:dyDescent="0.25">
      <c r="B9" s="76"/>
      <c r="C9" s="76"/>
      <c r="D9" s="221"/>
      <c r="E9" s="221"/>
      <c r="F9" s="221"/>
      <c r="G9" s="221"/>
      <c r="H9" s="221"/>
      <c r="I9" s="221"/>
    </row>
    <row r="10" spans="1:14" x14ac:dyDescent="0.25">
      <c r="A10" s="65" t="s">
        <v>836</v>
      </c>
      <c r="B10" s="7">
        <f>-'FERC Form 1 Inputs'!J21</f>
        <v>-93529465</v>
      </c>
      <c r="C10" s="7">
        <f>-'FERC Form 1 Inputs'!N21</f>
        <v>-99736918</v>
      </c>
      <c r="D10" s="83">
        <f>ROUND((C10+B10)/2,0)</f>
        <v>-96633192</v>
      </c>
      <c r="E10" s="221"/>
      <c r="F10" s="221" t="s">
        <v>75</v>
      </c>
      <c r="G10" s="13">
        <f>'Rate Base'!L56</f>
        <v>9.2898755005257905E-2</v>
      </c>
      <c r="H10" s="221"/>
      <c r="I10" s="32">
        <f>D10*G10</f>
        <v>-8977103.2289840486</v>
      </c>
      <c r="M10" s="6"/>
    </row>
    <row r="11" spans="1:14" x14ac:dyDescent="0.25">
      <c r="A11" s="4"/>
      <c r="B11" s="76"/>
      <c r="C11" s="76"/>
      <c r="D11" s="180"/>
      <c r="E11" s="221"/>
      <c r="F11" s="221"/>
      <c r="G11" s="221"/>
      <c r="H11" s="221"/>
      <c r="I11" s="221"/>
    </row>
    <row r="12" spans="1:14" x14ac:dyDescent="0.25">
      <c r="A12" s="66" t="s">
        <v>1085</v>
      </c>
      <c r="B12" s="117">
        <f>SUM(B10:B11)</f>
        <v>-93529465</v>
      </c>
      <c r="C12" s="117">
        <f>SUM(C10:C11)</f>
        <v>-99736918</v>
      </c>
      <c r="D12" s="18">
        <f>ROUND((C12+B12)/2,0)</f>
        <v>-96633192</v>
      </c>
      <c r="E12" s="11"/>
      <c r="F12" s="11"/>
      <c r="G12" s="11"/>
      <c r="H12" s="11"/>
      <c r="I12" s="115">
        <f>SUM(I10:I10)</f>
        <v>-8977103.2289840486</v>
      </c>
      <c r="K12" s="83"/>
      <c r="M12" s="40"/>
      <c r="N12" s="40"/>
    </row>
    <row r="13" spans="1:14" x14ac:dyDescent="0.25">
      <c r="A13" s="66"/>
      <c r="B13" s="188"/>
      <c r="C13" s="188"/>
      <c r="D13" s="18"/>
      <c r="E13" s="11"/>
      <c r="F13" s="11"/>
      <c r="G13" s="11"/>
      <c r="H13" s="11"/>
      <c r="I13" s="20"/>
      <c r="K13" s="83"/>
      <c r="M13" s="40"/>
      <c r="N13" s="40"/>
    </row>
    <row r="14" spans="1:14" x14ac:dyDescent="0.25">
      <c r="A14" s="66"/>
      <c r="B14" s="188"/>
      <c r="C14" s="188"/>
      <c r="D14" s="18"/>
      <c r="E14" s="11"/>
      <c r="F14" s="11"/>
      <c r="G14" s="11"/>
      <c r="H14" s="11"/>
      <c r="I14" s="20"/>
      <c r="K14" s="83"/>
      <c r="M14" s="40"/>
      <c r="N14" s="40"/>
    </row>
    <row r="15" spans="1:14" x14ac:dyDescent="0.25">
      <c r="A15" s="66"/>
      <c r="B15" s="188"/>
      <c r="C15" s="188"/>
      <c r="D15" s="18"/>
      <c r="E15" s="11"/>
      <c r="F15" s="11"/>
      <c r="G15" s="11"/>
      <c r="H15" s="11"/>
      <c r="I15" s="20"/>
      <c r="K15" s="83"/>
      <c r="M15" s="40"/>
      <c r="N15" s="40"/>
    </row>
    <row r="16" spans="1:14" x14ac:dyDescent="0.25">
      <c r="A16" s="66"/>
      <c r="B16" s="188"/>
      <c r="C16" s="188"/>
      <c r="D16" s="18"/>
      <c r="E16" s="11"/>
      <c r="F16" s="11"/>
      <c r="G16" s="11"/>
      <c r="H16" s="11"/>
      <c r="I16" s="20"/>
      <c r="K16" s="83"/>
      <c r="M16" s="40"/>
      <c r="N16" s="40"/>
    </row>
    <row r="17" spans="1:14" x14ac:dyDescent="0.25">
      <c r="A17" s="66"/>
      <c r="B17" s="188"/>
      <c r="C17" s="188"/>
      <c r="D17" s="18"/>
      <c r="E17" s="11"/>
      <c r="F17" s="11"/>
      <c r="G17" s="11"/>
      <c r="H17" s="11"/>
      <c r="I17" s="20"/>
      <c r="K17" s="83"/>
      <c r="M17" s="40"/>
      <c r="N17" s="40"/>
    </row>
    <row r="18" spans="1:14" x14ac:dyDescent="0.25">
      <c r="A18" s="329" t="s">
        <v>0</v>
      </c>
      <c r="B18" s="329"/>
      <c r="C18" s="329"/>
      <c r="D18" s="329"/>
      <c r="E18" s="329"/>
      <c r="F18" s="329"/>
      <c r="G18" s="329"/>
      <c r="H18" s="329"/>
      <c r="I18" s="290"/>
    </row>
    <row r="19" spans="1:14" x14ac:dyDescent="0.25">
      <c r="A19" s="329" t="s">
        <v>117</v>
      </c>
      <c r="B19" s="329"/>
      <c r="C19" s="329"/>
      <c r="D19" s="329"/>
      <c r="E19" s="329"/>
      <c r="F19" s="329"/>
      <c r="G19" s="329"/>
      <c r="H19" s="329"/>
      <c r="I19" s="290"/>
    </row>
    <row r="20" spans="1:14" x14ac:dyDescent="0.25">
      <c r="A20" s="331" t="s">
        <v>1337</v>
      </c>
      <c r="B20" s="331"/>
      <c r="C20" s="331"/>
      <c r="D20" s="331"/>
      <c r="E20" s="331"/>
      <c r="F20" s="331"/>
      <c r="G20" s="331"/>
      <c r="H20" s="331"/>
      <c r="I20" s="221"/>
    </row>
    <row r="21" spans="1:14" x14ac:dyDescent="0.25">
      <c r="A21" s="329" t="s">
        <v>487</v>
      </c>
      <c r="B21" s="329"/>
      <c r="C21" s="329"/>
      <c r="D21" s="329"/>
      <c r="E21" s="329"/>
      <c r="F21" s="329"/>
      <c r="G21" s="329"/>
      <c r="H21" s="329"/>
      <c r="I21" s="76"/>
    </row>
    <row r="22" spans="1:14" x14ac:dyDescent="0.25">
      <c r="B22" s="221"/>
      <c r="C22" s="221"/>
      <c r="D22" s="221"/>
      <c r="E22" s="221"/>
      <c r="F22" s="221"/>
      <c r="G22" s="221"/>
      <c r="H22" s="221"/>
      <c r="I22" s="221"/>
    </row>
    <row r="23" spans="1:14" x14ac:dyDescent="0.25">
      <c r="B23" s="290" t="s">
        <v>131</v>
      </c>
      <c r="C23" s="290" t="s">
        <v>131</v>
      </c>
      <c r="D23" s="11"/>
      <c r="E23" s="11"/>
      <c r="F23" s="11"/>
      <c r="G23" s="11"/>
      <c r="H23" s="11"/>
      <c r="I23" s="11"/>
    </row>
    <row r="24" spans="1:14" x14ac:dyDescent="0.25">
      <c r="B24" s="303">
        <f>+B7</f>
        <v>42735</v>
      </c>
      <c r="C24" s="303">
        <f>+C7</f>
        <v>43100</v>
      </c>
      <c r="D24" s="290" t="s">
        <v>197</v>
      </c>
      <c r="E24" s="11"/>
      <c r="F24" s="329" t="s">
        <v>129</v>
      </c>
      <c r="G24" s="329"/>
      <c r="H24" s="11"/>
      <c r="I24" s="11"/>
    </row>
    <row r="25" spans="1:14" x14ac:dyDescent="0.25">
      <c r="B25" s="294" t="s">
        <v>132</v>
      </c>
      <c r="C25" s="294" t="s">
        <v>132</v>
      </c>
      <c r="D25" s="294" t="s">
        <v>196</v>
      </c>
      <c r="E25" s="11"/>
      <c r="F25" s="333" t="s">
        <v>130</v>
      </c>
      <c r="G25" s="333"/>
      <c r="H25" s="11"/>
      <c r="I25" s="294" t="s">
        <v>128</v>
      </c>
    </row>
    <row r="26" spans="1:14" x14ac:dyDescent="0.25">
      <c r="B26" s="76"/>
      <c r="C26" s="76"/>
      <c r="D26" s="221"/>
      <c r="E26" s="221"/>
      <c r="F26" s="221"/>
      <c r="G26" s="221"/>
      <c r="H26" s="221"/>
      <c r="I26" s="221"/>
    </row>
    <row r="27" spans="1:14" x14ac:dyDescent="0.25">
      <c r="A27" s="65" t="s">
        <v>212</v>
      </c>
      <c r="B27" s="236">
        <v>-511932609</v>
      </c>
      <c r="C27" s="236">
        <v>-489221894</v>
      </c>
      <c r="D27" s="83">
        <f>ROUND((C27+B27)/2,0)</f>
        <v>-500577252</v>
      </c>
      <c r="E27" s="221"/>
      <c r="F27" s="221" t="s">
        <v>140</v>
      </c>
      <c r="G27" s="237">
        <v>0</v>
      </c>
      <c r="H27" s="221"/>
      <c r="I27" s="32">
        <f>D27*G27</f>
        <v>0</v>
      </c>
      <c r="M27" s="6"/>
    </row>
    <row r="28" spans="1:14" x14ac:dyDescent="0.25">
      <c r="A28" s="65" t="s">
        <v>121</v>
      </c>
      <c r="B28" s="236">
        <v>-2685200</v>
      </c>
      <c r="C28" s="236">
        <v>-1795100</v>
      </c>
      <c r="D28" s="83">
        <f>ROUND((C28+B28)/2,0)</f>
        <v>-2240150</v>
      </c>
      <c r="E28" s="221"/>
      <c r="F28" s="221" t="s">
        <v>108</v>
      </c>
      <c r="G28" s="13">
        <f>'Rate Base'!$L$42</f>
        <v>9.65808516409917E-2</v>
      </c>
      <c r="H28" s="221"/>
      <c r="I28" s="32">
        <f>D28*G28</f>
        <v>-216355.59480356757</v>
      </c>
      <c r="M28" s="6"/>
    </row>
    <row r="29" spans="1:14" x14ac:dyDescent="0.25">
      <c r="A29" s="4"/>
      <c r="B29" s="76"/>
      <c r="C29" s="76"/>
      <c r="D29" s="180"/>
      <c r="E29" s="221"/>
      <c r="F29" s="221"/>
      <c r="G29" s="221"/>
      <c r="H29" s="221"/>
      <c r="I29" s="221"/>
    </row>
    <row r="30" spans="1:14" x14ac:dyDescent="0.25">
      <c r="A30" s="66" t="s">
        <v>488</v>
      </c>
      <c r="B30" s="117">
        <f>SUM(B27:B29)</f>
        <v>-514617809</v>
      </c>
      <c r="C30" s="117">
        <f>SUM(C27:C29)</f>
        <v>-491016994</v>
      </c>
      <c r="D30" s="18">
        <f>ROUND((C30+B30)/2,0)</f>
        <v>-502817402</v>
      </c>
      <c r="E30" s="11"/>
      <c r="F30" s="11"/>
      <c r="G30" s="11"/>
      <c r="H30" s="11"/>
      <c r="I30" s="115">
        <f>SUM(I27:I28)</f>
        <v>-216355.59480356757</v>
      </c>
      <c r="K30" s="83"/>
      <c r="M30" s="40"/>
      <c r="N30" s="40"/>
    </row>
    <row r="31" spans="1:14" x14ac:dyDescent="0.25">
      <c r="B31" s="221"/>
      <c r="C31" s="221"/>
      <c r="D31" s="221"/>
      <c r="E31" s="221"/>
      <c r="F31" s="221"/>
      <c r="G31" s="221"/>
      <c r="H31" s="221"/>
      <c r="I31" s="221"/>
      <c r="M31" s="40"/>
      <c r="N31" s="40"/>
    </row>
    <row r="32" spans="1:14" x14ac:dyDescent="0.25">
      <c r="A32" s="329" t="s">
        <v>0</v>
      </c>
      <c r="B32" s="329"/>
      <c r="C32" s="329"/>
      <c r="D32" s="329"/>
      <c r="E32" s="329"/>
      <c r="F32" s="329"/>
      <c r="G32" s="329"/>
      <c r="H32" s="329"/>
      <c r="I32" s="329"/>
    </row>
    <row r="33" spans="1:14" x14ac:dyDescent="0.25">
      <c r="A33" s="329" t="s">
        <v>117</v>
      </c>
      <c r="B33" s="329"/>
      <c r="C33" s="329"/>
      <c r="D33" s="329"/>
      <c r="E33" s="329"/>
      <c r="F33" s="329"/>
      <c r="G33" s="329"/>
      <c r="H33" s="329"/>
      <c r="I33" s="329"/>
    </row>
    <row r="34" spans="1:14" x14ac:dyDescent="0.25">
      <c r="A34" s="11"/>
      <c r="B34" s="11"/>
      <c r="C34" s="11"/>
      <c r="D34" s="11"/>
      <c r="E34" s="11"/>
      <c r="F34" s="290"/>
      <c r="G34" s="290"/>
      <c r="H34" s="18"/>
      <c r="I34" s="11"/>
    </row>
    <row r="35" spans="1:14" x14ac:dyDescent="0.25">
      <c r="A35" s="329" t="s">
        <v>969</v>
      </c>
      <c r="B35" s="329"/>
      <c r="C35" s="329"/>
      <c r="D35" s="329"/>
      <c r="E35" s="329"/>
      <c r="F35" s="329"/>
      <c r="G35" s="329"/>
      <c r="H35" s="329"/>
      <c r="I35" s="329"/>
    </row>
    <row r="36" spans="1:14" x14ac:dyDescent="0.25">
      <c r="B36" s="221"/>
      <c r="C36" s="221"/>
      <c r="D36" s="221"/>
      <c r="E36" s="221"/>
      <c r="F36" s="221"/>
      <c r="G36" s="221"/>
      <c r="H36" s="221"/>
      <c r="I36" s="221"/>
    </row>
    <row r="37" spans="1:14" x14ac:dyDescent="0.25">
      <c r="B37" s="290" t="s">
        <v>131</v>
      </c>
      <c r="C37" s="290" t="s">
        <v>131</v>
      </c>
      <c r="D37" s="11"/>
      <c r="E37" s="11"/>
      <c r="F37" s="11"/>
      <c r="G37" s="11"/>
      <c r="H37" s="11"/>
      <c r="I37" s="11"/>
    </row>
    <row r="38" spans="1:14" x14ac:dyDescent="0.25">
      <c r="B38" s="303">
        <f>+B7</f>
        <v>42735</v>
      </c>
      <c r="C38" s="303">
        <f>+C7</f>
        <v>43100</v>
      </c>
      <c r="D38" s="290" t="s">
        <v>197</v>
      </c>
      <c r="E38" s="11"/>
      <c r="F38" s="329" t="s">
        <v>129</v>
      </c>
      <c r="G38" s="329"/>
      <c r="H38" s="11"/>
      <c r="I38" s="11"/>
    </row>
    <row r="39" spans="1:14" x14ac:dyDescent="0.25">
      <c r="B39" s="294" t="s">
        <v>132</v>
      </c>
      <c r="C39" s="294" t="s">
        <v>132</v>
      </c>
      <c r="D39" s="294" t="s">
        <v>196</v>
      </c>
      <c r="E39" s="11"/>
      <c r="F39" s="333" t="s">
        <v>130</v>
      </c>
      <c r="G39" s="333"/>
      <c r="H39" s="11"/>
      <c r="I39" s="294" t="s">
        <v>128</v>
      </c>
    </row>
    <row r="40" spans="1:14" x14ac:dyDescent="0.25">
      <c r="B40" s="76"/>
      <c r="C40" s="76"/>
      <c r="D40" s="221"/>
      <c r="E40" s="221"/>
      <c r="F40" s="221"/>
      <c r="G40" s="221"/>
      <c r="H40" s="221"/>
      <c r="I40" s="221"/>
    </row>
    <row r="41" spans="1:14" x14ac:dyDescent="0.25">
      <c r="A41" s="65" t="s">
        <v>213</v>
      </c>
      <c r="B41" s="236">
        <v>-64050728</v>
      </c>
      <c r="C41" s="236">
        <v>-55884824</v>
      </c>
      <c r="D41" s="83">
        <f t="shared" ref="D41:D46" si="0">ROUND((C41+B41)/2,0)</f>
        <v>-59967776</v>
      </c>
      <c r="E41" s="221"/>
      <c r="F41" s="221" t="s">
        <v>74</v>
      </c>
      <c r="G41" s="13">
        <f>'Allocation Factors'!$G$21</f>
        <v>3.54809369866841E-2</v>
      </c>
      <c r="H41" s="221"/>
      <c r="I41" s="32">
        <f>D41*G41</f>
        <v>-2127712.881487587</v>
      </c>
      <c r="K41" s="6"/>
      <c r="L41" s="6"/>
      <c r="M41" s="6"/>
      <c r="N41" s="6"/>
    </row>
    <row r="42" spans="1:14" x14ac:dyDescent="0.25">
      <c r="A42" s="65" t="s">
        <v>214</v>
      </c>
      <c r="B42" s="236">
        <v>-18574186</v>
      </c>
      <c r="C42" s="236">
        <v>-21724021</v>
      </c>
      <c r="D42" s="83">
        <f t="shared" si="0"/>
        <v>-20149104</v>
      </c>
      <c r="E42" s="221"/>
      <c r="F42" s="221" t="s">
        <v>74</v>
      </c>
      <c r="G42" s="13">
        <f>'Allocation Factors'!$G$21</f>
        <v>3.54809369866841E-2</v>
      </c>
      <c r="H42" s="221"/>
      <c r="I42" s="32">
        <f>D42*G42</f>
        <v>-714909.08936214459</v>
      </c>
      <c r="K42" s="6"/>
      <c r="L42" s="6"/>
      <c r="M42" s="6"/>
      <c r="N42" s="6"/>
    </row>
    <row r="43" spans="1:14" x14ac:dyDescent="0.25">
      <c r="A43" s="65" t="s">
        <v>992</v>
      </c>
      <c r="B43" s="236">
        <v>0</v>
      </c>
      <c r="C43" s="236">
        <v>0</v>
      </c>
      <c r="D43" s="83">
        <f t="shared" si="0"/>
        <v>0</v>
      </c>
      <c r="E43" s="221"/>
      <c r="F43" s="221" t="s">
        <v>74</v>
      </c>
      <c r="G43" s="13">
        <f>'Allocation Factors'!$G$21</f>
        <v>3.54809369866841E-2</v>
      </c>
      <c r="H43" s="221"/>
      <c r="I43" s="32">
        <f>D43*G43</f>
        <v>0</v>
      </c>
      <c r="K43" s="6"/>
      <c r="L43" s="6"/>
      <c r="M43" s="6"/>
      <c r="N43" s="6"/>
    </row>
    <row r="44" spans="1:14" x14ac:dyDescent="0.25">
      <c r="A44" s="63" t="s">
        <v>1162</v>
      </c>
      <c r="B44" s="236">
        <v>-12475051</v>
      </c>
      <c r="C44" s="236">
        <v>-11904706</v>
      </c>
      <c r="D44" s="83">
        <f t="shared" si="0"/>
        <v>-12189879</v>
      </c>
      <c r="E44" s="221"/>
      <c r="F44" s="221" t="s">
        <v>74</v>
      </c>
      <c r="G44" s="13">
        <f>'Allocation Factors'!$G$21</f>
        <v>3.54809369866841E-2</v>
      </c>
      <c r="H44" s="221"/>
      <c r="I44" s="32">
        <f>D44*G44</f>
        <v>-432508.32867430378</v>
      </c>
      <c r="M44" s="6"/>
    </row>
    <row r="45" spans="1:14" x14ac:dyDescent="0.25">
      <c r="A45" s="63" t="s">
        <v>1169</v>
      </c>
      <c r="B45" s="236">
        <v>0</v>
      </c>
      <c r="C45" s="236">
        <v>0</v>
      </c>
      <c r="D45" s="2">
        <f t="shared" si="0"/>
        <v>0</v>
      </c>
      <c r="E45" s="221"/>
      <c r="F45" s="221" t="s">
        <v>74</v>
      </c>
      <c r="G45" s="13">
        <f>'Allocation Factors'!$G$21</f>
        <v>3.54809369866841E-2</v>
      </c>
      <c r="H45" s="221"/>
      <c r="I45" s="32">
        <f>D45*G45</f>
        <v>0</v>
      </c>
      <c r="M45" s="6"/>
    </row>
    <row r="46" spans="1:14" x14ac:dyDescent="0.25">
      <c r="A46" s="66" t="s">
        <v>489</v>
      </c>
      <c r="B46" s="117">
        <f>SUM(B41:B45)</f>
        <v>-95099965</v>
      </c>
      <c r="C46" s="117">
        <f>SUM(C41:C45)</f>
        <v>-89513551</v>
      </c>
      <c r="D46" s="18">
        <f t="shared" si="0"/>
        <v>-92306758</v>
      </c>
      <c r="E46" s="221"/>
      <c r="F46" s="221"/>
      <c r="G46" s="221"/>
      <c r="H46" s="221"/>
      <c r="I46" s="115">
        <f>SUM(I41:I45)</f>
        <v>-3275130.2995240353</v>
      </c>
    </row>
    <row r="47" spans="1:14" x14ac:dyDescent="0.25">
      <c r="B47" s="221"/>
      <c r="C47" s="221"/>
      <c r="D47" s="221"/>
      <c r="E47" s="221"/>
      <c r="F47" s="221"/>
      <c r="G47" s="221"/>
      <c r="H47" s="221"/>
      <c r="I47" s="221"/>
    </row>
    <row r="48" spans="1:14" x14ac:dyDescent="0.25">
      <c r="B48" s="6"/>
      <c r="C48" s="6"/>
      <c r="D48" s="221"/>
      <c r="E48" s="221"/>
      <c r="F48" s="221"/>
      <c r="G48" s="221"/>
      <c r="H48" s="221"/>
      <c r="I48" s="221"/>
    </row>
    <row r="49" spans="2:13" x14ac:dyDescent="0.25">
      <c r="B49" s="6"/>
      <c r="C49" s="6"/>
    </row>
    <row r="50" spans="2:13" x14ac:dyDescent="0.25">
      <c r="M50" s="33"/>
    </row>
    <row r="51" spans="2:13" x14ac:dyDescent="0.25">
      <c r="B51" s="33"/>
      <c r="C51" s="33"/>
    </row>
    <row r="52" spans="2:13" x14ac:dyDescent="0.25">
      <c r="M52" s="33"/>
    </row>
    <row r="109" spans="2:2" x14ac:dyDescent="0.25">
      <c r="B109" s="193"/>
    </row>
    <row r="110" spans="2:2" x14ac:dyDescent="0.25">
      <c r="B110" s="194"/>
    </row>
    <row r="111" spans="2:2" x14ac:dyDescent="0.25">
      <c r="B111" s="193"/>
    </row>
    <row r="112" spans="2:2" x14ac:dyDescent="0.25">
      <c r="B112" s="194"/>
    </row>
    <row r="113" spans="2:2" x14ac:dyDescent="0.25">
      <c r="B113" s="194"/>
    </row>
    <row r="114" spans="2:2" x14ac:dyDescent="0.25">
      <c r="B114" s="194"/>
    </row>
  </sheetData>
  <customSheetViews>
    <customSheetView guid="{589A2A1C-99B3-4A22-A52E-EECEEAD60ADB}" scale="80" fitToPage="1">
      <selection activeCell="C45" sqref="C45"/>
      <pageMargins left="0.7" right="0.7" top="0.75" bottom="0.75" header="0.3" footer="0.3"/>
      <pageSetup scale="72" orientation="portrait" r:id="rId1"/>
      <headerFooter>
        <oddFooter>&amp;L&amp;Z&amp;F</oddFooter>
      </headerFooter>
    </customSheetView>
    <customSheetView guid="{C0F5889E-F852-4CB9-B477-759ADBCFF6D5}" scale="80" fitToPage="1">
      <selection activeCell="C12" sqref="C12"/>
      <pageMargins left="0.7" right="0.7" top="0.75" bottom="0.75" header="0.3" footer="0.3"/>
      <pageSetup scale="72" orientation="portrait" r:id="rId2"/>
      <headerFooter>
        <oddFooter>&amp;L&amp;Z&amp;F</oddFooter>
      </headerFooter>
    </customSheetView>
  </customSheetViews>
  <mergeCells count="17">
    <mergeCell ref="F8:G8"/>
    <mergeCell ref="A1:H1"/>
    <mergeCell ref="A2:H2"/>
    <mergeCell ref="A3:H3"/>
    <mergeCell ref="A4:H4"/>
    <mergeCell ref="F7:G7"/>
    <mergeCell ref="F39:G39"/>
    <mergeCell ref="A32:I32"/>
    <mergeCell ref="A33:I33"/>
    <mergeCell ref="A35:I35"/>
    <mergeCell ref="F38:G38"/>
    <mergeCell ref="F25:G25"/>
    <mergeCell ref="F24:G24"/>
    <mergeCell ref="A18:H18"/>
    <mergeCell ref="A19:H19"/>
    <mergeCell ref="A21:H21"/>
    <mergeCell ref="A20:H20"/>
  </mergeCells>
  <pageMargins left="0.7" right="0.7" top="0.75" bottom="0.75" header="0.3" footer="0.3"/>
  <pageSetup scale="72" orientation="portrait" r:id="rId3"/>
  <headerFooter>
    <oddFooter>&amp;L&amp;Z&amp;F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
  <sheetViews>
    <sheetView zoomScale="80" zoomScaleNormal="80" workbookViewId="0">
      <selection sqref="A1:H1"/>
    </sheetView>
  </sheetViews>
  <sheetFormatPr defaultRowHeight="15" x14ac:dyDescent="0.25"/>
  <cols>
    <col min="1" max="1" width="42.42578125" style="5" bestFit="1" customWidth="1"/>
    <col min="2" max="4" width="17" style="86" bestFit="1" customWidth="1"/>
    <col min="5" max="5" width="0.85546875" style="86" customWidth="1"/>
    <col min="6" max="6" width="12.85546875" style="86" customWidth="1"/>
    <col min="7" max="7" width="9.28515625" style="86" bestFit="1" customWidth="1"/>
    <col min="8" max="8" width="1.7109375" style="86" customWidth="1"/>
    <col min="9" max="9" width="16.42578125" style="86" bestFit="1" customWidth="1"/>
    <col min="10" max="10" width="9.140625" style="86"/>
    <col min="11" max="11" width="15.140625" style="86" bestFit="1" customWidth="1"/>
    <col min="12" max="12" width="12.28515625" style="86" bestFit="1" customWidth="1"/>
    <col min="13" max="16384" width="9.140625" style="86"/>
  </cols>
  <sheetData>
    <row r="1" spans="1:12" x14ac:dyDescent="0.25">
      <c r="A1" s="329" t="s">
        <v>0</v>
      </c>
      <c r="B1" s="329"/>
      <c r="C1" s="329"/>
      <c r="D1" s="329"/>
      <c r="E1" s="329"/>
      <c r="F1" s="329"/>
      <c r="G1" s="329"/>
      <c r="H1" s="329"/>
      <c r="I1" s="189" t="s">
        <v>706</v>
      </c>
    </row>
    <row r="2" spans="1:12" x14ac:dyDescent="0.25">
      <c r="A2" s="329" t="s">
        <v>117</v>
      </c>
      <c r="B2" s="329"/>
      <c r="C2" s="329"/>
      <c r="D2" s="329"/>
      <c r="E2" s="329"/>
      <c r="F2" s="329"/>
      <c r="G2" s="329"/>
      <c r="H2" s="329"/>
      <c r="I2" s="189" t="s">
        <v>263</v>
      </c>
    </row>
    <row r="3" spans="1:12" x14ac:dyDescent="0.25">
      <c r="A3" s="331" t="str">
        <f>+Summary!A3</f>
        <v>Utilizing Historic Cost Data for (2017) with Year-End Average Balances</v>
      </c>
      <c r="B3" s="331"/>
      <c r="C3" s="331"/>
      <c r="D3" s="331"/>
      <c r="E3" s="331"/>
      <c r="F3" s="331"/>
      <c r="G3" s="331"/>
      <c r="H3" s="331"/>
    </row>
    <row r="4" spans="1:12" x14ac:dyDescent="0.25">
      <c r="A4" s="329" t="s">
        <v>1045</v>
      </c>
      <c r="B4" s="329"/>
      <c r="C4" s="329"/>
      <c r="D4" s="329"/>
      <c r="E4" s="329"/>
      <c r="F4" s="329"/>
      <c r="G4" s="329"/>
      <c r="H4" s="329"/>
      <c r="I4" s="76"/>
    </row>
    <row r="5" spans="1:12" x14ac:dyDescent="0.25">
      <c r="B5" s="221"/>
      <c r="C5" s="221"/>
      <c r="D5" s="221"/>
      <c r="E5" s="221"/>
      <c r="F5" s="221"/>
      <c r="G5" s="221"/>
      <c r="H5" s="221"/>
    </row>
    <row r="6" spans="1:12" x14ac:dyDescent="0.25">
      <c r="B6" s="290" t="s">
        <v>131</v>
      </c>
      <c r="C6" s="290" t="s">
        <v>131</v>
      </c>
      <c r="D6" s="11"/>
      <c r="E6" s="11"/>
      <c r="F6" s="11"/>
      <c r="G6" s="11"/>
      <c r="H6" s="11"/>
      <c r="I6" s="11"/>
    </row>
    <row r="7" spans="1:12" x14ac:dyDescent="0.25">
      <c r="B7" s="302">
        <v>42735</v>
      </c>
      <c r="C7" s="302">
        <v>43100</v>
      </c>
      <c r="D7" s="290" t="s">
        <v>195</v>
      </c>
      <c r="E7" s="11"/>
      <c r="F7" s="329" t="s">
        <v>129</v>
      </c>
      <c r="G7" s="329"/>
      <c r="H7" s="11"/>
      <c r="I7" s="11"/>
    </row>
    <row r="8" spans="1:12" x14ac:dyDescent="0.25">
      <c r="B8" s="294" t="s">
        <v>132</v>
      </c>
      <c r="C8" s="294" t="s">
        <v>132</v>
      </c>
      <c r="D8" s="294" t="s">
        <v>196</v>
      </c>
      <c r="E8" s="11"/>
      <c r="F8" s="333" t="s">
        <v>130</v>
      </c>
      <c r="G8" s="333"/>
      <c r="H8" s="11"/>
      <c r="I8" s="191" t="s">
        <v>128</v>
      </c>
    </row>
    <row r="9" spans="1:12" x14ac:dyDescent="0.25">
      <c r="B9" s="76"/>
      <c r="C9" s="76"/>
      <c r="D9" s="221"/>
      <c r="E9" s="221"/>
      <c r="F9" s="221"/>
      <c r="G9" s="221"/>
      <c r="H9" s="221"/>
    </row>
    <row r="10" spans="1:12" x14ac:dyDescent="0.25">
      <c r="A10" s="65" t="s">
        <v>1200</v>
      </c>
      <c r="B10" s="236">
        <v>0</v>
      </c>
      <c r="C10" s="236">
        <v>0</v>
      </c>
      <c r="D10" s="83">
        <f>ROUND((C10+B10)/2,0)</f>
        <v>0</v>
      </c>
      <c r="E10" s="221"/>
      <c r="F10" s="221" t="s">
        <v>74</v>
      </c>
      <c r="G10" s="13">
        <f>'Allocation Factors'!$G$21</f>
        <v>3.54809369866841E-2</v>
      </c>
      <c r="H10" s="221"/>
      <c r="I10" s="32">
        <f>D10*G10</f>
        <v>0</v>
      </c>
      <c r="K10" s="6"/>
      <c r="L10" s="6"/>
    </row>
    <row r="11" spans="1:12" s="221" customFormat="1" x14ac:dyDescent="0.25">
      <c r="A11" s="65" t="s">
        <v>123</v>
      </c>
      <c r="B11" s="236">
        <v>0</v>
      </c>
      <c r="C11" s="236">
        <v>0</v>
      </c>
      <c r="D11" s="83">
        <f t="shared" ref="D11:D12" si="0">ROUND((C11+B11)/2,0)</f>
        <v>0</v>
      </c>
      <c r="F11" s="221" t="s">
        <v>74</v>
      </c>
      <c r="G11" s="13">
        <f>'Allocation Factors'!$G$21</f>
        <v>3.54809369866841E-2</v>
      </c>
      <c r="I11" s="32">
        <f t="shared" ref="I11:I12" si="1">D11*G11</f>
        <v>0</v>
      </c>
      <c r="K11" s="6"/>
      <c r="L11" s="6"/>
    </row>
    <row r="12" spans="1:12" s="221" customFormat="1" x14ac:dyDescent="0.25">
      <c r="A12" s="65" t="s">
        <v>431</v>
      </c>
      <c r="B12" s="236">
        <v>-570166666</v>
      </c>
      <c r="C12" s="236">
        <v>-609161169</v>
      </c>
      <c r="D12" s="83">
        <f t="shared" si="0"/>
        <v>-589663918</v>
      </c>
      <c r="F12" s="221" t="s">
        <v>140</v>
      </c>
      <c r="G12" s="237">
        <v>0</v>
      </c>
      <c r="I12" s="32">
        <f t="shared" si="1"/>
        <v>0</v>
      </c>
      <c r="K12" s="6"/>
      <c r="L12" s="6"/>
    </row>
    <row r="13" spans="1:12" x14ac:dyDescent="0.25">
      <c r="A13" s="63"/>
      <c r="B13" s="76"/>
      <c r="C13" s="76"/>
      <c r="D13" s="221"/>
      <c r="E13" s="221"/>
      <c r="F13" s="221"/>
      <c r="G13" s="13"/>
      <c r="H13" s="221"/>
    </row>
    <row r="14" spans="1:12" x14ac:dyDescent="0.25">
      <c r="A14" s="66" t="s">
        <v>970</v>
      </c>
      <c r="B14" s="117">
        <f>SUM(B10:B13)</f>
        <v>-570166666</v>
      </c>
      <c r="C14" s="117">
        <f>SUM(C10:C13)</f>
        <v>-609161169</v>
      </c>
      <c r="D14" s="117">
        <f>SUM(D10:D13)</f>
        <v>-589663918</v>
      </c>
      <c r="E14" s="221"/>
      <c r="F14" s="221"/>
      <c r="G14" s="221"/>
      <c r="H14" s="221"/>
      <c r="I14" s="115">
        <f>SUM(I10:I12)</f>
        <v>0</v>
      </c>
    </row>
    <row r="15" spans="1:12" x14ac:dyDescent="0.25">
      <c r="B15" s="221"/>
      <c r="C15" s="221"/>
      <c r="D15" s="221"/>
      <c r="E15" s="221"/>
      <c r="F15" s="221"/>
      <c r="G15" s="221"/>
      <c r="H15" s="221"/>
    </row>
    <row r="16" spans="1:12" x14ac:dyDescent="0.25">
      <c r="B16" s="6"/>
      <c r="C16" s="6"/>
      <c r="D16" s="221"/>
      <c r="E16" s="221"/>
      <c r="F16" s="221"/>
      <c r="G16" s="221"/>
      <c r="H16" s="221"/>
    </row>
    <row r="17" spans="1:11" x14ac:dyDescent="0.25">
      <c r="A17" s="329" t="s">
        <v>1035</v>
      </c>
      <c r="B17" s="329"/>
      <c r="C17" s="329"/>
      <c r="D17" s="329"/>
      <c r="E17" s="329"/>
      <c r="F17" s="329"/>
      <c r="G17" s="329"/>
      <c r="H17" s="329"/>
      <c r="I17" s="76"/>
    </row>
    <row r="18" spans="1:11" x14ac:dyDescent="0.25">
      <c r="B18" s="221"/>
      <c r="C18" s="221"/>
      <c r="D18" s="221"/>
      <c r="E18" s="221"/>
      <c r="F18" s="221"/>
      <c r="G18" s="221"/>
      <c r="H18" s="221"/>
    </row>
    <row r="19" spans="1:11" x14ac:dyDescent="0.25">
      <c r="B19" s="290" t="s">
        <v>131</v>
      </c>
      <c r="C19" s="290" t="s">
        <v>131</v>
      </c>
      <c r="D19" s="11"/>
      <c r="E19" s="11"/>
      <c r="F19" s="11"/>
      <c r="G19" s="11"/>
      <c r="H19" s="11"/>
      <c r="I19" s="11"/>
    </row>
    <row r="20" spans="1:11" x14ac:dyDescent="0.25">
      <c r="B20" s="303">
        <f>+B7</f>
        <v>42735</v>
      </c>
      <c r="C20" s="303">
        <f>+C7</f>
        <v>43100</v>
      </c>
      <c r="D20" s="290" t="s">
        <v>195</v>
      </c>
      <c r="E20" s="11"/>
      <c r="F20" s="329" t="s">
        <v>129</v>
      </c>
      <c r="G20" s="329"/>
      <c r="H20" s="11"/>
      <c r="I20" s="11"/>
    </row>
    <row r="21" spans="1:11" x14ac:dyDescent="0.25">
      <c r="B21" s="294" t="s">
        <v>132</v>
      </c>
      <c r="C21" s="294" t="s">
        <v>132</v>
      </c>
      <c r="D21" s="294" t="s">
        <v>196</v>
      </c>
      <c r="E21" s="11"/>
      <c r="F21" s="333" t="s">
        <v>130</v>
      </c>
      <c r="G21" s="333"/>
      <c r="H21" s="11"/>
      <c r="I21" s="191" t="s">
        <v>128</v>
      </c>
    </row>
    <row r="22" spans="1:11" x14ac:dyDescent="0.25">
      <c r="B22" s="76"/>
      <c r="C22" s="76"/>
      <c r="D22" s="221"/>
      <c r="E22" s="221"/>
      <c r="F22" s="221"/>
      <c r="G22" s="221"/>
      <c r="H22" s="221"/>
    </row>
    <row r="23" spans="1:11" x14ac:dyDescent="0.25">
      <c r="A23" s="65" t="s">
        <v>1201</v>
      </c>
      <c r="B23" s="236">
        <v>0</v>
      </c>
      <c r="C23" s="236">
        <v>0</v>
      </c>
      <c r="D23" s="83">
        <f>ROUND((C23+B23)/2,0)</f>
        <v>0</v>
      </c>
      <c r="E23" s="221"/>
      <c r="F23" s="221" t="s">
        <v>74</v>
      </c>
      <c r="G23" s="13">
        <f>'Allocation Factors'!$G$21</f>
        <v>3.54809369866841E-2</v>
      </c>
      <c r="H23" s="221"/>
      <c r="I23" s="32">
        <f>D23*G23</f>
        <v>0</v>
      </c>
      <c r="K23" s="6"/>
    </row>
    <row r="24" spans="1:11" s="221" customFormat="1" x14ac:dyDescent="0.25">
      <c r="A24" s="65" t="s">
        <v>123</v>
      </c>
      <c r="B24" s="236">
        <f>-4610680+-41746234</f>
        <v>-46356914</v>
      </c>
      <c r="C24" s="236">
        <f>-44428674+-58406</f>
        <v>-44487080</v>
      </c>
      <c r="D24" s="83">
        <f t="shared" ref="D24:D25" si="2">ROUND((C24+B24)/2,0)</f>
        <v>-45421997</v>
      </c>
      <c r="F24" s="221" t="s">
        <v>74</v>
      </c>
      <c r="G24" s="13">
        <f>'Allocation Factors'!$G$21</f>
        <v>3.54809369866841E-2</v>
      </c>
      <c r="I24" s="32">
        <f t="shared" ref="I24:I25" si="3">D24*G24</f>
        <v>-1611615.0133663542</v>
      </c>
      <c r="K24" s="6"/>
    </row>
    <row r="25" spans="1:11" s="221" customFormat="1" x14ac:dyDescent="0.25">
      <c r="A25" s="65" t="s">
        <v>431</v>
      </c>
      <c r="B25" s="236">
        <v>-1143554132</v>
      </c>
      <c r="C25" s="236">
        <v>-4526666823</v>
      </c>
      <c r="D25" s="83">
        <f t="shared" si="2"/>
        <v>-2835110478</v>
      </c>
      <c r="F25" s="221" t="s">
        <v>140</v>
      </c>
      <c r="G25" s="237">
        <v>0</v>
      </c>
      <c r="I25" s="32">
        <f t="shared" si="3"/>
        <v>0</v>
      </c>
      <c r="K25" s="6"/>
    </row>
    <row r="26" spans="1:11" x14ac:dyDescent="0.25">
      <c r="A26" s="63"/>
      <c r="B26" s="76"/>
      <c r="C26" s="76"/>
      <c r="D26" s="221"/>
      <c r="E26" s="221"/>
      <c r="F26" s="221"/>
      <c r="G26" s="13"/>
      <c r="H26" s="221"/>
    </row>
    <row r="27" spans="1:11" x14ac:dyDescent="0.25">
      <c r="A27" s="66" t="s">
        <v>1036</v>
      </c>
      <c r="B27" s="117">
        <f>SUM(B23:B26)</f>
        <v>-1189911046</v>
      </c>
      <c r="C27" s="117">
        <f>SUM(C23:C26)</f>
        <v>-4571153903</v>
      </c>
      <c r="D27" s="117">
        <f>SUM(D23:D26)</f>
        <v>-2880532475</v>
      </c>
      <c r="E27" s="221"/>
      <c r="F27" s="221"/>
      <c r="G27" s="221"/>
      <c r="H27" s="221"/>
      <c r="I27" s="115">
        <f>SUM(I23:I25)</f>
        <v>-1611615.0133663542</v>
      </c>
    </row>
    <row r="95" spans="2:2" x14ac:dyDescent="0.25">
      <c r="B95" s="193"/>
    </row>
    <row r="96" spans="2:2" x14ac:dyDescent="0.25">
      <c r="B96" s="194"/>
    </row>
    <row r="97" spans="2:2" x14ac:dyDescent="0.25">
      <c r="B97" s="193"/>
    </row>
    <row r="98" spans="2:2" x14ac:dyDescent="0.25">
      <c r="B98" s="194"/>
    </row>
    <row r="99" spans="2:2" x14ac:dyDescent="0.25">
      <c r="B99" s="194"/>
    </row>
    <row r="100" spans="2:2" x14ac:dyDescent="0.25">
      <c r="B100" s="194"/>
    </row>
  </sheetData>
  <customSheetViews>
    <customSheetView guid="{589A2A1C-99B3-4A22-A52E-EECEEAD60ADB}" scale="80" showPageBreaks="1" fitToPage="1" printArea="1">
      <selection activeCell="C26" sqref="C26"/>
      <pageMargins left="0.7" right="0.7" top="0.75" bottom="0.75" header="0.3" footer="0.3"/>
      <pageSetup scale="67" orientation="portrait" r:id="rId1"/>
      <headerFooter>
        <oddFooter>&amp;L&amp;Z&amp;F</oddFooter>
      </headerFooter>
    </customSheetView>
    <customSheetView guid="{C0F5889E-F852-4CB9-B477-759ADBCFF6D5}" scale="80" showPageBreaks="1" fitToPage="1" printArea="1">
      <selection activeCell="K25" sqref="K25"/>
      <pageMargins left="0.7" right="0.7" top="0.75" bottom="0.75" header="0.3" footer="0.3"/>
      <pageSetup scale="67" orientation="portrait" r:id="rId2"/>
      <headerFooter>
        <oddFooter>&amp;L&amp;Z&amp;F</oddFooter>
      </headerFooter>
    </customSheetView>
  </customSheetViews>
  <mergeCells count="9">
    <mergeCell ref="F20:G20"/>
    <mergeCell ref="F21:G21"/>
    <mergeCell ref="F8:G8"/>
    <mergeCell ref="F7:G7"/>
    <mergeCell ref="A1:H1"/>
    <mergeCell ref="A2:H2"/>
    <mergeCell ref="A4:H4"/>
    <mergeCell ref="A3:H3"/>
    <mergeCell ref="A17:H17"/>
  </mergeCells>
  <pageMargins left="0.7" right="0.7" top="0.75" bottom="0.75" header="0.3" footer="0.3"/>
  <pageSetup scale="67" orientation="portrait" r:id="rId3"/>
  <headerFooter>
    <oddFooter>&amp;L&amp;Z&amp;F</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6"/>
  <sheetViews>
    <sheetView zoomScale="90" zoomScaleNormal="90" workbookViewId="0">
      <selection sqref="A1:F1"/>
    </sheetView>
  </sheetViews>
  <sheetFormatPr defaultRowHeight="15" x14ac:dyDescent="0.25"/>
  <cols>
    <col min="1" max="1" width="42.28515625" style="5" customWidth="1"/>
    <col min="2" max="2" width="16" style="86" bestFit="1" customWidth="1"/>
    <col min="3" max="3" width="1.7109375" style="86" customWidth="1"/>
    <col min="4" max="4" width="19.42578125" style="86" bestFit="1" customWidth="1"/>
    <col min="5" max="5" width="11.140625" style="86" customWidth="1"/>
    <col min="6" max="6" width="1.7109375" style="86" customWidth="1"/>
    <col min="7" max="7" width="16.42578125" style="86" bestFit="1" customWidth="1"/>
    <col min="8" max="16384" width="9.140625" style="86"/>
  </cols>
  <sheetData>
    <row r="1" spans="1:8" x14ac:dyDescent="0.25">
      <c r="A1" s="329" t="s">
        <v>0</v>
      </c>
      <c r="B1" s="329"/>
      <c r="C1" s="329"/>
      <c r="D1" s="329"/>
      <c r="E1" s="329"/>
      <c r="F1" s="329"/>
      <c r="G1" s="197" t="s">
        <v>706</v>
      </c>
    </row>
    <row r="2" spans="1:8" x14ac:dyDescent="0.25">
      <c r="A2" s="329" t="s">
        <v>117</v>
      </c>
      <c r="B2" s="329"/>
      <c r="C2" s="329"/>
      <c r="D2" s="329"/>
      <c r="E2" s="329"/>
      <c r="F2" s="329"/>
      <c r="G2" s="197" t="s">
        <v>264</v>
      </c>
    </row>
    <row r="3" spans="1:8" x14ac:dyDescent="0.25">
      <c r="A3" s="331" t="str">
        <f>+Summary!A3</f>
        <v>Utilizing Historic Cost Data for (2017) with Year-End Average Balances</v>
      </c>
      <c r="B3" s="331"/>
      <c r="C3" s="331"/>
      <c r="D3" s="331"/>
      <c r="E3" s="331"/>
      <c r="F3" s="331"/>
      <c r="G3" s="38"/>
      <c r="H3" s="38"/>
    </row>
    <row r="4" spans="1:8" x14ac:dyDescent="0.25">
      <c r="A4" s="329" t="s">
        <v>166</v>
      </c>
      <c r="B4" s="329"/>
      <c r="C4" s="329"/>
      <c r="D4" s="329"/>
      <c r="E4" s="329"/>
      <c r="F4" s="329"/>
      <c r="G4" s="76"/>
    </row>
    <row r="6" spans="1:8" x14ac:dyDescent="0.25">
      <c r="A6" s="76"/>
      <c r="B6" s="76"/>
      <c r="C6" s="76"/>
      <c r="D6" s="76"/>
      <c r="E6" s="76"/>
      <c r="F6" s="76"/>
      <c r="G6" s="76"/>
    </row>
    <row r="7" spans="1:8" x14ac:dyDescent="0.25">
      <c r="A7" s="197"/>
      <c r="B7" s="67"/>
      <c r="C7" s="273"/>
      <c r="D7" s="329" t="s">
        <v>129</v>
      </c>
      <c r="E7" s="329"/>
      <c r="F7" s="197"/>
      <c r="G7" s="197" t="s">
        <v>110</v>
      </c>
    </row>
    <row r="8" spans="1:8" x14ac:dyDescent="0.25">
      <c r="A8" s="204" t="s">
        <v>168</v>
      </c>
      <c r="B8" s="290" t="s">
        <v>167</v>
      </c>
      <c r="C8" s="290"/>
      <c r="D8" s="329" t="s">
        <v>130</v>
      </c>
      <c r="E8" s="329"/>
      <c r="F8" s="204"/>
      <c r="G8" s="204" t="s">
        <v>167</v>
      </c>
    </row>
    <row r="9" spans="1:8" x14ac:dyDescent="0.25">
      <c r="B9" s="76"/>
      <c r="C9" s="221"/>
      <c r="D9" s="221"/>
      <c r="E9" s="221"/>
    </row>
    <row r="10" spans="1:8" x14ac:dyDescent="0.25">
      <c r="A10" s="65" t="s">
        <v>215</v>
      </c>
      <c r="B10" s="236">
        <v>31145874</v>
      </c>
      <c r="C10" s="221"/>
      <c r="D10" s="164" t="s">
        <v>143</v>
      </c>
      <c r="E10" s="304">
        <v>5.61556E-2</v>
      </c>
      <c r="F10" s="6"/>
      <c r="G10" s="7">
        <f t="shared" ref="G10:G16" si="0">B10*E10</f>
        <v>1749015.2419944</v>
      </c>
    </row>
    <row r="11" spans="1:8" x14ac:dyDescent="0.25">
      <c r="A11" s="65" t="s">
        <v>226</v>
      </c>
      <c r="B11" s="236">
        <v>2064812</v>
      </c>
      <c r="C11" s="221"/>
      <c r="D11" s="164" t="s">
        <v>143</v>
      </c>
      <c r="E11" s="304">
        <v>5.61556E-2</v>
      </c>
      <c r="F11" s="6"/>
      <c r="G11" s="7">
        <f t="shared" si="0"/>
        <v>115950.75674719999</v>
      </c>
    </row>
    <row r="12" spans="1:8" x14ac:dyDescent="0.25">
      <c r="A12" s="65" t="s">
        <v>169</v>
      </c>
      <c r="B12" s="236">
        <v>33120695</v>
      </c>
      <c r="C12" s="221"/>
      <c r="D12" s="165" t="s">
        <v>142</v>
      </c>
      <c r="E12" s="237">
        <v>0</v>
      </c>
      <c r="F12" s="6"/>
      <c r="G12" s="7">
        <f t="shared" si="0"/>
        <v>0</v>
      </c>
    </row>
    <row r="13" spans="1:8" x14ac:dyDescent="0.25">
      <c r="A13" s="65" t="s">
        <v>170</v>
      </c>
      <c r="B13" s="236">
        <v>13042761</v>
      </c>
      <c r="C13" s="221"/>
      <c r="D13" s="165" t="s">
        <v>562</v>
      </c>
      <c r="E13" s="237">
        <v>0</v>
      </c>
      <c r="F13" s="166"/>
      <c r="G13" s="238">
        <f>'Attach H - Acct 454.3'!I36</f>
        <v>3028601.254568263</v>
      </c>
      <c r="H13" s="30"/>
    </row>
    <row r="14" spans="1:8" x14ac:dyDescent="0.25">
      <c r="A14" s="65" t="s">
        <v>171</v>
      </c>
      <c r="B14" s="236">
        <v>4180486</v>
      </c>
      <c r="C14" s="221"/>
      <c r="D14" s="165" t="s">
        <v>74</v>
      </c>
      <c r="E14" s="13">
        <f>'Allocation Factors'!$G$21</f>
        <v>3.54809369866841E-2</v>
      </c>
      <c r="F14" s="6"/>
      <c r="G14" s="7">
        <f t="shared" si="0"/>
        <v>148327.56033971507</v>
      </c>
    </row>
    <row r="15" spans="1:8" x14ac:dyDescent="0.25">
      <c r="A15" s="65" t="s">
        <v>172</v>
      </c>
      <c r="B15" s="236">
        <v>676786</v>
      </c>
      <c r="C15" s="221"/>
      <c r="D15" s="165" t="s">
        <v>142</v>
      </c>
      <c r="E15" s="237">
        <v>0</v>
      </c>
      <c r="F15" s="6"/>
      <c r="G15" s="7">
        <f t="shared" si="0"/>
        <v>0</v>
      </c>
    </row>
    <row r="16" spans="1:8" x14ac:dyDescent="0.25">
      <c r="A16" s="65" t="s">
        <v>173</v>
      </c>
      <c r="B16" s="236">
        <v>14020857</v>
      </c>
      <c r="C16" s="221"/>
      <c r="D16" s="165" t="s">
        <v>74</v>
      </c>
      <c r="E16" s="13">
        <f>'Allocation Factors'!$G$21</f>
        <v>3.54809369866841E-2</v>
      </c>
      <c r="F16" s="6"/>
      <c r="G16" s="7">
        <f t="shared" si="0"/>
        <v>497473.1437163087</v>
      </c>
    </row>
    <row r="17" spans="1:7" x14ac:dyDescent="0.25">
      <c r="A17" s="3"/>
      <c r="B17" s="7"/>
      <c r="C17" s="221"/>
      <c r="D17" s="165"/>
      <c r="E17" s="6"/>
      <c r="F17" s="6"/>
      <c r="G17" s="6"/>
    </row>
    <row r="18" spans="1:7" x14ac:dyDescent="0.25">
      <c r="A18" s="68" t="s">
        <v>495</v>
      </c>
      <c r="B18" s="116">
        <f>SUM(B10:B17)</f>
        <v>98252271</v>
      </c>
      <c r="C18" s="221"/>
      <c r="D18" s="165"/>
      <c r="E18" s="6"/>
      <c r="F18" s="6"/>
      <c r="G18" s="116">
        <f>SUM(G10:G17)</f>
        <v>5539367.9573658863</v>
      </c>
    </row>
    <row r="19" spans="1:7" x14ac:dyDescent="0.25">
      <c r="A19" s="3"/>
      <c r="B19" s="7"/>
      <c r="C19" s="221"/>
      <c r="D19" s="165"/>
      <c r="E19" s="6"/>
      <c r="F19" s="6"/>
      <c r="G19" s="6"/>
    </row>
    <row r="20" spans="1:7" x14ac:dyDescent="0.25">
      <c r="A20" s="3"/>
      <c r="B20" s="7"/>
      <c r="C20" s="221"/>
      <c r="D20" s="165"/>
      <c r="E20" s="6"/>
      <c r="F20" s="6"/>
      <c r="G20" s="6"/>
    </row>
    <row r="21" spans="1:7" x14ac:dyDescent="0.25">
      <c r="A21" s="3"/>
      <c r="B21" s="7"/>
      <c r="C21" s="221"/>
      <c r="D21" s="165"/>
      <c r="E21" s="6"/>
      <c r="F21" s="6"/>
      <c r="G21" s="6"/>
    </row>
    <row r="22" spans="1:7" x14ac:dyDescent="0.25">
      <c r="A22" s="3"/>
      <c r="B22" s="7"/>
      <c r="C22" s="221"/>
      <c r="D22" s="165"/>
      <c r="E22" s="6"/>
      <c r="F22" s="6"/>
      <c r="G22" s="6"/>
    </row>
    <row r="23" spans="1:7" x14ac:dyDescent="0.25">
      <c r="A23" s="3"/>
      <c r="B23" s="7"/>
      <c r="D23" s="165"/>
      <c r="E23" s="6"/>
      <c r="F23" s="6"/>
      <c r="G23" s="6"/>
    </row>
    <row r="24" spans="1:7" x14ac:dyDescent="0.25">
      <c r="A24" s="3"/>
      <c r="B24" s="7"/>
      <c r="D24" s="165"/>
      <c r="E24" s="6"/>
      <c r="F24" s="6"/>
      <c r="G24" s="6"/>
    </row>
    <row r="25" spans="1:7" x14ac:dyDescent="0.25">
      <c r="A25" s="3"/>
      <c r="B25" s="7"/>
      <c r="D25" s="165"/>
      <c r="E25" s="6"/>
      <c r="F25" s="6"/>
      <c r="G25" s="6"/>
    </row>
    <row r="26" spans="1:7" x14ac:dyDescent="0.25">
      <c r="A26" s="3"/>
      <c r="B26" s="7"/>
      <c r="D26" s="165"/>
      <c r="E26" s="6"/>
      <c r="F26" s="6"/>
      <c r="G26" s="6"/>
    </row>
    <row r="27" spans="1:7" x14ac:dyDescent="0.25">
      <c r="A27" s="3"/>
      <c r="B27" s="7"/>
      <c r="D27" s="165"/>
      <c r="E27" s="6"/>
      <c r="F27" s="6"/>
      <c r="G27" s="6"/>
    </row>
    <row r="28" spans="1:7" x14ac:dyDescent="0.25">
      <c r="A28" s="3"/>
      <c r="B28" s="7"/>
      <c r="D28" s="165"/>
      <c r="E28" s="6"/>
      <c r="F28" s="6"/>
      <c r="G28" s="6"/>
    </row>
    <row r="29" spans="1:7" x14ac:dyDescent="0.25">
      <c r="A29" s="3"/>
      <c r="B29" s="7"/>
      <c r="D29" s="165"/>
      <c r="E29" s="6"/>
      <c r="F29" s="6"/>
      <c r="G29" s="6"/>
    </row>
    <row r="30" spans="1:7" x14ac:dyDescent="0.25">
      <c r="A30" s="3"/>
      <c r="B30" s="7"/>
      <c r="D30" s="165"/>
      <c r="E30" s="6"/>
      <c r="F30" s="6"/>
      <c r="G30" s="6"/>
    </row>
    <row r="31" spans="1:7" x14ac:dyDescent="0.25">
      <c r="A31" s="3"/>
      <c r="B31" s="7"/>
      <c r="D31" s="165"/>
      <c r="E31" s="6"/>
      <c r="F31" s="6"/>
      <c r="G31" s="6"/>
    </row>
    <row r="32" spans="1:7" x14ac:dyDescent="0.25">
      <c r="A32" s="3"/>
      <c r="B32" s="7"/>
      <c r="D32" s="165"/>
      <c r="E32" s="6"/>
      <c r="F32" s="6"/>
      <c r="G32" s="6"/>
    </row>
    <row r="33" spans="1:7" x14ac:dyDescent="0.25">
      <c r="A33" s="3"/>
      <c r="B33" s="7"/>
      <c r="D33" s="165"/>
      <c r="E33" s="6"/>
      <c r="F33" s="6"/>
      <c r="G33" s="6"/>
    </row>
    <row r="34" spans="1:7" x14ac:dyDescent="0.25">
      <c r="A34" s="3"/>
      <c r="B34" s="7"/>
      <c r="D34" s="165"/>
      <c r="E34" s="6"/>
      <c r="F34" s="6"/>
      <c r="G34" s="6"/>
    </row>
    <row r="35" spans="1:7" x14ac:dyDescent="0.25">
      <c r="A35" s="3"/>
      <c r="B35" s="7"/>
      <c r="D35" s="165"/>
      <c r="E35" s="6"/>
      <c r="F35" s="6"/>
      <c r="G35" s="6"/>
    </row>
    <row r="36" spans="1:7" x14ac:dyDescent="0.25">
      <c r="A36" s="3"/>
      <c r="B36" s="7"/>
      <c r="D36" s="165"/>
      <c r="E36" s="6"/>
      <c r="F36" s="6"/>
      <c r="G36" s="6"/>
    </row>
    <row r="37" spans="1:7" x14ac:dyDescent="0.25">
      <c r="A37" s="3"/>
      <c r="B37" s="7"/>
      <c r="D37" s="165"/>
      <c r="E37" s="6"/>
      <c r="F37" s="6"/>
      <c r="G37" s="6"/>
    </row>
    <row r="38" spans="1:7" x14ac:dyDescent="0.25">
      <c r="A38" s="3"/>
      <c r="B38" s="7"/>
      <c r="D38" s="165"/>
      <c r="E38" s="6"/>
      <c r="F38" s="6"/>
      <c r="G38" s="6"/>
    </row>
    <row r="39" spans="1:7" x14ac:dyDescent="0.25">
      <c r="A39" s="3"/>
      <c r="B39" s="7"/>
      <c r="D39" s="165"/>
      <c r="E39" s="6"/>
      <c r="F39" s="6"/>
      <c r="G39" s="6"/>
    </row>
    <row r="40" spans="1:7" x14ac:dyDescent="0.25">
      <c r="A40" s="3"/>
      <c r="B40" s="7"/>
      <c r="D40" s="165"/>
      <c r="E40" s="6"/>
      <c r="F40" s="6"/>
      <c r="G40" s="6"/>
    </row>
    <row r="41" spans="1:7" x14ac:dyDescent="0.25">
      <c r="A41" s="3"/>
      <c r="B41" s="7"/>
      <c r="D41" s="165"/>
      <c r="E41" s="6"/>
      <c r="F41" s="6"/>
      <c r="G41" s="6"/>
    </row>
    <row r="42" spans="1:7" x14ac:dyDescent="0.25">
      <c r="A42" s="3"/>
      <c r="B42" s="7"/>
      <c r="D42" s="165"/>
      <c r="E42" s="6"/>
      <c r="F42" s="6"/>
      <c r="G42" s="6"/>
    </row>
    <row r="43" spans="1:7" x14ac:dyDescent="0.25">
      <c r="A43" s="3"/>
      <c r="B43" s="7"/>
      <c r="D43" s="165"/>
      <c r="E43" s="6"/>
      <c r="F43" s="6"/>
      <c r="G43" s="6"/>
    </row>
    <row r="44" spans="1:7" x14ac:dyDescent="0.25">
      <c r="A44" s="3"/>
      <c r="B44" s="7"/>
      <c r="D44" s="165"/>
      <c r="E44" s="6"/>
      <c r="F44" s="6"/>
      <c r="G44" s="6"/>
    </row>
    <row r="45" spans="1:7" x14ac:dyDescent="0.25">
      <c r="A45" s="3"/>
      <c r="B45" s="7"/>
      <c r="D45" s="165"/>
      <c r="E45" s="6"/>
      <c r="F45" s="6"/>
      <c r="G45" s="6"/>
    </row>
    <row r="46" spans="1:7" x14ac:dyDescent="0.25">
      <c r="A46" s="3"/>
      <c r="B46" s="7"/>
      <c r="D46" s="165"/>
      <c r="E46" s="6"/>
      <c r="F46" s="6"/>
      <c r="G46" s="6"/>
    </row>
    <row r="47" spans="1:7" x14ac:dyDescent="0.25">
      <c r="A47" s="3"/>
      <c r="B47" s="7"/>
      <c r="D47" s="165"/>
      <c r="E47" s="6"/>
      <c r="F47" s="6"/>
      <c r="G47" s="6"/>
    </row>
    <row r="48" spans="1:7" x14ac:dyDescent="0.25">
      <c r="A48" s="3"/>
      <c r="B48" s="7"/>
      <c r="D48" s="165"/>
      <c r="E48" s="6"/>
      <c r="F48" s="6"/>
      <c r="G48" s="6"/>
    </row>
    <row r="49" spans="1:7" x14ac:dyDescent="0.25">
      <c r="A49" s="3"/>
      <c r="B49" s="7"/>
      <c r="D49" s="165"/>
      <c r="E49" s="6"/>
      <c r="F49" s="6"/>
      <c r="G49" s="6"/>
    </row>
    <row r="50" spans="1:7" x14ac:dyDescent="0.25">
      <c r="A50" s="3"/>
      <c r="B50" s="7"/>
      <c r="D50" s="165"/>
      <c r="E50" s="6"/>
      <c r="F50" s="6"/>
      <c r="G50" s="6"/>
    </row>
    <row r="51" spans="1:7" x14ac:dyDescent="0.25">
      <c r="A51" s="3"/>
      <c r="B51" s="7"/>
      <c r="D51" s="165"/>
      <c r="E51" s="6"/>
      <c r="F51" s="6"/>
      <c r="G51" s="6"/>
    </row>
    <row r="52" spans="1:7" x14ac:dyDescent="0.25">
      <c r="A52" s="3"/>
      <c r="B52" s="7"/>
      <c r="D52" s="165"/>
      <c r="E52" s="6"/>
      <c r="F52" s="6"/>
      <c r="G52" s="6"/>
    </row>
    <row r="53" spans="1:7" x14ac:dyDescent="0.25">
      <c r="A53" s="3"/>
      <c r="B53" s="7"/>
      <c r="D53" s="165"/>
      <c r="E53" s="6"/>
      <c r="F53" s="6"/>
      <c r="G53" s="6"/>
    </row>
    <row r="54" spans="1:7" x14ac:dyDescent="0.25">
      <c r="A54" s="3"/>
    </row>
    <row r="56" spans="1:7" x14ac:dyDescent="0.25">
      <c r="A56" s="3"/>
      <c r="B56" s="7"/>
      <c r="G56" s="6"/>
    </row>
    <row r="57" spans="1:7" x14ac:dyDescent="0.25">
      <c r="A57" s="3"/>
      <c r="B57" s="7"/>
      <c r="G57" s="6"/>
    </row>
    <row r="58" spans="1:7" x14ac:dyDescent="0.25">
      <c r="A58" s="3"/>
      <c r="B58" s="7"/>
      <c r="G58" s="6"/>
    </row>
    <row r="59" spans="1:7" x14ac:dyDescent="0.25">
      <c r="A59" s="3"/>
      <c r="B59" s="7"/>
      <c r="G59" s="6"/>
    </row>
    <row r="60" spans="1:7" x14ac:dyDescent="0.25">
      <c r="A60" s="3"/>
      <c r="B60" s="7"/>
      <c r="G60" s="6"/>
    </row>
    <row r="61" spans="1:7" x14ac:dyDescent="0.25">
      <c r="A61" s="3"/>
      <c r="B61" s="7"/>
      <c r="G61" s="6"/>
    </row>
    <row r="62" spans="1:7" x14ac:dyDescent="0.25">
      <c r="A62" s="3"/>
      <c r="B62" s="7"/>
      <c r="G62" s="6"/>
    </row>
    <row r="63" spans="1:7" x14ac:dyDescent="0.25">
      <c r="A63" s="3"/>
      <c r="B63" s="7"/>
      <c r="G63" s="6"/>
    </row>
    <row r="64" spans="1:7" x14ac:dyDescent="0.25">
      <c r="A64" s="3"/>
      <c r="B64" s="7"/>
      <c r="G64" s="6"/>
    </row>
    <row r="65" spans="1:7" x14ac:dyDescent="0.25">
      <c r="A65" s="3"/>
      <c r="B65" s="7"/>
      <c r="G65" s="6"/>
    </row>
    <row r="66" spans="1:7" x14ac:dyDescent="0.25">
      <c r="A66" s="3"/>
      <c r="B66" s="7"/>
      <c r="G66" s="6"/>
    </row>
    <row r="67" spans="1:7" x14ac:dyDescent="0.25">
      <c r="A67" s="3"/>
      <c r="B67" s="7"/>
      <c r="G67" s="6"/>
    </row>
    <row r="68" spans="1:7" x14ac:dyDescent="0.25">
      <c r="A68" s="3"/>
      <c r="B68" s="7"/>
      <c r="G68" s="6"/>
    </row>
    <row r="69" spans="1:7" x14ac:dyDescent="0.25">
      <c r="E69" s="6"/>
      <c r="F69" s="6"/>
      <c r="G69" s="6"/>
    </row>
    <row r="70" spans="1:7" x14ac:dyDescent="0.25">
      <c r="A70" s="3"/>
      <c r="E70" s="6"/>
      <c r="F70" s="6"/>
      <c r="G70" s="6"/>
    </row>
    <row r="72" spans="1:7" x14ac:dyDescent="0.25">
      <c r="A72" s="86"/>
      <c r="G72" s="33"/>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90" fitToPage="1">
      <selection activeCell="E10" sqref="E10"/>
      <pageMargins left="0.7" right="0.7" top="0.75" bottom="0.75" header="0.3" footer="0.3"/>
      <pageSetup scale="83" orientation="portrait" r:id="rId1"/>
      <headerFooter>
        <oddFooter>&amp;L&amp;Z&amp;F</oddFooter>
      </headerFooter>
    </customSheetView>
    <customSheetView guid="{C0F5889E-F852-4CB9-B477-759ADBCFF6D5}" scale="90" fitToPage="1">
      <selection activeCell="E19" sqref="E19"/>
      <pageMargins left="0.7" right="0.7" top="0.75" bottom="0.75" header="0.3" footer="0.3"/>
      <pageSetup scale="83" orientation="portrait" r:id="rId2"/>
      <headerFooter>
        <oddFooter>&amp;L&amp;Z&amp;F</oddFooter>
      </headerFooter>
    </customSheetView>
  </customSheetViews>
  <mergeCells count="6">
    <mergeCell ref="D7:E7"/>
    <mergeCell ref="D8:E8"/>
    <mergeCell ref="A1:F1"/>
    <mergeCell ref="A2:F2"/>
    <mergeCell ref="A4:F4"/>
    <mergeCell ref="A3:F3"/>
  </mergeCells>
  <pageMargins left="0.7" right="0.7" top="0.75" bottom="0.75" header="0.3" footer="0.3"/>
  <pageSetup scale="83" orientation="portrait" r:id="rId3"/>
  <headerFooter>
    <oddFooter>&amp;L&amp;Z&amp;F</oddFooter>
  </headerFooter>
  <legacy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
  <sheetViews>
    <sheetView zoomScale="80" zoomScaleNormal="80" workbookViewId="0">
      <selection sqref="A1:H1"/>
    </sheetView>
  </sheetViews>
  <sheetFormatPr defaultRowHeight="15" x14ac:dyDescent="0.25"/>
  <cols>
    <col min="1" max="1" width="3.140625" style="86" customWidth="1"/>
    <col min="2" max="2" width="9.140625" style="86" customWidth="1"/>
    <col min="3" max="4" width="9.140625" style="86"/>
    <col min="5" max="5" width="14.7109375" style="86" customWidth="1"/>
    <col min="6" max="6" width="5" style="86" customWidth="1"/>
    <col min="7" max="7" width="39.42578125" style="86" bestFit="1" customWidth="1"/>
    <col min="8" max="8" width="5" style="86" customWidth="1"/>
    <col min="9" max="9" width="16.42578125" style="86" bestFit="1" customWidth="1"/>
    <col min="10" max="10" width="21.85546875" style="86" bestFit="1" customWidth="1"/>
    <col min="11" max="16384" width="9.140625" style="86"/>
  </cols>
  <sheetData>
    <row r="1" spans="1:10" x14ac:dyDescent="0.25">
      <c r="A1" s="329" t="s">
        <v>0</v>
      </c>
      <c r="B1" s="329"/>
      <c r="C1" s="329"/>
      <c r="D1" s="329"/>
      <c r="E1" s="329"/>
      <c r="F1" s="329"/>
      <c r="G1" s="329"/>
      <c r="H1" s="329"/>
      <c r="I1" s="197" t="s">
        <v>706</v>
      </c>
    </row>
    <row r="2" spans="1:10" x14ac:dyDescent="0.25">
      <c r="A2" s="329" t="s">
        <v>117</v>
      </c>
      <c r="B2" s="329"/>
      <c r="C2" s="329"/>
      <c r="D2" s="329"/>
      <c r="E2" s="329"/>
      <c r="F2" s="329"/>
      <c r="G2" s="329"/>
      <c r="H2" s="329"/>
      <c r="I2" s="197" t="s">
        <v>266</v>
      </c>
    </row>
    <row r="3" spans="1:10" x14ac:dyDescent="0.25">
      <c r="A3" s="329" t="str">
        <f>+Summary!A3</f>
        <v>Utilizing Historic Cost Data for (2017) with Year-End Average Balances</v>
      </c>
      <c r="B3" s="329"/>
      <c r="C3" s="329"/>
      <c r="D3" s="329"/>
      <c r="E3" s="329"/>
      <c r="F3" s="329"/>
      <c r="G3" s="329"/>
      <c r="H3" s="329"/>
      <c r="I3" s="119"/>
    </row>
    <row r="4" spans="1:10" x14ac:dyDescent="0.25">
      <c r="A4" s="329" t="s">
        <v>291</v>
      </c>
      <c r="B4" s="329"/>
      <c r="C4" s="329"/>
      <c r="D4" s="329"/>
      <c r="E4" s="329"/>
      <c r="F4" s="329"/>
      <c r="G4" s="329"/>
      <c r="H4" s="329"/>
      <c r="I4" s="119"/>
      <c r="J4" s="76"/>
    </row>
    <row r="6" spans="1:10" x14ac:dyDescent="0.25">
      <c r="I6" s="159"/>
    </row>
    <row r="7" spans="1:10" x14ac:dyDescent="0.25">
      <c r="B7" s="160" t="s">
        <v>301</v>
      </c>
      <c r="C7" s="161"/>
      <c r="D7" s="161"/>
      <c r="E7" s="162"/>
      <c r="F7" s="1"/>
      <c r="G7" s="163" t="s">
        <v>4</v>
      </c>
      <c r="H7" s="1"/>
      <c r="I7" s="221"/>
      <c r="J7" s="221"/>
    </row>
    <row r="8" spans="1:10" x14ac:dyDescent="0.25">
      <c r="A8" s="86">
        <v>1</v>
      </c>
      <c r="B8" s="86" t="s">
        <v>292</v>
      </c>
      <c r="G8" s="76" t="s">
        <v>264</v>
      </c>
      <c r="I8" s="83">
        <f>'Attach G - Acct 454'!B13</f>
        <v>13042761</v>
      </c>
      <c r="J8" s="221"/>
    </row>
    <row r="9" spans="1:10" x14ac:dyDescent="0.25">
      <c r="A9" s="86">
        <v>2</v>
      </c>
      <c r="B9" s="86" t="s">
        <v>293</v>
      </c>
      <c r="G9" s="76" t="s">
        <v>143</v>
      </c>
      <c r="I9" s="228">
        <v>2619521.94</v>
      </c>
      <c r="J9" s="25"/>
    </row>
    <row r="10" spans="1:10" x14ac:dyDescent="0.25">
      <c r="A10" s="86">
        <v>3</v>
      </c>
      <c r="B10" s="86" t="s">
        <v>294</v>
      </c>
      <c r="G10" s="76" t="s">
        <v>304</v>
      </c>
      <c r="I10" s="39">
        <f>I8-I9</f>
        <v>10423239.060000001</v>
      </c>
      <c r="J10" s="221"/>
    </row>
    <row r="11" spans="1:10" x14ac:dyDescent="0.25">
      <c r="G11" s="76"/>
      <c r="I11" s="39"/>
      <c r="J11" s="221"/>
    </row>
    <row r="12" spans="1:10" x14ac:dyDescent="0.25">
      <c r="A12" s="86">
        <v>4</v>
      </c>
      <c r="B12" s="86" t="s">
        <v>295</v>
      </c>
      <c r="G12" s="76" t="s">
        <v>971</v>
      </c>
      <c r="I12" s="35">
        <f>'Revenue Requirement'!F54</f>
        <v>0.37196999999999997</v>
      </c>
      <c r="J12" s="221"/>
    </row>
    <row r="13" spans="1:10" x14ac:dyDescent="0.25">
      <c r="G13" s="76"/>
      <c r="I13" s="39"/>
      <c r="J13" s="221"/>
    </row>
    <row r="14" spans="1:10" x14ac:dyDescent="0.25">
      <c r="A14" s="86">
        <v>5</v>
      </c>
      <c r="B14" s="86" t="s">
        <v>296</v>
      </c>
      <c r="G14" s="76" t="s">
        <v>972</v>
      </c>
      <c r="I14" s="39">
        <f>I10-(I10*I12)</f>
        <v>6546106.8268518001</v>
      </c>
      <c r="J14" s="221"/>
    </row>
    <row r="15" spans="1:10" x14ac:dyDescent="0.25">
      <c r="A15" s="86">
        <v>6</v>
      </c>
      <c r="B15" s="86" t="s">
        <v>297</v>
      </c>
      <c r="G15" s="76" t="s">
        <v>497</v>
      </c>
      <c r="I15" s="56">
        <f>'Allocation Factors'!G13</f>
        <v>0.91713571027193685</v>
      </c>
      <c r="J15" s="221"/>
    </row>
    <row r="16" spans="1:10" x14ac:dyDescent="0.25">
      <c r="A16" s="86">
        <v>7</v>
      </c>
      <c r="B16" s="86" t="s">
        <v>298</v>
      </c>
      <c r="G16" s="76" t="s">
        <v>305</v>
      </c>
      <c r="I16" s="39">
        <f>I14*I15</f>
        <v>6003668.3341607004</v>
      </c>
      <c r="J16" s="221"/>
    </row>
    <row r="17" spans="1:10" x14ac:dyDescent="0.25">
      <c r="A17" s="86">
        <v>8</v>
      </c>
      <c r="B17" s="86" t="s">
        <v>299</v>
      </c>
      <c r="G17" s="76" t="s">
        <v>509</v>
      </c>
      <c r="I17" s="305">
        <v>0.5</v>
      </c>
      <c r="J17" s="221"/>
    </row>
    <row r="18" spans="1:10" x14ac:dyDescent="0.25">
      <c r="A18" s="86">
        <v>9</v>
      </c>
      <c r="B18" s="86" t="s">
        <v>300</v>
      </c>
      <c r="G18" s="76" t="s">
        <v>973</v>
      </c>
      <c r="I18" s="39">
        <f>I16*I17</f>
        <v>3001834.1670803502</v>
      </c>
      <c r="J18" s="221"/>
    </row>
    <row r="19" spans="1:10" x14ac:dyDescent="0.25">
      <c r="G19" s="76"/>
      <c r="I19" s="221"/>
      <c r="J19" s="221"/>
    </row>
    <row r="20" spans="1:10" x14ac:dyDescent="0.25">
      <c r="B20" s="160" t="s">
        <v>302</v>
      </c>
      <c r="C20" s="161"/>
      <c r="D20" s="161"/>
      <c r="E20" s="162"/>
      <c r="F20" s="1"/>
      <c r="G20" s="163"/>
      <c r="H20" s="1"/>
      <c r="I20" s="221"/>
      <c r="J20" s="221"/>
    </row>
    <row r="21" spans="1:10" x14ac:dyDescent="0.25">
      <c r="A21" s="86">
        <v>10</v>
      </c>
      <c r="B21" s="86" t="s">
        <v>292</v>
      </c>
      <c r="G21" s="76"/>
      <c r="I21" s="226">
        <v>0</v>
      </c>
      <c r="J21" s="221"/>
    </row>
    <row r="22" spans="1:10" x14ac:dyDescent="0.25">
      <c r="A22" s="86">
        <v>11</v>
      </c>
      <c r="B22" s="86" t="s">
        <v>293</v>
      </c>
      <c r="G22" s="76" t="s">
        <v>551</v>
      </c>
      <c r="I22" s="2">
        <f>I9*'Revenue Requirement'!I21</f>
        <v>92943.092888376486</v>
      </c>
      <c r="J22" s="221"/>
    </row>
    <row r="23" spans="1:10" x14ac:dyDescent="0.25">
      <c r="A23" s="86">
        <v>12</v>
      </c>
      <c r="B23" s="86" t="s">
        <v>294</v>
      </c>
      <c r="G23" s="76" t="s">
        <v>306</v>
      </c>
      <c r="I23" s="39">
        <f>I21-I22</f>
        <v>-92943.092888376486</v>
      </c>
      <c r="J23" s="221"/>
    </row>
    <row r="24" spans="1:10" x14ac:dyDescent="0.25">
      <c r="G24" s="76"/>
      <c r="I24" s="39"/>
      <c r="J24" s="221"/>
    </row>
    <row r="25" spans="1:10" x14ac:dyDescent="0.25">
      <c r="A25" s="86">
        <v>13</v>
      </c>
      <c r="B25" s="86" t="s">
        <v>295</v>
      </c>
      <c r="G25" s="76" t="s">
        <v>496</v>
      </c>
      <c r="I25" s="35">
        <f>'Revenue Requirement'!F54</f>
        <v>0.37196999999999997</v>
      </c>
      <c r="J25" s="221"/>
    </row>
    <row r="26" spans="1:10" x14ac:dyDescent="0.25">
      <c r="G26" s="76"/>
      <c r="I26" s="39"/>
      <c r="J26" s="221"/>
    </row>
    <row r="27" spans="1:10" x14ac:dyDescent="0.25">
      <c r="A27" s="86">
        <v>14</v>
      </c>
      <c r="B27" s="86" t="s">
        <v>296</v>
      </c>
      <c r="G27" s="76" t="s">
        <v>498</v>
      </c>
      <c r="I27" s="39">
        <f>I23-(I23*I25)</f>
        <v>-58371.050626687087</v>
      </c>
      <c r="J27" s="221"/>
    </row>
    <row r="28" spans="1:10" x14ac:dyDescent="0.25">
      <c r="A28" s="86">
        <v>15</v>
      </c>
      <c r="B28" s="86" t="s">
        <v>297</v>
      </c>
      <c r="G28" s="76" t="s">
        <v>497</v>
      </c>
      <c r="I28" s="56">
        <f>'Allocation Factors'!G13</f>
        <v>0.91713571027193685</v>
      </c>
      <c r="J28" s="221"/>
    </row>
    <row r="29" spans="1:10" x14ac:dyDescent="0.25">
      <c r="A29" s="86">
        <v>16</v>
      </c>
      <c r="B29" s="86" t="s">
        <v>298</v>
      </c>
      <c r="G29" s="76" t="s">
        <v>499</v>
      </c>
      <c r="I29" s="39">
        <f>I27*I28</f>
        <v>-53534.174975825845</v>
      </c>
      <c r="J29" s="221"/>
    </row>
    <row r="30" spans="1:10" x14ac:dyDescent="0.25">
      <c r="A30" s="86">
        <v>17</v>
      </c>
      <c r="B30" s="86" t="s">
        <v>299</v>
      </c>
      <c r="G30" s="76" t="s">
        <v>509</v>
      </c>
      <c r="I30" s="305">
        <v>0.5</v>
      </c>
      <c r="J30" s="221"/>
    </row>
    <row r="31" spans="1:10" x14ac:dyDescent="0.25">
      <c r="A31" s="86">
        <v>18</v>
      </c>
      <c r="B31" s="86" t="s">
        <v>300</v>
      </c>
      <c r="G31" s="76" t="s">
        <v>500</v>
      </c>
      <c r="I31" s="39">
        <f>I29*I30</f>
        <v>-26767.087487912922</v>
      </c>
      <c r="J31" s="221"/>
    </row>
    <row r="32" spans="1:10" x14ac:dyDescent="0.25">
      <c r="G32" s="76"/>
      <c r="I32" s="221"/>
      <c r="J32" s="221"/>
    </row>
    <row r="33" spans="1:10" x14ac:dyDescent="0.25">
      <c r="B33" s="160" t="s">
        <v>303</v>
      </c>
      <c r="C33" s="161"/>
      <c r="D33" s="161"/>
      <c r="E33" s="162"/>
      <c r="F33" s="1"/>
      <c r="G33" s="163"/>
      <c r="H33" s="1"/>
      <c r="I33" s="221"/>
      <c r="J33" s="221"/>
    </row>
    <row r="34" spans="1:10" x14ac:dyDescent="0.25">
      <c r="A34" s="86">
        <v>19</v>
      </c>
      <c r="B34" s="86" t="s">
        <v>552</v>
      </c>
      <c r="G34" s="76" t="s">
        <v>307</v>
      </c>
      <c r="I34" s="39">
        <f>I18</f>
        <v>3001834.1670803502</v>
      </c>
      <c r="J34" s="221"/>
    </row>
    <row r="35" spans="1:10" x14ac:dyDescent="0.25">
      <c r="A35" s="86">
        <v>20</v>
      </c>
      <c r="B35" s="86" t="s">
        <v>554</v>
      </c>
      <c r="G35" s="76" t="s">
        <v>501</v>
      </c>
      <c r="I35" s="39">
        <f>I31</f>
        <v>-26767.087487912922</v>
      </c>
      <c r="J35" s="221"/>
    </row>
    <row r="36" spans="1:10" x14ac:dyDescent="0.25">
      <c r="A36" s="86">
        <v>21</v>
      </c>
      <c r="B36" s="86" t="s">
        <v>553</v>
      </c>
      <c r="G36" s="76" t="s">
        <v>308</v>
      </c>
      <c r="I36" s="39">
        <f>I34-I35</f>
        <v>3028601.254568263</v>
      </c>
      <c r="J36" s="221"/>
    </row>
    <row r="37" spans="1:10" x14ac:dyDescent="0.25">
      <c r="G37" s="76"/>
      <c r="I37" s="221"/>
      <c r="J37" s="221"/>
    </row>
    <row r="38" spans="1:10" x14ac:dyDescent="0.25">
      <c r="G38" s="76"/>
      <c r="I38" s="221"/>
      <c r="J38" s="221"/>
    </row>
    <row r="39" spans="1:10" x14ac:dyDescent="0.25">
      <c r="G39" s="76"/>
      <c r="I39" s="221"/>
      <c r="J39" s="221"/>
    </row>
    <row r="40" spans="1:10" x14ac:dyDescent="0.25">
      <c r="G40" s="76"/>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80" showPageBreaks="1" fitToPage="1" printArea="1">
      <selection activeCell="I17" sqref="I17"/>
      <pageMargins left="0.7" right="0.7" top="0.75" bottom="0.75" header="0.3" footer="0.3"/>
      <pageSetup scale="68" orientation="portrait" r:id="rId1"/>
      <headerFooter>
        <oddFooter>&amp;L&amp;Z&amp;F</oddFooter>
      </headerFooter>
    </customSheetView>
    <customSheetView guid="{C0F5889E-F852-4CB9-B477-759ADBCFF6D5}" scale="80" showPageBreaks="1" fitToPage="1" printArea="1" topLeftCell="A4">
      <selection activeCell="I30" sqref="I30"/>
      <pageMargins left="0.7" right="0.7" top="0.75" bottom="0.75" header="0.3" footer="0.3"/>
      <pageSetup scale="68" orientation="portrait" r:id="rId2"/>
      <headerFooter>
        <oddFooter>&amp;L&amp;Z&amp;F</oddFooter>
      </headerFooter>
    </customSheetView>
  </customSheetViews>
  <mergeCells count="4">
    <mergeCell ref="A1:H1"/>
    <mergeCell ref="A2:H2"/>
    <mergeCell ref="A3:H3"/>
    <mergeCell ref="A4:H4"/>
  </mergeCells>
  <pageMargins left="0.7" right="0.7" top="0.75" bottom="0.75" header="0.3" footer="0.3"/>
  <pageSetup scale="68" orientation="portrait" r:id="rId3"/>
  <headerFooter>
    <oddFooter>&amp;L&amp;Z&amp;F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zoomScale="83" zoomScaleNormal="83" workbookViewId="0">
      <pane xSplit="2" ySplit="8" topLeftCell="C9" activePane="bottomRight" state="frozen"/>
      <selection activeCell="AC43" sqref="AC43"/>
      <selection pane="topRight" activeCell="AC43" sqref="AC43"/>
      <selection pane="bottomLeft" activeCell="AC43" sqref="AC43"/>
      <selection pane="bottomRight" sqref="A1:J1"/>
    </sheetView>
  </sheetViews>
  <sheetFormatPr defaultRowHeight="15" x14ac:dyDescent="0.25"/>
  <cols>
    <col min="1" max="1" width="13.7109375" style="86" bestFit="1" customWidth="1"/>
    <col min="2" max="2" width="75.85546875" style="5" customWidth="1"/>
    <col min="3" max="3" width="14.85546875" style="86" bestFit="1" customWidth="1"/>
    <col min="4" max="4" width="1.7109375" style="86" customWidth="1"/>
    <col min="5" max="5" width="14.42578125" style="86" customWidth="1"/>
    <col min="6" max="6" width="1.7109375" style="86" customWidth="1"/>
    <col min="7" max="7" width="11.7109375" style="86" bestFit="1" customWidth="1"/>
    <col min="8" max="8" width="1.7109375" style="86" customWidth="1"/>
    <col min="9" max="9" width="14.85546875" style="86" customWidth="1"/>
    <col min="10" max="10" width="1.7109375" style="86" customWidth="1"/>
    <col min="11" max="11" width="17.42578125" style="86" customWidth="1"/>
    <col min="12" max="12" width="55" style="5" bestFit="1" customWidth="1"/>
    <col min="13" max="13" width="14.28515625" style="86" bestFit="1" customWidth="1"/>
    <col min="14" max="16384" width="9.140625" style="86"/>
  </cols>
  <sheetData>
    <row r="1" spans="1:11" x14ac:dyDescent="0.25">
      <c r="A1" s="329" t="s">
        <v>0</v>
      </c>
      <c r="B1" s="329"/>
      <c r="C1" s="329"/>
      <c r="D1" s="329"/>
      <c r="E1" s="329"/>
      <c r="F1" s="329"/>
      <c r="G1" s="329"/>
      <c r="H1" s="329"/>
      <c r="I1" s="329"/>
      <c r="J1" s="329"/>
      <c r="K1" s="197" t="s">
        <v>706</v>
      </c>
    </row>
    <row r="2" spans="1:11" x14ac:dyDescent="0.25">
      <c r="A2" s="329" t="s">
        <v>117</v>
      </c>
      <c r="B2" s="329"/>
      <c r="C2" s="329"/>
      <c r="D2" s="329"/>
      <c r="E2" s="329"/>
      <c r="F2" s="329"/>
      <c r="G2" s="329"/>
      <c r="H2" s="329"/>
      <c r="I2" s="329"/>
      <c r="J2" s="329"/>
      <c r="K2" s="197" t="s">
        <v>236</v>
      </c>
    </row>
    <row r="3" spans="1:11" x14ac:dyDescent="0.25">
      <c r="A3" s="331" t="str">
        <f>+Summary!A3</f>
        <v>Utilizing Historic Cost Data for (2017) with Year-End Average Balances</v>
      </c>
      <c r="B3" s="331"/>
      <c r="C3" s="331"/>
      <c r="D3" s="331"/>
      <c r="E3" s="331"/>
      <c r="F3" s="331"/>
      <c r="G3" s="331"/>
      <c r="H3" s="331"/>
      <c r="I3" s="331"/>
      <c r="J3" s="18"/>
    </row>
    <row r="4" spans="1:11" x14ac:dyDescent="0.25">
      <c r="A4" s="329" t="s">
        <v>144</v>
      </c>
      <c r="B4" s="329"/>
      <c r="C4" s="329"/>
      <c r="D4" s="329"/>
      <c r="E4" s="329"/>
      <c r="F4" s="329"/>
      <c r="G4" s="329"/>
      <c r="H4" s="329"/>
      <c r="I4" s="329"/>
      <c r="J4" s="329"/>
      <c r="K4" s="34"/>
    </row>
    <row r="6" spans="1:11" x14ac:dyDescent="0.25">
      <c r="A6" s="76" t="s">
        <v>150</v>
      </c>
      <c r="B6" s="76" t="s">
        <v>149</v>
      </c>
      <c r="C6" s="76" t="s">
        <v>145</v>
      </c>
      <c r="D6" s="76"/>
      <c r="E6" s="76" t="s">
        <v>231</v>
      </c>
      <c r="F6" s="76"/>
      <c r="G6" s="76" t="s">
        <v>161</v>
      </c>
      <c r="H6" s="76"/>
      <c r="I6" s="76" t="s">
        <v>148</v>
      </c>
      <c r="J6" s="76"/>
      <c r="K6" s="76" t="s">
        <v>146</v>
      </c>
    </row>
    <row r="7" spans="1:11" x14ac:dyDescent="0.25">
      <c r="A7" s="76" t="s">
        <v>4</v>
      </c>
      <c r="B7" s="8"/>
      <c r="C7" s="37"/>
      <c r="D7" s="76"/>
      <c r="E7" s="76" t="s">
        <v>162</v>
      </c>
      <c r="F7" s="76"/>
      <c r="G7" s="76" t="s">
        <v>162</v>
      </c>
      <c r="H7" s="76"/>
      <c r="I7" s="76" t="s">
        <v>147</v>
      </c>
      <c r="J7" s="76"/>
      <c r="K7" s="76"/>
    </row>
    <row r="8" spans="1:11" x14ac:dyDescent="0.25">
      <c r="A8" s="221"/>
      <c r="B8" s="76" t="s">
        <v>1330</v>
      </c>
      <c r="C8" s="76" t="s">
        <v>151</v>
      </c>
      <c r="D8" s="76"/>
      <c r="E8" s="76" t="s">
        <v>152</v>
      </c>
      <c r="F8" s="76"/>
      <c r="G8" s="76" t="s">
        <v>163</v>
      </c>
      <c r="H8" s="76"/>
      <c r="I8" s="76" t="s">
        <v>153</v>
      </c>
      <c r="J8" s="76"/>
      <c r="K8" s="76" t="s">
        <v>154</v>
      </c>
    </row>
    <row r="9" spans="1:11" x14ac:dyDescent="0.25">
      <c r="A9" s="221"/>
      <c r="C9" s="76"/>
      <c r="D9" s="221"/>
      <c r="E9" s="221"/>
      <c r="F9" s="221"/>
      <c r="G9" s="221"/>
      <c r="H9" s="221"/>
      <c r="I9" s="221"/>
      <c r="J9" s="221"/>
      <c r="K9" s="221"/>
    </row>
    <row r="10" spans="1:11" x14ac:dyDescent="0.25">
      <c r="A10" s="25" t="s">
        <v>1202</v>
      </c>
      <c r="B10" s="221" t="s">
        <v>1159</v>
      </c>
      <c r="C10" s="221" t="s">
        <v>160</v>
      </c>
      <c r="D10" s="221"/>
      <c r="E10" s="226">
        <v>1923075</v>
      </c>
      <c r="F10" s="226"/>
      <c r="G10" s="226">
        <v>2371</v>
      </c>
      <c r="H10" s="226"/>
      <c r="I10" s="226">
        <v>0</v>
      </c>
      <c r="J10" s="226"/>
      <c r="K10" s="26">
        <f t="shared" ref="K10:K16" si="0">E10+G10+I10</f>
        <v>1925446</v>
      </c>
    </row>
    <row r="11" spans="1:11" x14ac:dyDescent="0.25">
      <c r="A11" s="25" t="s">
        <v>1203</v>
      </c>
      <c r="B11" s="221" t="s">
        <v>1159</v>
      </c>
      <c r="C11" s="221" t="s">
        <v>160</v>
      </c>
      <c r="D11" s="221"/>
      <c r="E11" s="226">
        <v>3885000</v>
      </c>
      <c r="F11" s="226"/>
      <c r="G11" s="226">
        <v>305</v>
      </c>
      <c r="H11" s="226"/>
      <c r="I11" s="226">
        <v>0</v>
      </c>
      <c r="J11" s="226"/>
      <c r="K11" s="26">
        <f t="shared" si="0"/>
        <v>3885305</v>
      </c>
    </row>
    <row r="12" spans="1:11" x14ac:dyDescent="0.25">
      <c r="A12" s="25" t="s">
        <v>1204</v>
      </c>
      <c r="B12" s="221" t="s">
        <v>1159</v>
      </c>
      <c r="C12" s="221" t="s">
        <v>159</v>
      </c>
      <c r="D12" s="221"/>
      <c r="E12" s="226">
        <v>0</v>
      </c>
      <c r="F12" s="226"/>
      <c r="G12" s="226">
        <v>0</v>
      </c>
      <c r="H12" s="226"/>
      <c r="I12" s="226">
        <v>-119439</v>
      </c>
      <c r="J12" s="226"/>
      <c r="K12" s="26">
        <f t="shared" si="0"/>
        <v>-119439</v>
      </c>
    </row>
    <row r="13" spans="1:11" x14ac:dyDescent="0.25">
      <c r="A13" s="25" t="s">
        <v>1205</v>
      </c>
      <c r="B13" s="221" t="s">
        <v>1159</v>
      </c>
      <c r="C13" s="221" t="s">
        <v>158</v>
      </c>
      <c r="D13" s="221"/>
      <c r="E13" s="226">
        <v>-287770</v>
      </c>
      <c r="F13" s="226"/>
      <c r="G13" s="226">
        <v>0</v>
      </c>
      <c r="H13" s="226"/>
      <c r="I13" s="226">
        <v>80984</v>
      </c>
      <c r="J13" s="226"/>
      <c r="K13" s="26">
        <f t="shared" si="0"/>
        <v>-206786</v>
      </c>
    </row>
    <row r="14" spans="1:11" x14ac:dyDescent="0.25">
      <c r="A14" s="25" t="s">
        <v>1206</v>
      </c>
      <c r="B14" s="221" t="s">
        <v>155</v>
      </c>
      <c r="C14" s="221" t="s">
        <v>158</v>
      </c>
      <c r="D14" s="221"/>
      <c r="E14" s="226">
        <v>-280</v>
      </c>
      <c r="F14" s="226"/>
      <c r="G14" s="226">
        <v>1937</v>
      </c>
      <c r="H14" s="226"/>
      <c r="I14" s="226">
        <v>5409</v>
      </c>
      <c r="J14" s="226"/>
      <c r="K14" s="26">
        <f t="shared" si="0"/>
        <v>7066</v>
      </c>
    </row>
    <row r="15" spans="1:11" x14ac:dyDescent="0.25">
      <c r="A15" s="25" t="s">
        <v>1207</v>
      </c>
      <c r="B15" s="221" t="s">
        <v>1286</v>
      </c>
      <c r="C15" s="221" t="s">
        <v>158</v>
      </c>
      <c r="D15" s="221"/>
      <c r="E15" s="226">
        <v>-1728</v>
      </c>
      <c r="F15" s="226"/>
      <c r="G15" s="226">
        <v>43815</v>
      </c>
      <c r="H15" s="226"/>
      <c r="I15" s="226">
        <v>679229</v>
      </c>
      <c r="J15" s="226"/>
      <c r="K15" s="26">
        <f t="shared" si="0"/>
        <v>721316</v>
      </c>
    </row>
    <row r="16" spans="1:11" x14ac:dyDescent="0.25">
      <c r="A16" s="25" t="s">
        <v>1208</v>
      </c>
      <c r="B16" s="221" t="s">
        <v>1286</v>
      </c>
      <c r="C16" s="221" t="s">
        <v>159</v>
      </c>
      <c r="D16" s="221"/>
      <c r="E16" s="226">
        <v>0</v>
      </c>
      <c r="F16" s="226"/>
      <c r="G16" s="226">
        <v>99368</v>
      </c>
      <c r="H16" s="226"/>
      <c r="I16" s="226">
        <v>2232586</v>
      </c>
      <c r="J16" s="226"/>
      <c r="K16" s="26">
        <f t="shared" si="0"/>
        <v>2331954</v>
      </c>
    </row>
    <row r="17" spans="1:11" x14ac:dyDescent="0.25">
      <c r="A17" s="25" t="s">
        <v>1209</v>
      </c>
      <c r="B17" s="221" t="s">
        <v>1287</v>
      </c>
      <c r="C17" s="221" t="s">
        <v>160</v>
      </c>
      <c r="D17" s="221"/>
      <c r="E17" s="226">
        <v>0</v>
      </c>
      <c r="F17" s="226"/>
      <c r="G17" s="226">
        <v>0</v>
      </c>
      <c r="H17" s="226"/>
      <c r="I17" s="226">
        <v>0</v>
      </c>
      <c r="J17" s="226"/>
      <c r="K17" s="26">
        <f t="shared" ref="K17:K80" si="1">E17+G17+I17</f>
        <v>0</v>
      </c>
    </row>
    <row r="18" spans="1:11" x14ac:dyDescent="0.25">
      <c r="A18" s="25" t="s">
        <v>1210</v>
      </c>
      <c r="B18" s="221" t="s">
        <v>1287</v>
      </c>
      <c r="C18" s="221" t="s">
        <v>160</v>
      </c>
      <c r="D18" s="221"/>
      <c r="E18" s="226">
        <v>0</v>
      </c>
      <c r="F18" s="226"/>
      <c r="G18" s="226">
        <v>0</v>
      </c>
      <c r="H18" s="226"/>
      <c r="I18" s="226">
        <v>0</v>
      </c>
      <c r="J18" s="226"/>
      <c r="K18" s="26">
        <f t="shared" si="1"/>
        <v>0</v>
      </c>
    </row>
    <row r="19" spans="1:11" x14ac:dyDescent="0.25">
      <c r="A19" s="25" t="s">
        <v>1211</v>
      </c>
      <c r="B19" s="221" t="s">
        <v>1287</v>
      </c>
      <c r="C19" s="221" t="s">
        <v>160</v>
      </c>
      <c r="D19" s="221"/>
      <c r="E19" s="226">
        <v>0</v>
      </c>
      <c r="F19" s="226"/>
      <c r="G19" s="226">
        <v>0</v>
      </c>
      <c r="H19" s="226"/>
      <c r="I19" s="226">
        <v>0</v>
      </c>
      <c r="J19" s="226"/>
      <c r="K19" s="26">
        <f t="shared" si="1"/>
        <v>0</v>
      </c>
    </row>
    <row r="20" spans="1:11" ht="14.25" customHeight="1" x14ac:dyDescent="0.25">
      <c r="A20" s="25" t="s">
        <v>1212</v>
      </c>
      <c r="B20" s="221" t="s">
        <v>1287</v>
      </c>
      <c r="C20" s="221" t="s">
        <v>160</v>
      </c>
      <c r="D20" s="221"/>
      <c r="E20" s="226">
        <v>0</v>
      </c>
      <c r="F20" s="226"/>
      <c r="G20" s="226">
        <v>0</v>
      </c>
      <c r="H20" s="226"/>
      <c r="I20" s="226">
        <v>0</v>
      </c>
      <c r="J20" s="226"/>
      <c r="K20" s="26">
        <f t="shared" si="1"/>
        <v>0</v>
      </c>
    </row>
    <row r="21" spans="1:11" x14ac:dyDescent="0.25">
      <c r="A21" s="25" t="s">
        <v>1213</v>
      </c>
      <c r="B21" s="221" t="s">
        <v>1287</v>
      </c>
      <c r="C21" s="221" t="s">
        <v>160</v>
      </c>
      <c r="D21" s="221"/>
      <c r="E21" s="226">
        <v>0</v>
      </c>
      <c r="F21" s="226"/>
      <c r="G21" s="226">
        <v>0</v>
      </c>
      <c r="H21" s="226"/>
      <c r="I21" s="226">
        <v>0</v>
      </c>
      <c r="J21" s="226"/>
      <c r="K21" s="26">
        <f t="shared" si="1"/>
        <v>0</v>
      </c>
    </row>
    <row r="22" spans="1:11" x14ac:dyDescent="0.25">
      <c r="A22" s="25" t="s">
        <v>1214</v>
      </c>
      <c r="B22" s="221" t="s">
        <v>1287</v>
      </c>
      <c r="C22" s="221" t="s">
        <v>158</v>
      </c>
      <c r="D22" s="221"/>
      <c r="E22" s="226">
        <v>-10060</v>
      </c>
      <c r="F22" s="226"/>
      <c r="G22" s="226">
        <v>82</v>
      </c>
      <c r="H22" s="226"/>
      <c r="I22" s="226">
        <v>-6709</v>
      </c>
      <c r="J22" s="226"/>
      <c r="K22" s="26">
        <f t="shared" si="1"/>
        <v>-16687</v>
      </c>
    </row>
    <row r="23" spans="1:11" x14ac:dyDescent="0.25">
      <c r="A23" s="25" t="s">
        <v>1215</v>
      </c>
      <c r="B23" s="221" t="s">
        <v>1287</v>
      </c>
      <c r="C23" s="221" t="s">
        <v>159</v>
      </c>
      <c r="D23" s="221"/>
      <c r="E23" s="226">
        <v>0</v>
      </c>
      <c r="F23" s="226"/>
      <c r="G23" s="226">
        <v>0</v>
      </c>
      <c r="H23" s="226"/>
      <c r="I23" s="226">
        <v>0</v>
      </c>
      <c r="J23" s="226"/>
      <c r="K23" s="26">
        <f t="shared" si="1"/>
        <v>0</v>
      </c>
    </row>
    <row r="24" spans="1:11" x14ac:dyDescent="0.25">
      <c r="A24" s="25" t="s">
        <v>1216</v>
      </c>
      <c r="B24" s="221" t="s">
        <v>1288</v>
      </c>
      <c r="C24" s="221" t="s">
        <v>158</v>
      </c>
      <c r="D24" s="221"/>
      <c r="E24" s="226">
        <v>-12552</v>
      </c>
      <c r="F24" s="226"/>
      <c r="G24" s="226">
        <v>0</v>
      </c>
      <c r="H24" s="226"/>
      <c r="I24" s="226">
        <v>249502</v>
      </c>
      <c r="J24" s="226"/>
      <c r="K24" s="26">
        <f t="shared" si="1"/>
        <v>236950</v>
      </c>
    </row>
    <row r="25" spans="1:11" x14ac:dyDescent="0.25">
      <c r="A25" s="25" t="s">
        <v>1217</v>
      </c>
      <c r="B25" s="221" t="s">
        <v>1288</v>
      </c>
      <c r="C25" s="221" t="s">
        <v>159</v>
      </c>
      <c r="D25" s="221"/>
      <c r="E25" s="226">
        <v>0</v>
      </c>
      <c r="F25" s="226"/>
      <c r="G25" s="226">
        <v>0</v>
      </c>
      <c r="H25" s="226"/>
      <c r="I25" s="226">
        <v>7353</v>
      </c>
      <c r="J25" s="226"/>
      <c r="K25" s="26">
        <f t="shared" si="1"/>
        <v>7353</v>
      </c>
    </row>
    <row r="26" spans="1:11" x14ac:dyDescent="0.25">
      <c r="A26" s="25" t="s">
        <v>1218</v>
      </c>
      <c r="B26" s="221" t="s">
        <v>993</v>
      </c>
      <c r="C26" s="221" t="s">
        <v>158</v>
      </c>
      <c r="D26" s="221"/>
      <c r="E26" s="226">
        <v>-994</v>
      </c>
      <c r="F26" s="226"/>
      <c r="G26" s="226">
        <v>0</v>
      </c>
      <c r="H26" s="226"/>
      <c r="I26" s="226">
        <v>1370</v>
      </c>
      <c r="J26" s="226"/>
      <c r="K26" s="26">
        <f t="shared" si="1"/>
        <v>376</v>
      </c>
    </row>
    <row r="27" spans="1:11" x14ac:dyDescent="0.25">
      <c r="A27" s="25" t="s">
        <v>1219</v>
      </c>
      <c r="B27" s="221" t="s">
        <v>1160</v>
      </c>
      <c r="C27" s="221" t="s">
        <v>158</v>
      </c>
      <c r="D27" s="221"/>
      <c r="E27" s="226">
        <v>-147225</v>
      </c>
      <c r="F27" s="226"/>
      <c r="G27" s="226">
        <v>0</v>
      </c>
      <c r="H27" s="226"/>
      <c r="I27" s="226">
        <v>278736</v>
      </c>
      <c r="J27" s="226"/>
      <c r="K27" s="26">
        <f t="shared" si="1"/>
        <v>131511</v>
      </c>
    </row>
    <row r="28" spans="1:11" x14ac:dyDescent="0.25">
      <c r="A28" s="25" t="s">
        <v>1220</v>
      </c>
      <c r="B28" s="221" t="s">
        <v>1160</v>
      </c>
      <c r="C28" s="221" t="s">
        <v>159</v>
      </c>
      <c r="D28" s="221"/>
      <c r="E28" s="226">
        <v>0</v>
      </c>
      <c r="F28" s="226"/>
      <c r="G28" s="226">
        <v>0</v>
      </c>
      <c r="H28" s="226"/>
      <c r="I28" s="226">
        <v>1583804</v>
      </c>
      <c r="J28" s="226"/>
      <c r="K28" s="26">
        <f t="shared" si="1"/>
        <v>1583804</v>
      </c>
    </row>
    <row r="29" spans="1:11" x14ac:dyDescent="0.25">
      <c r="A29" s="25" t="s">
        <v>1221</v>
      </c>
      <c r="B29" s="221" t="s">
        <v>1237</v>
      </c>
      <c r="C29" s="221" t="s">
        <v>158</v>
      </c>
      <c r="D29" s="221"/>
      <c r="E29" s="226">
        <v>-2272</v>
      </c>
      <c r="F29" s="226"/>
      <c r="G29" s="226">
        <v>0</v>
      </c>
      <c r="H29" s="226"/>
      <c r="I29" s="226">
        <v>4646</v>
      </c>
      <c r="J29" s="226"/>
      <c r="K29" s="26">
        <f t="shared" si="1"/>
        <v>2374</v>
      </c>
    </row>
    <row r="30" spans="1:11" x14ac:dyDescent="0.25">
      <c r="A30" s="25" t="s">
        <v>1222</v>
      </c>
      <c r="B30" s="221" t="s">
        <v>1236</v>
      </c>
      <c r="C30" s="221" t="s">
        <v>158</v>
      </c>
      <c r="D30" s="221"/>
      <c r="E30" s="226">
        <v>-3465</v>
      </c>
      <c r="F30" s="226"/>
      <c r="G30" s="226">
        <v>0</v>
      </c>
      <c r="H30" s="226"/>
      <c r="I30" s="226">
        <v>75227</v>
      </c>
      <c r="J30" s="226"/>
      <c r="K30" s="26">
        <f t="shared" si="1"/>
        <v>71762</v>
      </c>
    </row>
    <row r="31" spans="1:11" ht="16.5" customHeight="1" x14ac:dyDescent="0.25">
      <c r="A31" s="25" t="s">
        <v>1223</v>
      </c>
      <c r="B31" s="221" t="s">
        <v>1289</v>
      </c>
      <c r="C31" s="221" t="s">
        <v>158</v>
      </c>
      <c r="D31" s="221"/>
      <c r="E31" s="226">
        <v>-18</v>
      </c>
      <c r="F31" s="226"/>
      <c r="G31" s="226">
        <v>0</v>
      </c>
      <c r="H31" s="226"/>
      <c r="I31" s="226">
        <v>0</v>
      </c>
      <c r="J31" s="226"/>
      <c r="K31" s="26">
        <f t="shared" si="1"/>
        <v>-18</v>
      </c>
    </row>
    <row r="32" spans="1:11" ht="16.5" customHeight="1" x14ac:dyDescent="0.25">
      <c r="A32" s="25" t="s">
        <v>1224</v>
      </c>
      <c r="B32" s="221" t="s">
        <v>1331</v>
      </c>
      <c r="C32" s="221" t="s">
        <v>158</v>
      </c>
      <c r="D32" s="221"/>
      <c r="E32" s="226">
        <v>-201927</v>
      </c>
      <c r="F32" s="226"/>
      <c r="G32" s="226">
        <v>21474</v>
      </c>
      <c r="H32" s="226"/>
      <c r="I32" s="226">
        <v>59363</v>
      </c>
      <c r="J32" s="226"/>
      <c r="K32" s="26">
        <f t="shared" si="1"/>
        <v>-121090</v>
      </c>
    </row>
    <row r="33" spans="1:11" x14ac:dyDescent="0.25">
      <c r="A33" s="25" t="s">
        <v>1225</v>
      </c>
      <c r="B33" s="221" t="s">
        <v>1331</v>
      </c>
      <c r="C33" s="221" t="s">
        <v>159</v>
      </c>
      <c r="D33" s="221"/>
      <c r="E33" s="226">
        <v>0</v>
      </c>
      <c r="F33" s="226"/>
      <c r="G33" s="226">
        <v>115580</v>
      </c>
      <c r="H33" s="226"/>
      <c r="I33" s="226">
        <v>373368</v>
      </c>
      <c r="J33" s="226"/>
      <c r="K33" s="26">
        <f t="shared" si="1"/>
        <v>488948</v>
      </c>
    </row>
    <row r="34" spans="1:11" x14ac:dyDescent="0.25">
      <c r="A34" s="25" t="s">
        <v>1226</v>
      </c>
      <c r="B34" s="221" t="s">
        <v>1290</v>
      </c>
      <c r="C34" s="221" t="s">
        <v>158</v>
      </c>
      <c r="D34" s="221"/>
      <c r="E34" s="226">
        <v>-816</v>
      </c>
      <c r="F34" s="226"/>
      <c r="G34" s="226">
        <v>0</v>
      </c>
      <c r="H34" s="226"/>
      <c r="I34" s="226">
        <v>0</v>
      </c>
      <c r="J34" s="226"/>
      <c r="K34" s="26">
        <f t="shared" si="1"/>
        <v>-816</v>
      </c>
    </row>
    <row r="35" spans="1:11" x14ac:dyDescent="0.25">
      <c r="A35" s="25" t="s">
        <v>1227</v>
      </c>
      <c r="B35" s="221" t="s">
        <v>1291</v>
      </c>
      <c r="C35" s="221" t="s">
        <v>158</v>
      </c>
      <c r="D35" s="221"/>
      <c r="E35" s="226">
        <v>-65743</v>
      </c>
      <c r="F35" s="226"/>
      <c r="G35" s="226">
        <v>0</v>
      </c>
      <c r="H35" s="226"/>
      <c r="I35" s="226">
        <v>710329</v>
      </c>
      <c r="J35" s="226"/>
      <c r="K35" s="26">
        <f t="shared" si="1"/>
        <v>644586</v>
      </c>
    </row>
    <row r="36" spans="1:11" x14ac:dyDescent="0.25">
      <c r="A36" s="25" t="s">
        <v>1228</v>
      </c>
      <c r="B36" s="221" t="s">
        <v>1291</v>
      </c>
      <c r="C36" s="221" t="s">
        <v>159</v>
      </c>
      <c r="D36" s="221"/>
      <c r="E36" s="226">
        <v>0</v>
      </c>
      <c r="F36" s="226"/>
      <c r="G36" s="226">
        <v>0</v>
      </c>
      <c r="H36" s="226"/>
      <c r="I36" s="226">
        <v>57765</v>
      </c>
      <c r="J36" s="226"/>
      <c r="K36" s="26">
        <f t="shared" si="1"/>
        <v>57765</v>
      </c>
    </row>
    <row r="37" spans="1:11" x14ac:dyDescent="0.25">
      <c r="A37" s="25" t="s">
        <v>1229</v>
      </c>
      <c r="B37" s="221" t="s">
        <v>1292</v>
      </c>
      <c r="C37" s="221" t="s">
        <v>160</v>
      </c>
      <c r="D37" s="221"/>
      <c r="E37" s="226">
        <v>971250</v>
      </c>
      <c r="F37" s="226"/>
      <c r="G37" s="226">
        <v>0</v>
      </c>
      <c r="H37" s="226"/>
      <c r="I37" s="226">
        <v>0</v>
      </c>
      <c r="J37" s="226"/>
      <c r="K37" s="26">
        <f t="shared" si="1"/>
        <v>971250</v>
      </c>
    </row>
    <row r="38" spans="1:11" x14ac:dyDescent="0.25">
      <c r="A38" s="25" t="s">
        <v>1230</v>
      </c>
      <c r="B38" s="221" t="s">
        <v>1292</v>
      </c>
      <c r="C38" s="221" t="s">
        <v>160</v>
      </c>
      <c r="D38" s="221"/>
      <c r="E38" s="226">
        <v>0</v>
      </c>
      <c r="F38" s="226"/>
      <c r="G38" s="226">
        <v>0</v>
      </c>
      <c r="H38" s="226"/>
      <c r="I38" s="226">
        <v>0</v>
      </c>
      <c r="J38" s="226"/>
      <c r="K38" s="26">
        <f t="shared" si="1"/>
        <v>0</v>
      </c>
    </row>
    <row r="39" spans="1:11" x14ac:dyDescent="0.25">
      <c r="A39" s="25" t="s">
        <v>1231</v>
      </c>
      <c r="B39" s="221" t="s">
        <v>1292</v>
      </c>
      <c r="C39" s="221" t="s">
        <v>160</v>
      </c>
      <c r="D39" s="221"/>
      <c r="E39" s="226">
        <v>0</v>
      </c>
      <c r="F39" s="226"/>
      <c r="G39" s="226">
        <v>0</v>
      </c>
      <c r="H39" s="226"/>
      <c r="I39" s="226">
        <v>0</v>
      </c>
      <c r="J39" s="226"/>
      <c r="K39" s="26">
        <f t="shared" si="1"/>
        <v>0</v>
      </c>
    </row>
    <row r="40" spans="1:11" x14ac:dyDescent="0.25">
      <c r="A40" s="25" t="s">
        <v>1232</v>
      </c>
      <c r="B40" s="221" t="s">
        <v>1292</v>
      </c>
      <c r="C40" s="221" t="s">
        <v>160</v>
      </c>
      <c r="D40" s="221"/>
      <c r="E40" s="226">
        <v>0</v>
      </c>
      <c r="F40" s="226"/>
      <c r="G40" s="226">
        <v>0</v>
      </c>
      <c r="H40" s="226"/>
      <c r="I40" s="226">
        <v>0</v>
      </c>
      <c r="J40" s="226"/>
      <c r="K40" s="26">
        <f t="shared" si="1"/>
        <v>0</v>
      </c>
    </row>
    <row r="41" spans="1:11" x14ac:dyDescent="0.25">
      <c r="A41" s="25" t="s">
        <v>1233</v>
      </c>
      <c r="B41" s="221" t="s">
        <v>1292</v>
      </c>
      <c r="C41" s="221" t="s">
        <v>158</v>
      </c>
      <c r="D41" s="221"/>
      <c r="E41" s="226">
        <v>-64246</v>
      </c>
      <c r="F41" s="226"/>
      <c r="G41" s="226">
        <v>0</v>
      </c>
      <c r="H41" s="226"/>
      <c r="I41" s="226">
        <v>165127</v>
      </c>
      <c r="J41" s="226"/>
      <c r="K41" s="26">
        <f t="shared" si="1"/>
        <v>100881</v>
      </c>
    </row>
    <row r="42" spans="1:11" x14ac:dyDescent="0.25">
      <c r="A42" s="25" t="s">
        <v>1234</v>
      </c>
      <c r="B42" s="221" t="s">
        <v>1292</v>
      </c>
      <c r="C42" s="221" t="s">
        <v>159</v>
      </c>
      <c r="D42" s="221"/>
      <c r="E42" s="226">
        <v>0</v>
      </c>
      <c r="F42" s="226"/>
      <c r="G42" s="226">
        <v>0</v>
      </c>
      <c r="H42" s="226"/>
      <c r="I42" s="226">
        <v>48746</v>
      </c>
      <c r="J42" s="226"/>
      <c r="K42" s="26">
        <f t="shared" si="1"/>
        <v>48746</v>
      </c>
    </row>
    <row r="43" spans="1:11" x14ac:dyDescent="0.25">
      <c r="A43" s="25" t="s">
        <v>1235</v>
      </c>
      <c r="B43" s="221" t="s">
        <v>164</v>
      </c>
      <c r="C43" s="221" t="s">
        <v>158</v>
      </c>
      <c r="D43" s="221"/>
      <c r="E43" s="226">
        <v>-194780</v>
      </c>
      <c r="F43" s="226"/>
      <c r="G43" s="226">
        <v>0</v>
      </c>
      <c r="H43" s="226"/>
      <c r="I43" s="226">
        <v>1062180</v>
      </c>
      <c r="J43" s="226"/>
      <c r="K43" s="26">
        <f t="shared" si="1"/>
        <v>867400</v>
      </c>
    </row>
    <row r="44" spans="1:11" x14ac:dyDescent="0.25">
      <c r="A44" s="25" t="s">
        <v>1202</v>
      </c>
      <c r="B44" s="221" t="s">
        <v>164</v>
      </c>
      <c r="C44" s="221" t="s">
        <v>159</v>
      </c>
      <c r="D44" s="221"/>
      <c r="E44" s="226">
        <v>0</v>
      </c>
      <c r="F44" s="226"/>
      <c r="G44" s="226">
        <v>0</v>
      </c>
      <c r="H44" s="226"/>
      <c r="I44" s="226">
        <v>901847</v>
      </c>
      <c r="J44" s="226"/>
      <c r="K44" s="26">
        <f t="shared" si="1"/>
        <v>901847</v>
      </c>
    </row>
    <row r="45" spans="1:11" x14ac:dyDescent="0.25">
      <c r="A45" s="25" t="s">
        <v>1203</v>
      </c>
      <c r="B45" s="221" t="s">
        <v>1332</v>
      </c>
      <c r="C45" s="221" t="s">
        <v>158</v>
      </c>
      <c r="D45" s="221"/>
      <c r="E45" s="226">
        <v>0</v>
      </c>
      <c r="F45" s="226"/>
      <c r="G45" s="226">
        <v>0</v>
      </c>
      <c r="H45" s="226"/>
      <c r="I45" s="226">
        <v>9601</v>
      </c>
      <c r="J45" s="226"/>
      <c r="K45" s="26">
        <f t="shared" si="1"/>
        <v>9601</v>
      </c>
    </row>
    <row r="46" spans="1:11" x14ac:dyDescent="0.25">
      <c r="A46" s="25" t="s">
        <v>1204</v>
      </c>
      <c r="B46" s="221" t="s">
        <v>1332</v>
      </c>
      <c r="C46" s="221" t="s">
        <v>159</v>
      </c>
      <c r="D46" s="221"/>
      <c r="E46" s="226">
        <v>0</v>
      </c>
      <c r="F46" s="226"/>
      <c r="G46" s="226">
        <v>0</v>
      </c>
      <c r="H46" s="226"/>
      <c r="I46" s="226">
        <v>3758</v>
      </c>
      <c r="J46" s="226"/>
      <c r="K46" s="26">
        <f t="shared" si="1"/>
        <v>3758</v>
      </c>
    </row>
    <row r="47" spans="1:11" x14ac:dyDescent="0.25">
      <c r="A47" s="25" t="s">
        <v>1205</v>
      </c>
      <c r="B47" s="221" t="s">
        <v>1333</v>
      </c>
      <c r="C47" s="221" t="s">
        <v>160</v>
      </c>
      <c r="D47" s="221"/>
      <c r="E47" s="226">
        <v>194250</v>
      </c>
      <c r="F47" s="226"/>
      <c r="G47" s="226">
        <v>0</v>
      </c>
      <c r="H47" s="226"/>
      <c r="I47" s="226">
        <v>0</v>
      </c>
      <c r="J47" s="226"/>
      <c r="K47" s="26">
        <f t="shared" si="1"/>
        <v>194250</v>
      </c>
    </row>
    <row r="48" spans="1:11" x14ac:dyDescent="0.25">
      <c r="A48" s="25" t="s">
        <v>1206</v>
      </c>
      <c r="B48" s="221" t="s">
        <v>1333</v>
      </c>
      <c r="C48" s="221" t="s">
        <v>160</v>
      </c>
      <c r="D48" s="221"/>
      <c r="E48" s="226">
        <v>0</v>
      </c>
      <c r="F48" s="226"/>
      <c r="G48" s="226">
        <v>0</v>
      </c>
      <c r="H48" s="226"/>
      <c r="I48" s="226">
        <v>0</v>
      </c>
      <c r="J48" s="226"/>
      <c r="K48" s="26">
        <f t="shared" si="1"/>
        <v>0</v>
      </c>
    </row>
    <row r="49" spans="1:12" x14ac:dyDescent="0.25">
      <c r="A49" s="25" t="s">
        <v>1207</v>
      </c>
      <c r="B49" s="221" t="s">
        <v>1333</v>
      </c>
      <c r="C49" s="221" t="s">
        <v>158</v>
      </c>
      <c r="D49" s="221"/>
      <c r="E49" s="226">
        <v>-10271</v>
      </c>
      <c r="F49" s="226"/>
      <c r="G49" s="226">
        <v>0</v>
      </c>
      <c r="H49" s="226"/>
      <c r="I49" s="226">
        <v>0</v>
      </c>
      <c r="J49" s="226"/>
      <c r="K49" s="26">
        <f t="shared" si="1"/>
        <v>-10271</v>
      </c>
    </row>
    <row r="50" spans="1:12" x14ac:dyDescent="0.25">
      <c r="A50" s="25" t="s">
        <v>1208</v>
      </c>
      <c r="B50" s="221" t="s">
        <v>1293</v>
      </c>
      <c r="C50" s="221" t="s">
        <v>160</v>
      </c>
      <c r="D50" s="221"/>
      <c r="E50" s="226">
        <v>1535735</v>
      </c>
      <c r="F50" s="226"/>
      <c r="G50" s="226">
        <v>0</v>
      </c>
      <c r="H50" s="226"/>
      <c r="I50" s="226">
        <v>-10925</v>
      </c>
      <c r="J50" s="226"/>
      <c r="K50" s="26">
        <f t="shared" si="1"/>
        <v>1524810</v>
      </c>
    </row>
    <row r="51" spans="1:12" x14ac:dyDescent="0.25">
      <c r="A51" s="25" t="s">
        <v>1209</v>
      </c>
      <c r="B51" s="221" t="s">
        <v>1293</v>
      </c>
      <c r="C51" s="221" t="s">
        <v>158</v>
      </c>
      <c r="D51" s="221"/>
      <c r="E51" s="226">
        <v>-365328</v>
      </c>
      <c r="F51" s="226"/>
      <c r="G51" s="226">
        <v>0</v>
      </c>
      <c r="H51" s="226"/>
      <c r="I51" s="226">
        <v>2791129</v>
      </c>
      <c r="J51" s="226"/>
      <c r="K51" s="26">
        <f t="shared" si="1"/>
        <v>2425801</v>
      </c>
    </row>
    <row r="52" spans="1:12" x14ac:dyDescent="0.25">
      <c r="A52" s="25" t="s">
        <v>1210</v>
      </c>
      <c r="B52" s="221" t="s">
        <v>1293</v>
      </c>
      <c r="C52" s="221" t="s">
        <v>159</v>
      </c>
      <c r="D52" s="221"/>
      <c r="E52" s="226">
        <v>0</v>
      </c>
      <c r="F52" s="226"/>
      <c r="G52" s="226">
        <v>0</v>
      </c>
      <c r="H52" s="226"/>
      <c r="I52" s="226">
        <v>1274083</v>
      </c>
      <c r="J52" s="226"/>
      <c r="K52" s="26">
        <f t="shared" si="1"/>
        <v>1274083</v>
      </c>
    </row>
    <row r="53" spans="1:12" x14ac:dyDescent="0.25">
      <c r="A53" s="25" t="s">
        <v>1211</v>
      </c>
      <c r="B53" s="221" t="s">
        <v>1294</v>
      </c>
      <c r="C53" s="221" t="s">
        <v>158</v>
      </c>
      <c r="D53" s="221"/>
      <c r="E53" s="226">
        <v>-23</v>
      </c>
      <c r="F53" s="226"/>
      <c r="G53" s="226">
        <v>0</v>
      </c>
      <c r="H53" s="226"/>
      <c r="I53" s="226">
        <v>0</v>
      </c>
      <c r="J53" s="226"/>
      <c r="K53" s="26">
        <f t="shared" si="1"/>
        <v>-23</v>
      </c>
    </row>
    <row r="54" spans="1:12" x14ac:dyDescent="0.25">
      <c r="A54" s="25" t="s">
        <v>1212</v>
      </c>
      <c r="B54" s="221" t="s">
        <v>156</v>
      </c>
      <c r="C54" s="221" t="s">
        <v>158</v>
      </c>
      <c r="D54" s="221"/>
      <c r="E54" s="226">
        <v>-39624</v>
      </c>
      <c r="F54" s="226"/>
      <c r="G54" s="226">
        <v>0</v>
      </c>
      <c r="H54" s="226"/>
      <c r="I54" s="226">
        <v>553801</v>
      </c>
      <c r="J54" s="226"/>
      <c r="K54" s="26">
        <f t="shared" si="1"/>
        <v>514177</v>
      </c>
    </row>
    <row r="55" spans="1:12" x14ac:dyDescent="0.25">
      <c r="A55" s="25" t="s">
        <v>1213</v>
      </c>
      <c r="B55" s="221" t="s">
        <v>156</v>
      </c>
      <c r="C55" s="221" t="s">
        <v>159</v>
      </c>
      <c r="D55" s="221"/>
      <c r="E55" s="226">
        <v>0</v>
      </c>
      <c r="F55" s="226"/>
      <c r="G55" s="226">
        <v>0</v>
      </c>
      <c r="H55" s="226"/>
      <c r="I55" s="226">
        <v>60170</v>
      </c>
      <c r="J55" s="226"/>
      <c r="K55" s="26">
        <f t="shared" si="1"/>
        <v>60170</v>
      </c>
    </row>
    <row r="56" spans="1:12" x14ac:dyDescent="0.25">
      <c r="A56" s="25" t="s">
        <v>1214</v>
      </c>
      <c r="B56" s="221" t="s">
        <v>157</v>
      </c>
      <c r="C56" s="221" t="s">
        <v>158</v>
      </c>
      <c r="D56" s="221"/>
      <c r="E56" s="226">
        <v>-2481</v>
      </c>
      <c r="F56" s="226"/>
      <c r="G56" s="226">
        <v>0</v>
      </c>
      <c r="H56" s="226"/>
      <c r="I56" s="226">
        <v>35840</v>
      </c>
      <c r="J56" s="226"/>
      <c r="K56" s="26">
        <f t="shared" si="1"/>
        <v>33359</v>
      </c>
    </row>
    <row r="57" spans="1:12" s="221" customFormat="1" x14ac:dyDescent="0.25">
      <c r="A57" s="25" t="s">
        <v>1215</v>
      </c>
      <c r="B57" s="221" t="s">
        <v>157</v>
      </c>
      <c r="C57" s="221" t="s">
        <v>159</v>
      </c>
      <c r="E57" s="226">
        <v>0</v>
      </c>
      <c r="F57" s="226"/>
      <c r="G57" s="226">
        <v>0</v>
      </c>
      <c r="H57" s="226"/>
      <c r="I57" s="226">
        <v>2426</v>
      </c>
      <c r="J57" s="226"/>
      <c r="K57" s="26">
        <f t="shared" si="1"/>
        <v>2426</v>
      </c>
      <c r="L57" s="5"/>
    </row>
    <row r="58" spans="1:12" s="221" customFormat="1" x14ac:dyDescent="0.25">
      <c r="A58" s="25" t="s">
        <v>1216</v>
      </c>
      <c r="B58" s="11" t="s">
        <v>1295</v>
      </c>
      <c r="E58" s="226">
        <v>0</v>
      </c>
      <c r="F58" s="226"/>
      <c r="G58" s="226">
        <v>0</v>
      </c>
      <c r="H58" s="226"/>
      <c r="I58" s="226">
        <v>0</v>
      </c>
      <c r="J58" s="226"/>
      <c r="K58" s="26">
        <f t="shared" si="1"/>
        <v>0</v>
      </c>
      <c r="L58" s="5"/>
    </row>
    <row r="59" spans="1:12" s="221" customFormat="1" x14ac:dyDescent="0.25">
      <c r="A59" s="25" t="s">
        <v>1217</v>
      </c>
      <c r="B59" s="221" t="s">
        <v>994</v>
      </c>
      <c r="C59" s="221" t="s">
        <v>1296</v>
      </c>
      <c r="E59" s="226">
        <v>3133718</v>
      </c>
      <c r="F59" s="226"/>
      <c r="G59" s="226">
        <v>0</v>
      </c>
      <c r="H59" s="226"/>
      <c r="I59" s="226">
        <v>941170</v>
      </c>
      <c r="J59" s="226"/>
      <c r="K59" s="26">
        <f t="shared" si="1"/>
        <v>4074888</v>
      </c>
      <c r="L59" s="5"/>
    </row>
    <row r="60" spans="1:12" s="221" customFormat="1" x14ac:dyDescent="0.25">
      <c r="A60" s="25" t="s">
        <v>1218</v>
      </c>
      <c r="B60" s="221" t="s">
        <v>1161</v>
      </c>
      <c r="C60" s="221" t="s">
        <v>1296</v>
      </c>
      <c r="E60" s="226">
        <v>7175053</v>
      </c>
      <c r="F60" s="226"/>
      <c r="G60" s="226">
        <v>0</v>
      </c>
      <c r="H60" s="226"/>
      <c r="I60" s="226">
        <v>2118924</v>
      </c>
      <c r="J60" s="226"/>
      <c r="K60" s="26">
        <f t="shared" si="1"/>
        <v>9293977</v>
      </c>
      <c r="L60" s="5"/>
    </row>
    <row r="61" spans="1:12" x14ac:dyDescent="0.25">
      <c r="A61" s="25" t="s">
        <v>1219</v>
      </c>
      <c r="B61" s="221" t="s">
        <v>227</v>
      </c>
      <c r="C61" s="221" t="s">
        <v>1296</v>
      </c>
      <c r="D61" s="221"/>
      <c r="E61" s="226">
        <v>2229278</v>
      </c>
      <c r="F61" s="226"/>
      <c r="G61" s="226">
        <v>0</v>
      </c>
      <c r="H61" s="226"/>
      <c r="I61" s="226">
        <v>667515</v>
      </c>
      <c r="J61" s="226"/>
      <c r="K61" s="26">
        <f t="shared" si="1"/>
        <v>2896793</v>
      </c>
    </row>
    <row r="62" spans="1:12" s="221" customFormat="1" x14ac:dyDescent="0.25">
      <c r="A62" s="25" t="s">
        <v>1220</v>
      </c>
      <c r="B62" s="221" t="s">
        <v>995</v>
      </c>
      <c r="C62" s="221" t="s">
        <v>1296</v>
      </c>
      <c r="E62" s="226">
        <v>316138</v>
      </c>
      <c r="F62" s="181"/>
      <c r="G62" s="83"/>
      <c r="H62" s="181"/>
      <c r="I62" s="226">
        <v>94521</v>
      </c>
      <c r="J62" s="181"/>
      <c r="K62" s="26">
        <f t="shared" si="1"/>
        <v>410659</v>
      </c>
      <c r="L62" s="5"/>
    </row>
    <row r="63" spans="1:12" x14ac:dyDescent="0.25">
      <c r="A63" s="25" t="s">
        <v>1221</v>
      </c>
      <c r="B63" s="221" t="s">
        <v>165</v>
      </c>
      <c r="C63" s="221" t="s">
        <v>1296</v>
      </c>
      <c r="D63" s="221"/>
      <c r="E63" s="226">
        <v>401594</v>
      </c>
      <c r="F63" s="226"/>
      <c r="G63" s="226">
        <v>0</v>
      </c>
      <c r="H63" s="226"/>
      <c r="I63" s="226">
        <v>65234</v>
      </c>
      <c r="J63" s="226"/>
      <c r="K63" s="26">
        <f t="shared" si="1"/>
        <v>466828</v>
      </c>
    </row>
    <row r="64" spans="1:12" x14ac:dyDescent="0.25">
      <c r="A64" s="25" t="s">
        <v>1222</v>
      </c>
      <c r="B64" s="221" t="s">
        <v>1297</v>
      </c>
      <c r="C64" s="221" t="s">
        <v>1296</v>
      </c>
      <c r="D64" s="221"/>
      <c r="E64" s="226">
        <v>7503123</v>
      </c>
      <c r="F64" s="226"/>
      <c r="G64" s="226">
        <v>0</v>
      </c>
      <c r="H64" s="226"/>
      <c r="I64" s="226">
        <v>1193242</v>
      </c>
      <c r="J64" s="226"/>
      <c r="K64" s="26">
        <f t="shared" si="1"/>
        <v>8696365</v>
      </c>
    </row>
    <row r="65" spans="1:11" x14ac:dyDescent="0.25">
      <c r="A65" s="25" t="s">
        <v>1223</v>
      </c>
      <c r="B65" s="221" t="s">
        <v>228</v>
      </c>
      <c r="C65" s="221" t="s">
        <v>1296</v>
      </c>
      <c r="D65" s="221"/>
      <c r="E65" s="226">
        <v>748450</v>
      </c>
      <c r="F65" s="226"/>
      <c r="G65" s="226">
        <v>0</v>
      </c>
      <c r="H65" s="226"/>
      <c r="I65" s="226">
        <v>224607</v>
      </c>
      <c r="J65" s="226"/>
      <c r="K65" s="26">
        <f t="shared" si="1"/>
        <v>973057</v>
      </c>
    </row>
    <row r="66" spans="1:11" x14ac:dyDescent="0.25">
      <c r="A66" s="25" t="s">
        <v>1224</v>
      </c>
      <c r="B66" s="221" t="s">
        <v>229</v>
      </c>
      <c r="C66" s="221" t="s">
        <v>1296</v>
      </c>
      <c r="D66" s="221"/>
      <c r="E66" s="226">
        <v>298606</v>
      </c>
      <c r="F66" s="226"/>
      <c r="G66" s="226">
        <v>0</v>
      </c>
      <c r="H66" s="226"/>
      <c r="I66" s="226">
        <v>89659</v>
      </c>
      <c r="J66" s="226"/>
      <c r="K66" s="26">
        <f t="shared" si="1"/>
        <v>388265</v>
      </c>
    </row>
    <row r="67" spans="1:11" x14ac:dyDescent="0.25">
      <c r="A67" s="25" t="s">
        <v>1225</v>
      </c>
      <c r="B67" s="221" t="s">
        <v>1298</v>
      </c>
      <c r="C67" s="221" t="s">
        <v>1296</v>
      </c>
      <c r="D67" s="221"/>
      <c r="E67" s="226">
        <v>827118</v>
      </c>
      <c r="F67" s="226"/>
      <c r="G67" s="226">
        <v>0</v>
      </c>
      <c r="H67" s="226"/>
      <c r="I67" s="226">
        <v>248423</v>
      </c>
      <c r="J67" s="226"/>
      <c r="K67" s="26">
        <f t="shared" si="1"/>
        <v>1075541</v>
      </c>
    </row>
    <row r="68" spans="1:11" x14ac:dyDescent="0.25">
      <c r="A68" s="25" t="s">
        <v>1226</v>
      </c>
      <c r="B68" s="221" t="s">
        <v>996</v>
      </c>
      <c r="C68" s="221" t="s">
        <v>1296</v>
      </c>
      <c r="D68" s="221"/>
      <c r="E68" s="226">
        <v>5971089</v>
      </c>
      <c r="F68" s="226"/>
      <c r="G68" s="226">
        <v>0</v>
      </c>
      <c r="H68" s="226"/>
      <c r="I68" s="226">
        <v>-3618</v>
      </c>
      <c r="J68" s="226"/>
      <c r="K68" s="26">
        <f t="shared" si="1"/>
        <v>5967471</v>
      </c>
    </row>
    <row r="69" spans="1:11" x14ac:dyDescent="0.25">
      <c r="A69" s="25" t="s">
        <v>1227</v>
      </c>
      <c r="B69" s="221" t="s">
        <v>1299</v>
      </c>
      <c r="C69" s="221" t="s">
        <v>1296</v>
      </c>
      <c r="D69" s="221"/>
      <c r="E69" s="226">
        <v>11127899</v>
      </c>
      <c r="F69" s="226"/>
      <c r="G69" s="226">
        <v>0</v>
      </c>
      <c r="H69" s="226"/>
      <c r="I69" s="226">
        <v>966205</v>
      </c>
      <c r="J69" s="226"/>
      <c r="K69" s="26">
        <f t="shared" si="1"/>
        <v>12094104</v>
      </c>
    </row>
    <row r="70" spans="1:11" x14ac:dyDescent="0.25">
      <c r="A70" s="25" t="s">
        <v>1228</v>
      </c>
      <c r="B70" s="221" t="s">
        <v>997</v>
      </c>
      <c r="C70" s="221" t="s">
        <v>1296</v>
      </c>
      <c r="D70" s="221"/>
      <c r="E70" s="226">
        <v>1126712</v>
      </c>
      <c r="F70" s="226"/>
      <c r="G70" s="226">
        <v>0</v>
      </c>
      <c r="H70" s="226"/>
      <c r="I70" s="226">
        <v>336673</v>
      </c>
      <c r="J70" s="226"/>
      <c r="K70" s="26">
        <f t="shared" si="1"/>
        <v>1463385</v>
      </c>
    </row>
    <row r="71" spans="1:11" x14ac:dyDescent="0.25">
      <c r="A71" s="25" t="s">
        <v>1229</v>
      </c>
      <c r="B71" s="221" t="s">
        <v>230</v>
      </c>
      <c r="C71" s="221" t="s">
        <v>1296</v>
      </c>
      <c r="D71" s="221"/>
      <c r="E71" s="226">
        <v>5787643</v>
      </c>
      <c r="F71" s="226"/>
      <c r="G71" s="226">
        <v>0</v>
      </c>
      <c r="H71" s="226"/>
      <c r="I71" s="226">
        <v>659674</v>
      </c>
      <c r="J71" s="226"/>
      <c r="K71" s="26">
        <f t="shared" si="1"/>
        <v>6447317</v>
      </c>
    </row>
    <row r="72" spans="1:11" x14ac:dyDescent="0.25">
      <c r="A72" s="25" t="s">
        <v>1230</v>
      </c>
      <c r="B72" s="221" t="s">
        <v>998</v>
      </c>
      <c r="C72" s="221" t="s">
        <v>1296</v>
      </c>
      <c r="D72" s="221"/>
      <c r="E72" s="226">
        <v>3590175</v>
      </c>
      <c r="F72" s="226"/>
      <c r="G72" s="226">
        <v>0</v>
      </c>
      <c r="H72" s="226"/>
      <c r="I72" s="226">
        <v>1077269</v>
      </c>
      <c r="J72" s="226"/>
      <c r="K72" s="26">
        <f t="shared" si="1"/>
        <v>4667444</v>
      </c>
    </row>
    <row r="73" spans="1:11" x14ac:dyDescent="0.25">
      <c r="A73" s="25" t="s">
        <v>1231</v>
      </c>
      <c r="B73" s="221" t="s">
        <v>1300</v>
      </c>
      <c r="C73" s="221" t="s">
        <v>1296</v>
      </c>
      <c r="D73" s="221"/>
      <c r="E73" s="226">
        <v>15441</v>
      </c>
      <c r="F73" s="226"/>
      <c r="G73" s="226">
        <v>0</v>
      </c>
      <c r="H73" s="226"/>
      <c r="I73" s="226">
        <v>4251</v>
      </c>
      <c r="J73" s="226"/>
      <c r="K73" s="26">
        <f t="shared" si="1"/>
        <v>19692</v>
      </c>
    </row>
    <row r="74" spans="1:11" x14ac:dyDescent="0.25">
      <c r="A74" s="25" t="s">
        <v>1232</v>
      </c>
      <c r="B74" s="221" t="s">
        <v>1301</v>
      </c>
      <c r="C74" s="221" t="s">
        <v>1296</v>
      </c>
      <c r="D74" s="221"/>
      <c r="E74" s="226">
        <v>2954589</v>
      </c>
      <c r="F74" s="226"/>
      <c r="G74" s="226">
        <v>0</v>
      </c>
      <c r="H74" s="226"/>
      <c r="I74" s="226">
        <v>495524</v>
      </c>
      <c r="J74" s="226"/>
      <c r="K74" s="26">
        <f t="shared" si="1"/>
        <v>3450113</v>
      </c>
    </row>
    <row r="75" spans="1:11" x14ac:dyDescent="0.25">
      <c r="A75" s="25" t="s">
        <v>1233</v>
      </c>
      <c r="B75" s="221" t="s">
        <v>1239</v>
      </c>
      <c r="C75" s="221" t="s">
        <v>1296</v>
      </c>
      <c r="D75" s="221"/>
      <c r="E75" s="226">
        <v>0</v>
      </c>
      <c r="F75" s="226"/>
      <c r="G75" s="226">
        <v>0</v>
      </c>
      <c r="H75" s="226"/>
      <c r="I75" s="226">
        <v>-450579</v>
      </c>
      <c r="J75" s="226"/>
      <c r="K75" s="26">
        <f t="shared" si="1"/>
        <v>-450579</v>
      </c>
    </row>
    <row r="76" spans="1:11" x14ac:dyDescent="0.25">
      <c r="A76" s="25" t="s">
        <v>1234</v>
      </c>
      <c r="B76" s="221" t="s">
        <v>1302</v>
      </c>
      <c r="C76" s="221" t="s">
        <v>1296</v>
      </c>
      <c r="D76" s="221"/>
      <c r="E76" s="226">
        <v>165134</v>
      </c>
      <c r="F76" s="226"/>
      <c r="G76" s="226">
        <v>0</v>
      </c>
      <c r="H76" s="226"/>
      <c r="I76" s="226">
        <v>49351</v>
      </c>
      <c r="J76" s="226"/>
      <c r="K76" s="26">
        <f t="shared" si="1"/>
        <v>214485</v>
      </c>
    </row>
    <row r="77" spans="1:11" x14ac:dyDescent="0.25">
      <c r="A77" s="25" t="s">
        <v>1235</v>
      </c>
      <c r="B77" s="221" t="s">
        <v>1303</v>
      </c>
      <c r="C77" s="221" t="s">
        <v>1296</v>
      </c>
      <c r="D77" s="221"/>
      <c r="E77" s="226">
        <v>33084</v>
      </c>
      <c r="F77" s="226"/>
      <c r="G77" s="226">
        <v>0</v>
      </c>
      <c r="H77" s="226"/>
      <c r="I77" s="226">
        <v>9092</v>
      </c>
      <c r="J77" s="226"/>
      <c r="K77" s="26">
        <f t="shared" si="1"/>
        <v>42176</v>
      </c>
    </row>
    <row r="78" spans="1:11" x14ac:dyDescent="0.25">
      <c r="A78" s="25" t="s">
        <v>1202</v>
      </c>
      <c r="B78" s="221" t="s">
        <v>1304</v>
      </c>
      <c r="C78" s="221" t="s">
        <v>1296</v>
      </c>
      <c r="D78" s="221"/>
      <c r="E78" s="226">
        <v>256417</v>
      </c>
      <c r="F78" s="226"/>
      <c r="G78" s="226">
        <v>0</v>
      </c>
      <c r="H78" s="226"/>
      <c r="I78" s="226">
        <v>76895</v>
      </c>
      <c r="J78" s="226"/>
      <c r="K78" s="26">
        <f t="shared" si="1"/>
        <v>333312</v>
      </c>
    </row>
    <row r="79" spans="1:11" x14ac:dyDescent="0.25">
      <c r="A79" s="25" t="s">
        <v>1203</v>
      </c>
      <c r="B79" s="221" t="s">
        <v>999</v>
      </c>
      <c r="C79" s="221" t="s">
        <v>1296</v>
      </c>
      <c r="D79" s="221"/>
      <c r="E79" s="226">
        <v>109275</v>
      </c>
      <c r="F79" s="226"/>
      <c r="G79" s="226">
        <v>0</v>
      </c>
      <c r="H79" s="226"/>
      <c r="I79" s="226">
        <v>32796</v>
      </c>
      <c r="J79" s="226"/>
      <c r="K79" s="26">
        <f t="shared" si="1"/>
        <v>142071</v>
      </c>
    </row>
    <row r="80" spans="1:11" x14ac:dyDescent="0.25">
      <c r="A80" s="25" t="s">
        <v>1204</v>
      </c>
      <c r="B80" s="221" t="s">
        <v>1305</v>
      </c>
      <c r="C80" s="221" t="s">
        <v>1296</v>
      </c>
      <c r="D80" s="221"/>
      <c r="E80" s="226">
        <v>29276</v>
      </c>
      <c r="F80" s="226"/>
      <c r="G80" s="226">
        <v>0</v>
      </c>
      <c r="H80" s="226"/>
      <c r="I80" s="226">
        <v>7004</v>
      </c>
      <c r="J80" s="226"/>
      <c r="K80" s="26">
        <f t="shared" si="1"/>
        <v>36280</v>
      </c>
    </row>
    <row r="81" spans="1:14" x14ac:dyDescent="0.25">
      <c r="A81" s="25" t="s">
        <v>1205</v>
      </c>
      <c r="B81" s="221" t="s">
        <v>1306</v>
      </c>
      <c r="C81" s="221" t="s">
        <v>1296</v>
      </c>
      <c r="D81" s="221"/>
      <c r="E81" s="226">
        <v>399399</v>
      </c>
      <c r="F81" s="226"/>
      <c r="G81" s="226">
        <v>0</v>
      </c>
      <c r="H81" s="226"/>
      <c r="I81" s="226">
        <v>114045</v>
      </c>
      <c r="J81" s="226"/>
      <c r="K81" s="26">
        <f t="shared" ref="K81:K88" si="2">E81+G81+I81</f>
        <v>513444</v>
      </c>
    </row>
    <row r="82" spans="1:14" x14ac:dyDescent="0.25">
      <c r="A82" s="25" t="s">
        <v>1206</v>
      </c>
      <c r="B82" s="221" t="s">
        <v>1307</v>
      </c>
      <c r="C82" s="221" t="s">
        <v>1296</v>
      </c>
      <c r="D82" s="221"/>
      <c r="E82" s="226">
        <v>109947</v>
      </c>
      <c r="F82" s="226"/>
      <c r="G82" s="226">
        <v>0</v>
      </c>
      <c r="H82" s="226"/>
      <c r="I82" s="226">
        <v>32954</v>
      </c>
      <c r="J82" s="226"/>
      <c r="K82" s="26">
        <f t="shared" si="2"/>
        <v>142901</v>
      </c>
    </row>
    <row r="83" spans="1:14" x14ac:dyDescent="0.25">
      <c r="A83" s="25" t="s">
        <v>1207</v>
      </c>
      <c r="B83" s="221" t="s">
        <v>1253</v>
      </c>
      <c r="C83" s="221"/>
      <c r="D83" s="221"/>
      <c r="E83" s="226">
        <v>2090937</v>
      </c>
      <c r="F83" s="226"/>
      <c r="G83" s="226">
        <v>0</v>
      </c>
      <c r="H83" s="226"/>
      <c r="I83" s="226">
        <v>74916</v>
      </c>
      <c r="J83" s="226"/>
      <c r="K83" s="26">
        <f t="shared" si="2"/>
        <v>2165853</v>
      </c>
    </row>
    <row r="84" spans="1:14" x14ac:dyDescent="0.25">
      <c r="A84" s="25" t="s">
        <v>1208</v>
      </c>
      <c r="B84" s="221"/>
      <c r="C84" s="221"/>
      <c r="D84" s="221"/>
      <c r="E84" s="226">
        <v>0</v>
      </c>
      <c r="F84" s="226"/>
      <c r="G84" s="226">
        <v>0</v>
      </c>
      <c r="H84" s="226"/>
      <c r="I84" s="226">
        <v>0</v>
      </c>
      <c r="J84" s="226"/>
      <c r="K84" s="26">
        <f t="shared" si="2"/>
        <v>0</v>
      </c>
    </row>
    <row r="85" spans="1:14" x14ac:dyDescent="0.25">
      <c r="A85" s="25" t="s">
        <v>1209</v>
      </c>
      <c r="B85" s="221"/>
      <c r="C85" s="221"/>
      <c r="D85" s="221"/>
      <c r="E85" s="226">
        <v>0</v>
      </c>
      <c r="F85" s="226"/>
      <c r="G85" s="226">
        <v>0</v>
      </c>
      <c r="H85" s="226"/>
      <c r="I85" s="226">
        <v>0</v>
      </c>
      <c r="J85" s="226"/>
      <c r="K85" s="26">
        <f t="shared" si="2"/>
        <v>0</v>
      </c>
    </row>
    <row r="86" spans="1:14" x14ac:dyDescent="0.25">
      <c r="A86" s="25" t="s">
        <v>1210</v>
      </c>
      <c r="B86" s="221"/>
      <c r="C86" s="221"/>
      <c r="D86" s="221"/>
      <c r="E86" s="226">
        <v>0</v>
      </c>
      <c r="F86" s="226"/>
      <c r="G86" s="226">
        <v>0</v>
      </c>
      <c r="H86" s="226"/>
      <c r="I86" s="226">
        <v>0</v>
      </c>
      <c r="J86" s="226"/>
      <c r="K86" s="26">
        <f t="shared" si="2"/>
        <v>0</v>
      </c>
    </row>
    <row r="87" spans="1:14" s="221" customFormat="1" x14ac:dyDescent="0.25">
      <c r="A87" s="25" t="s">
        <v>1211</v>
      </c>
      <c r="E87" s="226">
        <v>0</v>
      </c>
      <c r="F87" s="226"/>
      <c r="G87" s="226">
        <v>0</v>
      </c>
      <c r="H87" s="226"/>
      <c r="I87" s="226">
        <v>0</v>
      </c>
      <c r="J87" s="226"/>
      <c r="K87" s="26">
        <f t="shared" si="2"/>
        <v>0</v>
      </c>
      <c r="L87" s="5"/>
    </row>
    <row r="88" spans="1:14" s="221" customFormat="1" x14ac:dyDescent="0.25">
      <c r="A88" s="25" t="s">
        <v>1212</v>
      </c>
      <c r="C88" s="221" t="s">
        <v>1238</v>
      </c>
      <c r="E88" s="226">
        <v>0</v>
      </c>
      <c r="F88" s="226"/>
      <c r="G88" s="226">
        <v>0</v>
      </c>
      <c r="H88" s="226"/>
      <c r="I88" s="226">
        <v>0</v>
      </c>
      <c r="J88" s="226"/>
      <c r="K88" s="26">
        <f t="shared" si="2"/>
        <v>0</v>
      </c>
      <c r="L88" s="5"/>
    </row>
    <row r="89" spans="1:14" x14ac:dyDescent="0.25">
      <c r="A89" s="221"/>
      <c r="C89" s="221"/>
      <c r="D89" s="221"/>
      <c r="E89" s="83"/>
      <c r="F89" s="181"/>
      <c r="G89" s="83"/>
      <c r="H89" s="181"/>
      <c r="I89" s="83"/>
      <c r="J89" s="181"/>
      <c r="K89" s="83"/>
    </row>
    <row r="90" spans="1:14" x14ac:dyDescent="0.25">
      <c r="A90" s="221"/>
      <c r="B90" s="5" t="s">
        <v>1171</v>
      </c>
      <c r="C90" s="221"/>
      <c r="D90" s="221"/>
      <c r="E90" s="83">
        <f t="shared" ref="E90:G90" si="3">SUM(E10:E88)</f>
        <v>63497802</v>
      </c>
      <c r="F90" s="83"/>
      <c r="G90" s="83">
        <f t="shared" si="3"/>
        <v>284932</v>
      </c>
      <c r="H90" s="83"/>
      <c r="I90" s="83">
        <f>SUM(I10:I88)</f>
        <v>22297053</v>
      </c>
      <c r="J90" s="181"/>
      <c r="K90" s="83">
        <f>SUM(E90:I90)</f>
        <v>86079787</v>
      </c>
    </row>
    <row r="91" spans="1:14" x14ac:dyDescent="0.25">
      <c r="A91" s="221"/>
      <c r="C91" s="221"/>
      <c r="D91" s="221"/>
      <c r="E91" s="221"/>
      <c r="F91" s="221"/>
      <c r="G91" s="221"/>
      <c r="H91" s="221"/>
      <c r="I91" s="221"/>
      <c r="J91" s="221"/>
      <c r="K91" s="221"/>
    </row>
    <row r="92" spans="1:14" x14ac:dyDescent="0.25">
      <c r="A92" s="221"/>
      <c r="B92" s="193" t="s">
        <v>1064</v>
      </c>
      <c r="C92" s="221"/>
      <c r="D92" s="221"/>
      <c r="E92" s="225">
        <f>SUM(E10:E57)</f>
        <v>7097707</v>
      </c>
      <c r="F92" s="270"/>
      <c r="G92" s="225">
        <f>SUM(G10:G57)</f>
        <v>284932</v>
      </c>
      <c r="H92" s="270"/>
      <c r="I92" s="225">
        <f>SUM(I10:I57)</f>
        <v>13171306</v>
      </c>
      <c r="J92" s="181"/>
      <c r="K92" s="83">
        <f>SUM(E92:I92)</f>
        <v>20553945</v>
      </c>
    </row>
    <row r="93" spans="1:14" x14ac:dyDescent="0.25">
      <c r="A93" s="221"/>
      <c r="B93" s="194" t="s">
        <v>1048</v>
      </c>
      <c r="C93" s="221"/>
      <c r="D93" s="221"/>
      <c r="E93" s="33"/>
      <c r="F93" s="221"/>
      <c r="G93" s="33"/>
      <c r="H93" s="221"/>
      <c r="I93" s="33"/>
      <c r="J93" s="221"/>
      <c r="K93" s="226">
        <v>434673.1</v>
      </c>
      <c r="L93" s="234"/>
    </row>
    <row r="94" spans="1:14" x14ac:dyDescent="0.25">
      <c r="A94" s="221"/>
      <c r="B94" s="193" t="s">
        <v>1065</v>
      </c>
      <c r="C94" s="221"/>
      <c r="D94" s="221"/>
      <c r="E94" s="33"/>
      <c r="F94" s="221"/>
      <c r="G94" s="33"/>
      <c r="H94" s="221"/>
      <c r="I94" s="33"/>
      <c r="J94" s="221"/>
      <c r="K94" s="225">
        <f>K10+K11+K17+K18+K19+K20+K47+K21+K37+K38+K39+K40+K48+K50</f>
        <v>8501061</v>
      </c>
      <c r="L94" s="234"/>
      <c r="M94" s="33"/>
    </row>
    <row r="95" spans="1:14" x14ac:dyDescent="0.25">
      <c r="A95" s="221"/>
      <c r="B95" s="194" t="s">
        <v>1066</v>
      </c>
      <c r="C95" s="221"/>
      <c r="D95" s="221"/>
      <c r="E95" s="221"/>
      <c r="F95" s="221"/>
      <c r="G95" s="221"/>
      <c r="H95" s="221"/>
      <c r="I95" s="221"/>
      <c r="J95" s="221"/>
      <c r="K95" s="226">
        <v>1955540.3</v>
      </c>
      <c r="L95" s="234"/>
      <c r="N95" s="39"/>
    </row>
    <row r="96" spans="1:14" x14ac:dyDescent="0.25">
      <c r="A96" s="221"/>
      <c r="B96" s="194" t="s">
        <v>1067</v>
      </c>
      <c r="C96" s="221"/>
      <c r="D96" s="221"/>
      <c r="E96" s="221"/>
      <c r="F96" s="221"/>
      <c r="G96" s="221"/>
      <c r="H96" s="221"/>
      <c r="I96" s="221"/>
      <c r="J96" s="221"/>
      <c r="K96" s="228">
        <v>268644.68</v>
      </c>
      <c r="L96" s="234"/>
    </row>
    <row r="97" spans="1:11" x14ac:dyDescent="0.25">
      <c r="A97" s="221"/>
      <c r="B97" s="194" t="s">
        <v>1068</v>
      </c>
      <c r="C97" s="221"/>
      <c r="D97" s="221"/>
      <c r="E97" s="221"/>
      <c r="F97" s="221"/>
      <c r="G97" s="221"/>
      <c r="H97" s="221"/>
      <c r="I97" s="221"/>
      <c r="J97" s="221"/>
      <c r="K97" s="18">
        <f>K92+K93-K94-K95-K96</f>
        <v>10263372.120000001</v>
      </c>
    </row>
    <row r="98" spans="1:11" x14ac:dyDescent="0.25">
      <c r="E98" s="33"/>
      <c r="G98" s="33"/>
      <c r="I98" s="33"/>
      <c r="K98" s="33"/>
    </row>
    <row r="99" spans="1:11" x14ac:dyDescent="0.25">
      <c r="E99" s="221"/>
      <c r="F99" s="221"/>
      <c r="G99" s="221"/>
      <c r="H99" s="221"/>
      <c r="I99" s="221"/>
      <c r="J99" s="221"/>
      <c r="K99" s="221"/>
    </row>
  </sheetData>
  <customSheetViews>
    <customSheetView guid="{589A2A1C-99B3-4A22-A52E-EECEEAD60ADB}" scale="83" showPageBreaks="1" fitToPage="1" printArea="1">
      <pane xSplit="2" ySplit="8" topLeftCell="G75" activePane="bottomRight" state="frozen"/>
      <selection pane="bottomRight" activeCell="K96" sqref="K96"/>
      <pageMargins left="0.7" right="0.7" top="0.75" bottom="0.75" header="0.3" footer="0.3"/>
      <pageSetup scale="48" orientation="portrait" r:id="rId1"/>
      <headerFooter>
        <oddFooter>&amp;L&amp;Z&amp;F</oddFooter>
      </headerFooter>
    </customSheetView>
    <customSheetView guid="{C0F5889E-F852-4CB9-B477-759ADBCFF6D5}" scale="83" showPageBreaks="1" fitToPage="1" printArea="1">
      <pane xSplit="2" ySplit="8" topLeftCell="F56" activePane="bottomRight" state="frozen"/>
      <selection pane="bottomRight" activeCell="L63" sqref="L63"/>
      <pageMargins left="0.7" right="0.7" top="0.75" bottom="0.75" header="0.3" footer="0.3"/>
      <pageSetup scale="48" orientation="portrait" r:id="rId2"/>
      <headerFooter>
        <oddFooter>&amp;L&amp;Z&amp;F</oddFooter>
      </headerFooter>
    </customSheetView>
  </customSheetViews>
  <mergeCells count="4">
    <mergeCell ref="A1:J1"/>
    <mergeCell ref="A2:J2"/>
    <mergeCell ref="A4:J4"/>
    <mergeCell ref="A3:I3"/>
  </mergeCells>
  <pageMargins left="0.7" right="0.7" top="0.75" bottom="0.75" header="0.3" footer="0.3"/>
  <pageSetup scale="48" orientation="portrait" r:id="rId3"/>
  <headerFooter>
    <oddFooter>&amp;L&amp;Z&amp;F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6"/>
  <sheetViews>
    <sheetView zoomScale="90" zoomScaleNormal="90" workbookViewId="0">
      <selection sqref="A1:L1"/>
    </sheetView>
  </sheetViews>
  <sheetFormatPr defaultRowHeight="15" x14ac:dyDescent="0.25"/>
  <cols>
    <col min="1" max="1" width="10" style="86" bestFit="1" customWidth="1"/>
    <col min="2" max="2" width="9.140625" style="86"/>
    <col min="3" max="3" width="9.28515625" style="86" bestFit="1" customWidth="1"/>
    <col min="4" max="4" width="2.85546875" style="86" customWidth="1"/>
    <col min="5" max="5" width="10.7109375" style="86" bestFit="1" customWidth="1"/>
    <col min="6" max="6" width="2.85546875" style="86" customWidth="1"/>
    <col min="7" max="7" width="12.7109375" style="86" bestFit="1" customWidth="1"/>
    <col min="8" max="8" width="2.85546875" style="86" customWidth="1"/>
    <col min="9" max="9" width="14.28515625" style="86" bestFit="1" customWidth="1"/>
    <col min="10" max="10" width="2.85546875" style="86" customWidth="1"/>
    <col min="11" max="11" width="11.5703125" style="86" bestFit="1" customWidth="1"/>
    <col min="12" max="12" width="2.85546875" style="86" customWidth="1"/>
    <col min="13" max="13" width="16.5703125" style="86" bestFit="1" customWidth="1"/>
    <col min="14" max="14" width="13.140625" style="86" bestFit="1" customWidth="1"/>
    <col min="15" max="16384" width="9.140625" style="86"/>
  </cols>
  <sheetData>
    <row r="1" spans="1:14" x14ac:dyDescent="0.25">
      <c r="A1" s="329" t="s">
        <v>270</v>
      </c>
      <c r="B1" s="329"/>
      <c r="C1" s="329"/>
      <c r="D1" s="329"/>
      <c r="E1" s="329"/>
      <c r="F1" s="329"/>
      <c r="G1" s="329"/>
      <c r="H1" s="329"/>
      <c r="I1" s="329"/>
      <c r="J1" s="329"/>
      <c r="K1" s="329"/>
      <c r="L1" s="329"/>
      <c r="M1" s="197" t="s">
        <v>706</v>
      </c>
      <c r="N1" s="197"/>
    </row>
    <row r="2" spans="1:14" x14ac:dyDescent="0.25">
      <c r="A2" s="329" t="s">
        <v>271</v>
      </c>
      <c r="B2" s="329"/>
      <c r="C2" s="329"/>
      <c r="D2" s="329"/>
      <c r="E2" s="329"/>
      <c r="F2" s="329"/>
      <c r="G2" s="329"/>
      <c r="H2" s="329"/>
      <c r="I2" s="329"/>
      <c r="J2" s="329"/>
      <c r="K2" s="329"/>
      <c r="L2" s="329"/>
      <c r="M2" s="197" t="s">
        <v>272</v>
      </c>
    </row>
    <row r="3" spans="1:14" x14ac:dyDescent="0.25">
      <c r="A3" s="329" t="str">
        <f>+Summary!A3</f>
        <v>Utilizing Historic Cost Data for (2017) with Year-End Average Balances</v>
      </c>
      <c r="B3" s="329"/>
      <c r="C3" s="329"/>
      <c r="D3" s="329"/>
      <c r="E3" s="329"/>
      <c r="F3" s="329"/>
      <c r="G3" s="329"/>
      <c r="H3" s="329"/>
      <c r="I3" s="329"/>
      <c r="J3" s="329"/>
      <c r="K3" s="329"/>
      <c r="L3" s="329"/>
      <c r="M3" s="197"/>
    </row>
    <row r="4" spans="1:14" x14ac:dyDescent="0.25">
      <c r="A4" s="329" t="s">
        <v>531</v>
      </c>
      <c r="B4" s="329"/>
      <c r="C4" s="329"/>
      <c r="D4" s="329"/>
      <c r="E4" s="329"/>
      <c r="F4" s="329"/>
      <c r="G4" s="329"/>
      <c r="H4" s="329"/>
      <c r="I4" s="329"/>
      <c r="J4" s="329"/>
      <c r="K4" s="329"/>
      <c r="L4" s="329"/>
      <c r="M4" s="234"/>
    </row>
    <row r="5" spans="1:14" x14ac:dyDescent="0.25">
      <c r="A5" s="329" t="s">
        <v>1189</v>
      </c>
      <c r="B5" s="329"/>
      <c r="C5" s="329"/>
      <c r="D5" s="329"/>
      <c r="E5" s="329"/>
      <c r="F5" s="329"/>
      <c r="G5" s="329"/>
      <c r="H5" s="329"/>
      <c r="I5" s="329"/>
      <c r="J5" s="329"/>
      <c r="K5" s="329"/>
    </row>
    <row r="7" spans="1:14" x14ac:dyDescent="0.25">
      <c r="A7" s="11" t="s">
        <v>273</v>
      </c>
    </row>
    <row r="9" spans="1:14" x14ac:dyDescent="0.25">
      <c r="G9" s="76" t="s">
        <v>274</v>
      </c>
      <c r="H9" s="76"/>
      <c r="I9" s="76" t="s">
        <v>276</v>
      </c>
      <c r="J9" s="76"/>
      <c r="K9" s="76" t="s">
        <v>5</v>
      </c>
    </row>
    <row r="10" spans="1:14" x14ac:dyDescent="0.25">
      <c r="G10" s="76" t="s">
        <v>275</v>
      </c>
      <c r="H10" s="76"/>
      <c r="I10" s="76" t="s">
        <v>277</v>
      </c>
      <c r="J10" s="76"/>
      <c r="K10" s="76" t="s">
        <v>278</v>
      </c>
    </row>
    <row r="12" spans="1:14" x14ac:dyDescent="0.25">
      <c r="B12" s="86" t="s">
        <v>190</v>
      </c>
      <c r="G12" s="226">
        <v>0</v>
      </c>
      <c r="I12" s="226">
        <v>0</v>
      </c>
      <c r="K12" s="39">
        <f>G12+I12</f>
        <v>0</v>
      </c>
    </row>
    <row r="14" spans="1:14" x14ac:dyDescent="0.25">
      <c r="B14" s="86" t="s">
        <v>288</v>
      </c>
      <c r="G14" s="231">
        <v>0</v>
      </c>
      <c r="I14" s="231">
        <v>0</v>
      </c>
    </row>
    <row r="17" spans="1:13" x14ac:dyDescent="0.25">
      <c r="A17" s="60" t="s">
        <v>739</v>
      </c>
      <c r="B17" s="25"/>
      <c r="C17" s="25"/>
      <c r="D17" s="25"/>
      <c r="E17" s="25"/>
      <c r="F17" s="25"/>
      <c r="G17" s="25"/>
    </row>
    <row r="18" spans="1:13" x14ac:dyDescent="0.25">
      <c r="A18" s="25" t="s">
        <v>750</v>
      </c>
      <c r="B18" s="207"/>
      <c r="E18" s="207"/>
      <c r="F18" s="207"/>
      <c r="G18" s="207"/>
      <c r="I18" s="207"/>
      <c r="K18" s="207" t="s">
        <v>740</v>
      </c>
    </row>
    <row r="19" spans="1:13" x14ac:dyDescent="0.25">
      <c r="A19" s="25"/>
      <c r="B19" s="157"/>
      <c r="E19" s="157" t="s">
        <v>741</v>
      </c>
      <c r="G19" s="207" t="s">
        <v>748</v>
      </c>
      <c r="I19" s="207" t="s">
        <v>1012</v>
      </c>
      <c r="K19" s="208">
        <v>0</v>
      </c>
    </row>
    <row r="20" spans="1:13" x14ac:dyDescent="0.25">
      <c r="A20" s="25"/>
      <c r="B20" s="25"/>
      <c r="E20" s="25"/>
      <c r="G20" s="25"/>
      <c r="I20" s="25"/>
      <c r="K20" s="25"/>
    </row>
    <row r="21" spans="1:13" x14ac:dyDescent="0.25">
      <c r="A21" s="25"/>
      <c r="B21" s="207"/>
      <c r="E21" s="207"/>
      <c r="G21" s="207" t="s">
        <v>742</v>
      </c>
      <c r="I21" s="207" t="s">
        <v>743</v>
      </c>
      <c r="K21" s="207" t="s">
        <v>744</v>
      </c>
    </row>
    <row r="22" spans="1:13" x14ac:dyDescent="0.25">
      <c r="A22" s="25"/>
      <c r="B22" s="207"/>
      <c r="E22" s="207" t="s">
        <v>745</v>
      </c>
      <c r="G22" s="207" t="s">
        <v>746</v>
      </c>
      <c r="I22" s="209">
        <v>40908</v>
      </c>
      <c r="K22" s="207" t="s">
        <v>747</v>
      </c>
    </row>
    <row r="23" spans="1:13" x14ac:dyDescent="0.25">
      <c r="A23" s="25"/>
      <c r="B23" s="25"/>
      <c r="E23" s="25"/>
      <c r="G23" s="25"/>
      <c r="I23" s="25"/>
      <c r="K23" s="25"/>
    </row>
    <row r="24" spans="1:13" x14ac:dyDescent="0.25">
      <c r="A24" s="25"/>
      <c r="B24" s="207"/>
      <c r="E24" s="239">
        <v>2.0299999999999999E-2</v>
      </c>
      <c r="G24" s="241">
        <f>12/E24</f>
        <v>591.13300492610847</v>
      </c>
      <c r="I24" s="240">
        <f>54.5/G24</f>
        <v>9.2195833333333324E-2</v>
      </c>
      <c r="K24" s="182">
        <f>(1-I24)*K19</f>
        <v>0</v>
      </c>
    </row>
    <row r="25" spans="1:13" x14ac:dyDescent="0.25">
      <c r="A25" s="11" t="s">
        <v>279</v>
      </c>
    </row>
    <row r="26" spans="1:13" x14ac:dyDescent="0.25">
      <c r="G26" s="334" t="s">
        <v>280</v>
      </c>
      <c r="H26" s="335"/>
      <c r="I26" s="335"/>
      <c r="J26" s="335"/>
      <c r="K26" s="336"/>
    </row>
    <row r="28" spans="1:13" x14ac:dyDescent="0.25">
      <c r="C28" s="76" t="s">
        <v>281</v>
      </c>
      <c r="D28" s="76"/>
      <c r="E28" s="76" t="s">
        <v>167</v>
      </c>
      <c r="F28" s="76"/>
      <c r="G28" s="76" t="s">
        <v>282</v>
      </c>
      <c r="I28" s="76" t="s">
        <v>274</v>
      </c>
      <c r="K28" s="76" t="s">
        <v>276</v>
      </c>
      <c r="M28" s="76" t="s">
        <v>283</v>
      </c>
    </row>
    <row r="29" spans="1:13" x14ac:dyDescent="0.25">
      <c r="C29" s="76" t="s">
        <v>284</v>
      </c>
      <c r="D29" s="76"/>
      <c r="E29" s="76" t="s">
        <v>285</v>
      </c>
      <c r="F29" s="76"/>
      <c r="G29" s="76" t="s">
        <v>277</v>
      </c>
      <c r="I29" s="76" t="s">
        <v>286</v>
      </c>
      <c r="J29" s="76"/>
      <c r="K29" s="76" t="s">
        <v>277</v>
      </c>
      <c r="M29" s="76" t="s">
        <v>287</v>
      </c>
    </row>
    <row r="31" spans="1:13" x14ac:dyDescent="0.25">
      <c r="A31" s="39"/>
      <c r="C31" s="258" t="s">
        <v>1255</v>
      </c>
      <c r="E31" s="83"/>
      <c r="G31" s="83"/>
      <c r="I31" s="83"/>
      <c r="K31" s="83">
        <v>0</v>
      </c>
      <c r="M31" s="39">
        <f>K12-I31-K31</f>
        <v>0</v>
      </c>
    </row>
    <row r="32" spans="1:13" x14ac:dyDescent="0.25">
      <c r="C32" s="258" t="s">
        <v>459</v>
      </c>
      <c r="E32" s="83"/>
      <c r="G32" s="83"/>
      <c r="I32" s="83"/>
      <c r="K32" s="83">
        <v>0</v>
      </c>
      <c r="M32" s="39">
        <f t="shared" ref="M32:M42" si="0">M31-I32-K32</f>
        <v>0</v>
      </c>
    </row>
    <row r="33" spans="1:13" x14ac:dyDescent="0.25">
      <c r="C33" s="258" t="s">
        <v>460</v>
      </c>
      <c r="E33" s="83"/>
      <c r="G33" s="83"/>
      <c r="I33" s="83"/>
      <c r="K33" s="83">
        <v>0</v>
      </c>
      <c r="M33" s="39">
        <f t="shared" si="0"/>
        <v>0</v>
      </c>
    </row>
    <row r="34" spans="1:13" x14ac:dyDescent="0.25">
      <c r="C34" s="258" t="s">
        <v>461</v>
      </c>
      <c r="E34" s="83"/>
      <c r="G34" s="83"/>
      <c r="I34" s="83"/>
      <c r="K34" s="83">
        <v>0</v>
      </c>
      <c r="M34" s="39">
        <f t="shared" si="0"/>
        <v>0</v>
      </c>
    </row>
    <row r="35" spans="1:13" x14ac:dyDescent="0.25">
      <c r="C35" s="258" t="s">
        <v>414</v>
      </c>
      <c r="E35" s="83"/>
      <c r="G35" s="83"/>
      <c r="I35" s="83"/>
      <c r="K35" s="83">
        <v>0</v>
      </c>
      <c r="M35" s="39">
        <f t="shared" si="0"/>
        <v>0</v>
      </c>
    </row>
    <row r="36" spans="1:13" x14ac:dyDescent="0.25">
      <c r="C36" s="258" t="s">
        <v>462</v>
      </c>
      <c r="E36" s="83"/>
      <c r="G36" s="83"/>
      <c r="I36" s="83"/>
      <c r="K36" s="83">
        <v>0</v>
      </c>
      <c r="M36" s="39">
        <f t="shared" si="0"/>
        <v>0</v>
      </c>
    </row>
    <row r="37" spans="1:13" x14ac:dyDescent="0.25">
      <c r="C37" s="258" t="s">
        <v>463</v>
      </c>
      <c r="E37" s="83"/>
      <c r="G37" s="83"/>
      <c r="I37" s="83"/>
      <c r="K37" s="83">
        <v>0</v>
      </c>
      <c r="M37" s="39">
        <f t="shared" si="0"/>
        <v>0</v>
      </c>
    </row>
    <row r="38" spans="1:13" x14ac:dyDescent="0.25">
      <c r="C38" s="258" t="s">
        <v>464</v>
      </c>
      <c r="E38" s="83"/>
      <c r="G38" s="83"/>
      <c r="I38" s="83"/>
      <c r="K38" s="83">
        <v>0</v>
      </c>
      <c r="M38" s="39">
        <f t="shared" si="0"/>
        <v>0</v>
      </c>
    </row>
    <row r="39" spans="1:13" x14ac:dyDescent="0.25">
      <c r="C39" s="258" t="s">
        <v>1256</v>
      </c>
      <c r="E39" s="83"/>
      <c r="G39" s="83"/>
      <c r="I39" s="83"/>
      <c r="K39" s="83">
        <v>0</v>
      </c>
      <c r="M39" s="39">
        <f t="shared" si="0"/>
        <v>0</v>
      </c>
    </row>
    <row r="40" spans="1:13" x14ac:dyDescent="0.25">
      <c r="C40" s="258" t="s">
        <v>466</v>
      </c>
      <c r="E40" s="83"/>
      <c r="G40" s="83"/>
      <c r="I40" s="83"/>
      <c r="K40" s="83">
        <v>0</v>
      </c>
      <c r="M40" s="39">
        <f t="shared" si="0"/>
        <v>0</v>
      </c>
    </row>
    <row r="41" spans="1:13" x14ac:dyDescent="0.25">
      <c r="C41" s="258" t="s">
        <v>467</v>
      </c>
      <c r="E41" s="83"/>
      <c r="G41" s="83"/>
      <c r="I41" s="83"/>
      <c r="K41" s="83">
        <v>0</v>
      </c>
      <c r="M41" s="39">
        <f t="shared" si="0"/>
        <v>0</v>
      </c>
    </row>
    <row r="42" spans="1:13" x14ac:dyDescent="0.25">
      <c r="C42" s="258" t="s">
        <v>468</v>
      </c>
      <c r="E42" s="2"/>
      <c r="G42" s="2"/>
      <c r="I42" s="2"/>
      <c r="K42" s="2">
        <v>0</v>
      </c>
      <c r="M42" s="158">
        <f t="shared" si="0"/>
        <v>0</v>
      </c>
    </row>
    <row r="43" spans="1:13" x14ac:dyDescent="0.25">
      <c r="E43" s="39">
        <f>SUM(E31:E42)</f>
        <v>0</v>
      </c>
      <c r="G43" s="39">
        <f>SUM(G31:G42)</f>
        <v>0</v>
      </c>
      <c r="I43" s="39">
        <f>SUM(I31:I42)</f>
        <v>0</v>
      </c>
      <c r="K43" s="39">
        <f>SUM(K31:K42)</f>
        <v>0</v>
      </c>
      <c r="M43" s="39"/>
    </row>
    <row r="45" spans="1:13" x14ac:dyDescent="0.25">
      <c r="A45" s="86" t="s">
        <v>289</v>
      </c>
      <c r="E45" s="39">
        <f>G43+K43</f>
        <v>0</v>
      </c>
      <c r="G45" s="39">
        <f>G43</f>
        <v>0</v>
      </c>
      <c r="K45" s="39">
        <f>K43</f>
        <v>0</v>
      </c>
    </row>
    <row r="46" spans="1:13" x14ac:dyDescent="0.25">
      <c r="I46" s="39"/>
    </row>
    <row r="47" spans="1:13" x14ac:dyDescent="0.25">
      <c r="I47" s="39"/>
      <c r="K47" s="39"/>
      <c r="M47" s="39"/>
    </row>
    <row r="48" spans="1:13" x14ac:dyDescent="0.25">
      <c r="A48" s="86" t="s">
        <v>290</v>
      </c>
      <c r="I48" s="39">
        <f>M42*$G$14</f>
        <v>0</v>
      </c>
      <c r="J48" s="39"/>
      <c r="K48" s="39">
        <f>M42*$I$14</f>
        <v>0</v>
      </c>
      <c r="M48" s="39">
        <f>I48+K48</f>
        <v>0</v>
      </c>
    </row>
    <row r="50" spans="1:11" x14ac:dyDescent="0.25">
      <c r="A50" s="60" t="s">
        <v>739</v>
      </c>
      <c r="B50" s="25"/>
      <c r="C50" s="25"/>
      <c r="D50" s="25"/>
      <c r="E50" s="25"/>
      <c r="F50" s="25"/>
      <c r="G50" s="25"/>
    </row>
    <row r="51" spans="1:11" x14ac:dyDescent="0.25">
      <c r="A51" s="25" t="s">
        <v>749</v>
      </c>
      <c r="B51" s="207"/>
      <c r="E51" s="207"/>
      <c r="F51" s="207"/>
      <c r="G51" s="207"/>
      <c r="I51" s="207"/>
      <c r="K51" s="207" t="s">
        <v>740</v>
      </c>
    </row>
    <row r="52" spans="1:11" x14ac:dyDescent="0.25">
      <c r="A52" s="25"/>
      <c r="B52" s="157"/>
      <c r="E52" s="157" t="s">
        <v>741</v>
      </c>
      <c r="G52" s="207" t="s">
        <v>748</v>
      </c>
      <c r="I52" s="207" t="s">
        <v>1128</v>
      </c>
      <c r="K52" s="208">
        <v>0</v>
      </c>
    </row>
    <row r="53" spans="1:11" x14ac:dyDescent="0.25">
      <c r="A53" s="25"/>
      <c r="B53" s="25"/>
      <c r="E53" s="25"/>
      <c r="G53" s="25"/>
      <c r="I53" s="25"/>
      <c r="K53" s="25"/>
    </row>
    <row r="54" spans="1:11" x14ac:dyDescent="0.25">
      <c r="A54" s="25"/>
      <c r="B54" s="207"/>
      <c r="E54" s="207"/>
      <c r="G54" s="207" t="s">
        <v>742</v>
      </c>
      <c r="I54" s="207" t="s">
        <v>743</v>
      </c>
      <c r="K54" s="207" t="s">
        <v>744</v>
      </c>
    </row>
    <row r="55" spans="1:11" x14ac:dyDescent="0.25">
      <c r="A55" s="25"/>
      <c r="B55" s="207"/>
      <c r="E55" s="207" t="s">
        <v>745</v>
      </c>
      <c r="G55" s="207" t="s">
        <v>746</v>
      </c>
      <c r="I55" s="209">
        <v>41274</v>
      </c>
      <c r="K55" s="207" t="s">
        <v>747</v>
      </c>
    </row>
    <row r="56" spans="1:11" x14ac:dyDescent="0.25">
      <c r="A56" s="25"/>
      <c r="B56" s="25"/>
      <c r="E56" s="25"/>
      <c r="G56" s="25"/>
      <c r="I56" s="25"/>
      <c r="K56" s="25"/>
    </row>
    <row r="57" spans="1:11" x14ac:dyDescent="0.25">
      <c r="A57" s="25"/>
      <c r="B57" s="207"/>
      <c r="E57" s="239">
        <v>2.12E-2</v>
      </c>
      <c r="G57" s="241">
        <f>12/E57</f>
        <v>566.03773584905662</v>
      </c>
      <c r="I57" s="240">
        <f>(54.5+12)/G57</f>
        <v>0.11748333333333333</v>
      </c>
      <c r="K57" s="182">
        <f>(1-I57)*K52</f>
        <v>0</v>
      </c>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90" showPageBreaks="1" fitToPage="1" printArea="1" topLeftCell="A25">
      <selection activeCell="I65" sqref="I65"/>
      <pageMargins left="0.7" right="0.7" top="0.75" bottom="0.75" header="0.3" footer="0.3"/>
      <pageSetup scale="81" orientation="portrait" r:id="rId1"/>
      <headerFooter>
        <oddFooter>&amp;L&amp;Z&amp;F</oddFooter>
      </headerFooter>
    </customSheetView>
    <customSheetView guid="{C0F5889E-F852-4CB9-B477-759ADBCFF6D5}" scale="90" showPageBreaks="1" fitToPage="1" printArea="1" topLeftCell="A25">
      <selection activeCell="I65" sqref="I65"/>
      <pageMargins left="0.7" right="0.7" top="0.75" bottom="0.75" header="0.3" footer="0.3"/>
      <pageSetup scale="81" orientation="portrait" r:id="rId2"/>
      <headerFooter>
        <oddFooter>&amp;L&amp;Z&amp;F</oddFooter>
      </headerFooter>
    </customSheetView>
  </customSheetViews>
  <mergeCells count="6">
    <mergeCell ref="G26:K26"/>
    <mergeCell ref="A1:L1"/>
    <mergeCell ref="A2:L2"/>
    <mergeCell ref="A3:L3"/>
    <mergeCell ref="A4:L4"/>
    <mergeCell ref="A5:K5"/>
  </mergeCells>
  <pageMargins left="0.7" right="0.7" top="0.75" bottom="0.75" header="0.3" footer="0.3"/>
  <pageSetup scale="81" orientation="portrait" r:id="rId3"/>
  <headerFooter>
    <oddFooter>&amp;L&amp;Z&amp;F</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6"/>
  <sheetViews>
    <sheetView zoomScale="80" zoomScaleNormal="80" workbookViewId="0">
      <selection sqref="A1:F1"/>
    </sheetView>
  </sheetViews>
  <sheetFormatPr defaultRowHeight="15" x14ac:dyDescent="0.25"/>
  <cols>
    <col min="1" max="1" width="6.28515625" style="86" customWidth="1"/>
    <col min="2" max="2" width="59.5703125" style="86" customWidth="1"/>
    <col min="3" max="3" width="24.7109375" style="86" customWidth="1"/>
    <col min="4" max="4" width="21.140625" style="86" customWidth="1"/>
    <col min="5" max="5" width="15" style="86" bestFit="1" customWidth="1"/>
    <col min="6" max="6" width="15.140625" style="86" bestFit="1" customWidth="1"/>
    <col min="7" max="7" width="17" style="86" customWidth="1"/>
    <col min="8" max="8" width="14.28515625" style="86" bestFit="1" customWidth="1"/>
    <col min="9" max="9" width="3.140625" style="86" customWidth="1"/>
    <col min="10" max="10" width="2.85546875" style="86" customWidth="1"/>
    <col min="11" max="12" width="9.140625" style="86"/>
    <col min="13" max="13" width="14.28515625" style="86" bestFit="1" customWidth="1"/>
    <col min="14" max="16384" width="9.140625" style="86"/>
  </cols>
  <sheetData>
    <row r="1" spans="1:13" x14ac:dyDescent="0.25">
      <c r="A1" s="329" t="s">
        <v>0</v>
      </c>
      <c r="B1" s="329"/>
      <c r="C1" s="329"/>
      <c r="D1" s="329"/>
      <c r="E1" s="329"/>
      <c r="F1" s="329"/>
      <c r="G1" s="197" t="s">
        <v>706</v>
      </c>
    </row>
    <row r="2" spans="1:13" x14ac:dyDescent="0.25">
      <c r="A2" s="329" t="s">
        <v>117</v>
      </c>
      <c r="B2" s="329"/>
      <c r="C2" s="329"/>
      <c r="D2" s="329"/>
      <c r="E2" s="329"/>
      <c r="F2" s="329"/>
      <c r="G2" s="197" t="s">
        <v>265</v>
      </c>
    </row>
    <row r="3" spans="1:13" x14ac:dyDescent="0.25">
      <c r="A3" s="331" t="str">
        <f>+Summary!A3</f>
        <v>Utilizing Historic Cost Data for (2017) with Year-End Average Balances</v>
      </c>
      <c r="B3" s="331"/>
      <c r="C3" s="331"/>
      <c r="D3" s="331"/>
      <c r="E3" s="331"/>
      <c r="F3" s="331"/>
      <c r="G3" s="38"/>
      <c r="H3" s="38"/>
      <c r="I3" s="38"/>
      <c r="J3" s="38"/>
      <c r="K3" s="38"/>
      <c r="L3" s="38"/>
      <c r="M3" s="38"/>
    </row>
    <row r="4" spans="1:13" x14ac:dyDescent="0.25">
      <c r="A4" s="329" t="s">
        <v>237</v>
      </c>
      <c r="B4" s="329"/>
      <c r="C4" s="329"/>
      <c r="D4" s="329"/>
      <c r="E4" s="329"/>
      <c r="F4" s="329"/>
      <c r="G4" s="76"/>
    </row>
    <row r="5" spans="1:13" x14ac:dyDescent="0.25">
      <c r="A5" s="76"/>
      <c r="B5" s="76"/>
      <c r="C5" s="76"/>
      <c r="D5" s="76"/>
      <c r="E5" s="76"/>
      <c r="F5" s="76"/>
      <c r="G5" s="76"/>
    </row>
    <row r="6" spans="1:13" x14ac:dyDescent="0.25">
      <c r="A6" s="76"/>
      <c r="B6" s="76"/>
      <c r="C6" s="76"/>
      <c r="D6" s="76"/>
      <c r="E6" s="76"/>
      <c r="F6" s="76"/>
      <c r="G6" s="76"/>
    </row>
    <row r="7" spans="1:13" x14ac:dyDescent="0.25">
      <c r="A7" s="5">
        <v>1</v>
      </c>
      <c r="B7" s="192" t="s">
        <v>338</v>
      </c>
      <c r="D7" s="226">
        <v>44689400</v>
      </c>
      <c r="E7" s="76"/>
      <c r="F7" s="221"/>
    </row>
    <row r="8" spans="1:13" x14ac:dyDescent="0.25">
      <c r="A8" s="86">
        <v>2</v>
      </c>
      <c r="B8" s="192" t="s">
        <v>339</v>
      </c>
      <c r="C8" s="11" t="s">
        <v>1081</v>
      </c>
      <c r="D8" s="225">
        <f>D7*0.2675</f>
        <v>11954414.5</v>
      </c>
      <c r="E8" s="76"/>
      <c r="F8" s="76"/>
    </row>
    <row r="9" spans="1:13" x14ac:dyDescent="0.25">
      <c r="B9" s="192"/>
      <c r="C9" s="76"/>
      <c r="D9" s="221"/>
      <c r="E9" s="76"/>
      <c r="F9" s="76"/>
    </row>
    <row r="10" spans="1:13" x14ac:dyDescent="0.25">
      <c r="A10" s="86">
        <v>3</v>
      </c>
      <c r="B10" s="192" t="s">
        <v>403</v>
      </c>
      <c r="C10" s="153" t="s">
        <v>401</v>
      </c>
      <c r="D10" s="45">
        <v>0</v>
      </c>
      <c r="E10" s="76"/>
      <c r="F10" s="76"/>
    </row>
    <row r="11" spans="1:13" x14ac:dyDescent="0.25">
      <c r="A11" s="86">
        <v>4</v>
      </c>
      <c r="B11" s="192" t="s">
        <v>402</v>
      </c>
      <c r="C11" s="154" t="s">
        <v>1077</v>
      </c>
      <c r="D11" s="45">
        <f>D10/E25</f>
        <v>0</v>
      </c>
      <c r="E11" s="76"/>
      <c r="F11" s="23"/>
    </row>
    <row r="12" spans="1:13" x14ac:dyDescent="0.25">
      <c r="D12" s="221"/>
      <c r="E12" s="221"/>
      <c r="F12" s="221"/>
      <c r="G12" s="155"/>
    </row>
    <row r="13" spans="1:13" x14ac:dyDescent="0.25">
      <c r="D13" s="221"/>
      <c r="E13" s="221"/>
      <c r="F13" s="221"/>
    </row>
    <row r="14" spans="1:13" x14ac:dyDescent="0.25">
      <c r="B14" s="11" t="s">
        <v>238</v>
      </c>
      <c r="D14" s="290" t="s">
        <v>4</v>
      </c>
      <c r="E14" s="290"/>
      <c r="F14" s="221"/>
    </row>
    <row r="15" spans="1:13" x14ac:dyDescent="0.25">
      <c r="A15" s="86">
        <v>5</v>
      </c>
      <c r="B15" s="86" t="s">
        <v>1193</v>
      </c>
      <c r="D15" s="221"/>
      <c r="E15" s="221"/>
      <c r="F15" s="221"/>
    </row>
    <row r="16" spans="1:13" x14ac:dyDescent="0.25">
      <c r="A16" s="86">
        <v>6</v>
      </c>
      <c r="B16" s="86" t="s">
        <v>244</v>
      </c>
      <c r="D16" s="76" t="s">
        <v>245</v>
      </c>
      <c r="E16" s="297">
        <v>159852</v>
      </c>
      <c r="F16" s="221"/>
    </row>
    <row r="17" spans="1:6" x14ac:dyDescent="0.25">
      <c r="A17" s="86">
        <v>7</v>
      </c>
      <c r="B17" s="5" t="s">
        <v>239</v>
      </c>
      <c r="D17" s="76" t="s">
        <v>240</v>
      </c>
      <c r="E17" s="297">
        <v>46712</v>
      </c>
      <c r="F17" s="221"/>
    </row>
    <row r="18" spans="1:6" x14ac:dyDescent="0.25">
      <c r="A18" s="86">
        <v>8</v>
      </c>
      <c r="B18" s="86" t="s">
        <v>555</v>
      </c>
      <c r="D18" s="76" t="s">
        <v>241</v>
      </c>
      <c r="E18" s="297">
        <v>26651</v>
      </c>
      <c r="F18" s="221"/>
    </row>
    <row r="19" spans="1:6" x14ac:dyDescent="0.25">
      <c r="A19" s="86">
        <v>9</v>
      </c>
      <c r="B19" s="86" t="s">
        <v>242</v>
      </c>
      <c r="D19" s="76" t="s">
        <v>243</v>
      </c>
      <c r="E19" s="306">
        <v>0</v>
      </c>
      <c r="F19" s="221"/>
    </row>
    <row r="20" spans="1:6" x14ac:dyDescent="0.25">
      <c r="A20" s="86">
        <v>10</v>
      </c>
      <c r="B20" s="86" t="s">
        <v>1069</v>
      </c>
      <c r="D20" s="186" t="s">
        <v>1080</v>
      </c>
      <c r="E20" s="6">
        <f>SUM(E16:E19)</f>
        <v>233215</v>
      </c>
      <c r="F20" s="221"/>
    </row>
    <row r="21" spans="1:6" x14ac:dyDescent="0.25">
      <c r="D21" s="221"/>
      <c r="E21" s="221"/>
      <c r="F21" s="221"/>
    </row>
    <row r="22" spans="1:6" x14ac:dyDescent="0.25">
      <c r="A22" s="86">
        <v>11</v>
      </c>
      <c r="B22" s="86" t="s">
        <v>1070</v>
      </c>
      <c r="D22" s="76" t="s">
        <v>1071</v>
      </c>
      <c r="E22" s="231">
        <v>2.1100000000000001E-2</v>
      </c>
      <c r="F22" s="221"/>
    </row>
    <row r="23" spans="1:6" x14ac:dyDescent="0.25">
      <c r="A23" s="86">
        <v>12</v>
      </c>
      <c r="B23" s="86" t="s">
        <v>1072</v>
      </c>
      <c r="D23" s="291" t="s">
        <v>1269</v>
      </c>
      <c r="E23" s="281">
        <f>E17/(1+E22)</f>
        <v>45746.743707766138</v>
      </c>
      <c r="F23" s="221"/>
    </row>
    <row r="24" spans="1:6" ht="31.5" customHeight="1" x14ac:dyDescent="0.25">
      <c r="A24" s="185">
        <v>13</v>
      </c>
      <c r="B24" s="184" t="s">
        <v>1073</v>
      </c>
      <c r="D24" s="76" t="s">
        <v>1074</v>
      </c>
      <c r="E24" s="33">
        <f>E18+E23</f>
        <v>72397.743707766145</v>
      </c>
      <c r="F24" s="221"/>
    </row>
    <row r="25" spans="1:6" x14ac:dyDescent="0.25">
      <c r="A25" s="86">
        <v>14</v>
      </c>
      <c r="B25" s="86" t="s">
        <v>1075</v>
      </c>
      <c r="D25" s="76" t="s">
        <v>1076</v>
      </c>
      <c r="E25" s="56">
        <f>E24/E20</f>
        <v>0.31043347858313636</v>
      </c>
      <c r="F25" s="221"/>
    </row>
    <row r="26" spans="1:6" x14ac:dyDescent="0.25">
      <c r="D26" s="221"/>
      <c r="E26" s="221"/>
      <c r="F26" s="221"/>
    </row>
    <row r="27" spans="1:6" x14ac:dyDescent="0.25">
      <c r="D27" s="221"/>
      <c r="E27" s="33"/>
      <c r="F27" s="221"/>
    </row>
    <row r="28" spans="1:6" x14ac:dyDescent="0.25">
      <c r="D28" s="221"/>
      <c r="E28" s="221"/>
      <c r="F28" s="221"/>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80" showPageBreaks="1" fitToPage="1" printArea="1">
      <selection activeCell="C43" sqref="C43"/>
      <pageMargins left="0.7" right="0.7" top="0.75" bottom="0.75" header="0.3" footer="0.3"/>
      <pageSetup scale="57" orientation="portrait" r:id="rId1"/>
      <headerFooter>
        <oddFooter>&amp;L&amp;Z&amp;F</oddFooter>
      </headerFooter>
    </customSheetView>
    <customSheetView guid="{C0F5889E-F852-4CB9-B477-759ADBCFF6D5}" scale="80" showPageBreaks="1" fitToPage="1" printArea="1">
      <selection activeCell="D23" sqref="D23:E23"/>
      <pageMargins left="0.7" right="0.7" top="0.75" bottom="0.75" header="0.3" footer="0.3"/>
      <pageSetup scale="57" orientation="portrait" r:id="rId2"/>
      <headerFooter>
        <oddFooter>&amp;L&amp;Z&amp;F</oddFooter>
      </headerFooter>
    </customSheetView>
  </customSheetViews>
  <mergeCells count="4">
    <mergeCell ref="A1:F1"/>
    <mergeCell ref="A2:F2"/>
    <mergeCell ref="A4:F4"/>
    <mergeCell ref="A3:F3"/>
  </mergeCells>
  <pageMargins left="0.7" right="0.7" top="0.75" bottom="0.75" header="0.3" footer="0.3"/>
  <pageSetup scale="57" orientation="portrait" r:id="rId3"/>
  <headerFooter>
    <oddFooter>&amp;L&amp;Z&amp;F</odd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workbookViewId="0"/>
  </sheetViews>
  <sheetFormatPr defaultRowHeight="15" x14ac:dyDescent="0.25"/>
  <cols>
    <col min="1" max="1" width="9.140625" style="82"/>
    <col min="2" max="2" width="127.5703125" style="82" bestFit="1" customWidth="1"/>
    <col min="3" max="3" width="28.85546875" style="82" bestFit="1" customWidth="1"/>
    <col min="4" max="16384" width="9.140625" style="82"/>
  </cols>
  <sheetData>
    <row r="1" spans="1:3" x14ac:dyDescent="0.25">
      <c r="A1" s="85" t="s">
        <v>877</v>
      </c>
      <c r="C1" s="101" t="s">
        <v>878</v>
      </c>
    </row>
    <row r="3" spans="1:3" x14ac:dyDescent="0.25">
      <c r="A3" s="82">
        <v>1</v>
      </c>
      <c r="B3" s="82" t="s">
        <v>879</v>
      </c>
    </row>
    <row r="4" spans="1:3" x14ac:dyDescent="0.25">
      <c r="B4" s="82" t="s">
        <v>931</v>
      </c>
      <c r="C4" s="82" t="s">
        <v>880</v>
      </c>
    </row>
    <row r="5" spans="1:3" x14ac:dyDescent="0.25">
      <c r="B5" s="82" t="s">
        <v>932</v>
      </c>
      <c r="C5" s="82" t="s">
        <v>881</v>
      </c>
    </row>
    <row r="6" spans="1:3" x14ac:dyDescent="0.25">
      <c r="B6" s="82" t="s">
        <v>933</v>
      </c>
      <c r="C6" s="82" t="s">
        <v>882</v>
      </c>
    </row>
    <row r="7" spans="1:3" x14ac:dyDescent="0.25">
      <c r="B7" s="82" t="s">
        <v>934</v>
      </c>
      <c r="C7" s="82" t="s">
        <v>883</v>
      </c>
    </row>
    <row r="8" spans="1:3" x14ac:dyDescent="0.25">
      <c r="B8" s="82" t="s">
        <v>935</v>
      </c>
      <c r="C8" s="82" t="s">
        <v>884</v>
      </c>
    </row>
    <row r="9" spans="1:3" x14ac:dyDescent="0.25">
      <c r="B9" s="82" t="s">
        <v>936</v>
      </c>
      <c r="C9" s="102" t="s">
        <v>885</v>
      </c>
    </row>
    <row r="10" spans="1:3" x14ac:dyDescent="0.25">
      <c r="B10" s="82" t="s">
        <v>927</v>
      </c>
      <c r="C10" s="102" t="s">
        <v>928</v>
      </c>
    </row>
    <row r="11" spans="1:3" x14ac:dyDescent="0.25">
      <c r="B11" s="82" t="s">
        <v>937</v>
      </c>
      <c r="C11" s="102" t="s">
        <v>938</v>
      </c>
    </row>
    <row r="13" spans="1:3" x14ac:dyDescent="0.25">
      <c r="A13" s="82">
        <v>2</v>
      </c>
      <c r="B13" s="82" t="s">
        <v>886</v>
      </c>
    </row>
    <row r="14" spans="1:3" x14ac:dyDescent="0.25">
      <c r="B14" s="82" t="s">
        <v>945</v>
      </c>
      <c r="C14" s="82" t="s">
        <v>887</v>
      </c>
    </row>
    <row r="15" spans="1:3" x14ac:dyDescent="0.25">
      <c r="B15" s="82" t="s">
        <v>939</v>
      </c>
    </row>
    <row r="17" spans="1:3" x14ac:dyDescent="0.25">
      <c r="A17" s="82">
        <v>3</v>
      </c>
      <c r="B17" s="82" t="s">
        <v>888</v>
      </c>
    </row>
    <row r="18" spans="1:3" x14ac:dyDescent="0.25">
      <c r="B18" s="82" t="s">
        <v>926</v>
      </c>
      <c r="C18" s="82" t="s">
        <v>929</v>
      </c>
    </row>
    <row r="19" spans="1:3" x14ac:dyDescent="0.25">
      <c r="B19" s="82" t="s">
        <v>889</v>
      </c>
      <c r="C19" s="82" t="s">
        <v>930</v>
      </c>
    </row>
    <row r="21" spans="1:3" x14ac:dyDescent="0.25">
      <c r="A21" s="82">
        <v>4</v>
      </c>
      <c r="B21" s="82" t="s">
        <v>890</v>
      </c>
    </row>
    <row r="22" spans="1:3" x14ac:dyDescent="0.25">
      <c r="B22" s="102" t="s">
        <v>891</v>
      </c>
      <c r="C22" s="82" t="s">
        <v>892</v>
      </c>
    </row>
    <row r="24" spans="1:3" x14ac:dyDescent="0.25">
      <c r="A24" s="82">
        <v>5</v>
      </c>
      <c r="B24" s="82" t="s">
        <v>893</v>
      </c>
    </row>
    <row r="25" spans="1:3" x14ac:dyDescent="0.25">
      <c r="B25" s="82" t="s">
        <v>894</v>
      </c>
      <c r="C25" s="82" t="s">
        <v>895</v>
      </c>
    </row>
    <row r="26" spans="1:3" x14ac:dyDescent="0.25">
      <c r="B26" s="82" t="s">
        <v>896</v>
      </c>
      <c r="C26" s="82" t="s">
        <v>897</v>
      </c>
    </row>
    <row r="27" spans="1:3" x14ac:dyDescent="0.25">
      <c r="B27" s="82" t="s">
        <v>898</v>
      </c>
      <c r="C27" s="82" t="s">
        <v>940</v>
      </c>
    </row>
    <row r="29" spans="1:3" x14ac:dyDescent="0.25">
      <c r="A29" s="82">
        <v>6</v>
      </c>
      <c r="B29" s="82" t="s">
        <v>899</v>
      </c>
    </row>
    <row r="30" spans="1:3" x14ac:dyDescent="0.25">
      <c r="B30" s="82" t="s">
        <v>900</v>
      </c>
      <c r="C30" s="82" t="s">
        <v>901</v>
      </c>
    </row>
    <row r="32" spans="1:3" x14ac:dyDescent="0.25">
      <c r="A32" s="82">
        <v>7</v>
      </c>
      <c r="B32" s="82" t="s">
        <v>902</v>
      </c>
    </row>
    <row r="33" spans="1:3" x14ac:dyDescent="0.25">
      <c r="B33" s="82" t="s">
        <v>903</v>
      </c>
      <c r="C33" s="82" t="s">
        <v>904</v>
      </c>
    </row>
    <row r="34" spans="1:3" x14ac:dyDescent="0.25">
      <c r="B34" s="82" t="s">
        <v>944</v>
      </c>
    </row>
    <row r="36" spans="1:3" x14ac:dyDescent="0.25">
      <c r="A36" s="82">
        <v>8</v>
      </c>
      <c r="B36" s="82" t="s">
        <v>941</v>
      </c>
    </row>
    <row r="37" spans="1:3" x14ac:dyDescent="0.25">
      <c r="B37" s="112" t="s">
        <v>942</v>
      </c>
      <c r="C37" s="82" t="s">
        <v>943</v>
      </c>
    </row>
  </sheetData>
  <customSheetViews>
    <customSheetView guid="{589A2A1C-99B3-4A22-A52E-EECEEAD60ADB}" showPageBreaks="1" fitToPage="1" printArea="1" state="hidden">
      <pageMargins left="0.7" right="0.7" top="0.75" bottom="0.75" header="0.3" footer="0.3"/>
      <pageSetup scale="70" orientation="portrait" r:id="rId1"/>
    </customSheetView>
    <customSheetView guid="{C0F5889E-F852-4CB9-B477-759ADBCFF6D5}" showPageBreaks="1" fitToPage="1" printArea="1" state="hidden">
      <pageMargins left="0.7" right="0.7" top="0.75" bottom="0.75" header="0.3" footer="0.3"/>
      <pageSetup scale="70" orientation="portrait" r:id="rId2"/>
    </customSheetView>
  </customSheetViews>
  <pageMargins left="0.7" right="0.7" top="0.75" bottom="0.75" header="0.3" footer="0.3"/>
  <pageSetup scale="70"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0"/>
  <sheetViews>
    <sheetView zoomScale="85" zoomScaleNormal="85" workbookViewId="0">
      <selection sqref="A1:G1"/>
    </sheetView>
  </sheetViews>
  <sheetFormatPr defaultColWidth="15.7109375" defaultRowHeight="15" x14ac:dyDescent="0.25"/>
  <cols>
    <col min="1" max="1" width="53.5703125" style="25" customWidth="1"/>
    <col min="2" max="2" width="16.42578125" style="25" bestFit="1" customWidth="1"/>
    <col min="3" max="3" width="0.7109375" style="25" customWidth="1"/>
    <col min="4" max="4" width="17.85546875" style="25" customWidth="1"/>
    <col min="5" max="5" width="16.28515625" style="25" bestFit="1" customWidth="1"/>
    <col min="6" max="6" width="2.5703125" style="25" customWidth="1"/>
    <col min="7" max="7" width="13.85546875" style="25" customWidth="1"/>
    <col min="8" max="8" width="12.85546875" style="25" customWidth="1"/>
    <col min="9" max="9" width="2.140625" style="25" customWidth="1"/>
    <col min="10" max="10" width="16.42578125" style="25" bestFit="1" customWidth="1"/>
    <col min="11" max="11" width="13.5703125" style="5" customWidth="1"/>
    <col min="12" max="16384" width="15.7109375" style="25"/>
  </cols>
  <sheetData>
    <row r="1" spans="1:14" x14ac:dyDescent="0.25">
      <c r="A1" s="331" t="s">
        <v>0</v>
      </c>
      <c r="B1" s="331"/>
      <c r="C1" s="331"/>
      <c r="D1" s="331"/>
      <c r="E1" s="331"/>
      <c r="F1" s="331"/>
      <c r="G1" s="331"/>
      <c r="H1" s="60"/>
      <c r="J1" s="197" t="s">
        <v>706</v>
      </c>
    </row>
    <row r="2" spans="1:14" x14ac:dyDescent="0.25">
      <c r="A2" s="331" t="s">
        <v>117</v>
      </c>
      <c r="B2" s="331"/>
      <c r="C2" s="331"/>
      <c r="D2" s="331"/>
      <c r="E2" s="331"/>
      <c r="F2" s="331"/>
      <c r="G2" s="331"/>
      <c r="H2" s="60"/>
      <c r="J2" s="197" t="s">
        <v>340</v>
      </c>
    </row>
    <row r="3" spans="1:14" x14ac:dyDescent="0.25">
      <c r="A3" s="331" t="str">
        <f>+Summary!A3</f>
        <v>Utilizing Historic Cost Data for (2017) with Year-End Average Balances</v>
      </c>
      <c r="B3" s="331"/>
      <c r="C3" s="331"/>
      <c r="D3" s="331"/>
      <c r="E3" s="331"/>
      <c r="F3" s="331"/>
      <c r="G3" s="331"/>
      <c r="H3" s="331"/>
    </row>
    <row r="4" spans="1:14" x14ac:dyDescent="0.25">
      <c r="A4" s="331" t="s">
        <v>341</v>
      </c>
      <c r="B4" s="331"/>
      <c r="C4" s="331"/>
      <c r="D4" s="331"/>
      <c r="E4" s="331"/>
      <c r="F4" s="331"/>
      <c r="G4" s="331"/>
      <c r="H4" s="60"/>
    </row>
    <row r="5" spans="1:14" x14ac:dyDescent="0.25">
      <c r="A5" s="331" t="s">
        <v>342</v>
      </c>
      <c r="B5" s="331"/>
      <c r="C5" s="331"/>
      <c r="D5" s="331"/>
      <c r="E5" s="331"/>
      <c r="F5" s="331"/>
      <c r="G5" s="331"/>
      <c r="H5" s="60"/>
    </row>
    <row r="6" spans="1:14" x14ac:dyDescent="0.25">
      <c r="H6" s="38"/>
    </row>
    <row r="7" spans="1:14" x14ac:dyDescent="0.25">
      <c r="B7" s="292" t="s">
        <v>131</v>
      </c>
      <c r="C7" s="60"/>
      <c r="D7" s="292" t="s">
        <v>131</v>
      </c>
      <c r="E7" s="60"/>
      <c r="F7" s="60"/>
      <c r="G7" s="60"/>
      <c r="H7" s="60"/>
      <c r="I7" s="60"/>
      <c r="J7" s="60"/>
    </row>
    <row r="8" spans="1:14" x14ac:dyDescent="0.25">
      <c r="B8" s="302">
        <v>42735</v>
      </c>
      <c r="C8" s="307"/>
      <c r="D8" s="302">
        <v>43100</v>
      </c>
      <c r="E8" s="205" t="s">
        <v>197</v>
      </c>
      <c r="F8" s="60"/>
      <c r="G8" s="331" t="s">
        <v>129</v>
      </c>
      <c r="H8" s="331"/>
      <c r="I8" s="60"/>
      <c r="J8" s="60"/>
    </row>
    <row r="9" spans="1:14" x14ac:dyDescent="0.25">
      <c r="A9" s="44" t="s">
        <v>343</v>
      </c>
      <c r="B9" s="293" t="s">
        <v>132</v>
      </c>
      <c r="C9" s="69"/>
      <c r="D9" s="293" t="s">
        <v>132</v>
      </c>
      <c r="E9" s="205" t="s">
        <v>196</v>
      </c>
      <c r="F9" s="60"/>
      <c r="G9" s="332" t="s">
        <v>130</v>
      </c>
      <c r="H9" s="332"/>
      <c r="I9" s="60"/>
      <c r="J9" s="206" t="s">
        <v>128</v>
      </c>
    </row>
    <row r="10" spans="1:14" x14ac:dyDescent="0.25">
      <c r="A10" s="71" t="s">
        <v>431</v>
      </c>
      <c r="B10" s="308">
        <f>817550027-SUM(B11:B107)</f>
        <v>585621512.83999991</v>
      </c>
      <c r="C10" s="152"/>
      <c r="D10" s="308">
        <f>943490978-SUM(D11:D107)</f>
        <v>646433481.74000001</v>
      </c>
      <c r="E10" s="45">
        <f t="shared" ref="E10:E21" si="0">ROUND((B10+D10)/2,0)</f>
        <v>616027497</v>
      </c>
      <c r="G10" s="25" t="s">
        <v>140</v>
      </c>
      <c r="H10" s="237">
        <v>0</v>
      </c>
      <c r="J10" s="7">
        <f>E10*H10</f>
        <v>0</v>
      </c>
      <c r="L10" s="13"/>
    </row>
    <row r="11" spans="1:14" x14ac:dyDescent="0.25">
      <c r="A11" s="71" t="s">
        <v>345</v>
      </c>
      <c r="B11" s="250">
        <v>2379388</v>
      </c>
      <c r="C11" s="251"/>
      <c r="D11" s="250">
        <v>2379388</v>
      </c>
      <c r="E11" s="45">
        <f t="shared" si="0"/>
        <v>2379388</v>
      </c>
      <c r="G11" s="25" t="s">
        <v>74</v>
      </c>
      <c r="H11" s="13">
        <f>+'Allocation Factors'!$G$21</f>
        <v>3.54809369866841E-2</v>
      </c>
      <c r="J11" s="7">
        <f t="shared" ref="J11:J90" si="1">E11*H11</f>
        <v>84422.91569487231</v>
      </c>
      <c r="K11" s="217"/>
      <c r="L11" s="13"/>
      <c r="N11" s="28"/>
    </row>
    <row r="12" spans="1:14" x14ac:dyDescent="0.25">
      <c r="A12" s="71" t="s">
        <v>361</v>
      </c>
      <c r="B12" s="250">
        <v>131361</v>
      </c>
      <c r="C12" s="251"/>
      <c r="D12" s="250">
        <v>131361</v>
      </c>
      <c r="E12" s="45">
        <f t="shared" si="0"/>
        <v>131361</v>
      </c>
      <c r="G12" s="25" t="s">
        <v>74</v>
      </c>
      <c r="H12" s="13">
        <f>+'Allocation Factors'!$G$21</f>
        <v>3.54809369866841E-2</v>
      </c>
      <c r="J12" s="7">
        <f t="shared" si="1"/>
        <v>4660.8113635078098</v>
      </c>
      <c r="K12" s="217"/>
      <c r="L12" s="13"/>
    </row>
    <row r="13" spans="1:14" x14ac:dyDescent="0.25">
      <c r="A13" s="71" t="s">
        <v>1029</v>
      </c>
      <c r="B13" s="250">
        <v>162880</v>
      </c>
      <c r="C13" s="251"/>
      <c r="D13" s="250">
        <v>162880</v>
      </c>
      <c r="E13" s="45">
        <f t="shared" si="0"/>
        <v>162880</v>
      </c>
      <c r="G13" s="25" t="s">
        <v>73</v>
      </c>
      <c r="H13" s="13">
        <f>+'Allocation Factors'!$G$13</f>
        <v>0.91713571027193685</v>
      </c>
      <c r="J13" s="7">
        <f t="shared" si="1"/>
        <v>149383.06448909309</v>
      </c>
      <c r="K13" s="217"/>
      <c r="L13" s="13"/>
    </row>
    <row r="14" spans="1:14" x14ac:dyDescent="0.25">
      <c r="A14" s="71" t="s">
        <v>1000</v>
      </c>
      <c r="B14" s="250">
        <v>0</v>
      </c>
      <c r="C14" s="251"/>
      <c r="D14" s="250">
        <v>0</v>
      </c>
      <c r="E14" s="45">
        <f t="shared" ref="E14:E15" si="2">ROUND((B14+D14)/2,0)</f>
        <v>0</v>
      </c>
      <c r="G14" s="25" t="s">
        <v>73</v>
      </c>
      <c r="H14" s="13">
        <f>+'Allocation Factors'!$G$13</f>
        <v>0.91713571027193685</v>
      </c>
      <c r="J14" s="7">
        <f t="shared" si="1"/>
        <v>0</v>
      </c>
      <c r="K14" s="236"/>
      <c r="L14" s="13"/>
    </row>
    <row r="15" spans="1:14" x14ac:dyDescent="0.25">
      <c r="A15" s="71" t="s">
        <v>1098</v>
      </c>
      <c r="B15" s="250">
        <f>396723+554+20600</f>
        <v>417877</v>
      </c>
      <c r="C15" s="251"/>
      <c r="D15" s="250">
        <f>396723+554+20600</f>
        <v>417877</v>
      </c>
      <c r="E15" s="45">
        <f t="shared" si="2"/>
        <v>417877</v>
      </c>
      <c r="G15" s="25" t="s">
        <v>140</v>
      </c>
      <c r="H15" s="237">
        <v>0</v>
      </c>
      <c r="J15" s="7">
        <f t="shared" si="1"/>
        <v>0</v>
      </c>
      <c r="K15" s="217"/>
      <c r="L15" s="13"/>
    </row>
    <row r="16" spans="1:14" x14ac:dyDescent="0.25">
      <c r="A16" s="71" t="s">
        <v>369</v>
      </c>
      <c r="B16" s="250">
        <v>124033</v>
      </c>
      <c r="C16" s="251"/>
      <c r="D16" s="250">
        <v>124033</v>
      </c>
      <c r="E16" s="45">
        <f t="shared" si="0"/>
        <v>124033</v>
      </c>
      <c r="G16" s="25" t="s">
        <v>74</v>
      </c>
      <c r="H16" s="13">
        <f>+'Allocation Factors'!$G$21</f>
        <v>3.54809369866841E-2</v>
      </c>
      <c r="J16" s="7">
        <f t="shared" si="1"/>
        <v>4400.8070572693887</v>
      </c>
      <c r="K16" s="217"/>
      <c r="L16" s="13"/>
    </row>
    <row r="17" spans="1:12" x14ac:dyDescent="0.25">
      <c r="A17" s="71" t="s">
        <v>1172</v>
      </c>
      <c r="B17" s="250">
        <f>754060-3472-1581</f>
        <v>749007</v>
      </c>
      <c r="C17" s="251"/>
      <c r="D17" s="250">
        <f>754060-3472-1581</f>
        <v>749007</v>
      </c>
      <c r="E17" s="45">
        <f t="shared" si="0"/>
        <v>749007</v>
      </c>
      <c r="G17" s="25" t="s">
        <v>140</v>
      </c>
      <c r="H17" s="237">
        <v>0</v>
      </c>
      <c r="J17" s="7">
        <f t="shared" si="1"/>
        <v>0</v>
      </c>
      <c r="K17" s="217"/>
      <c r="L17" s="13"/>
    </row>
    <row r="18" spans="1:12" x14ac:dyDescent="0.25">
      <c r="A18" s="71" t="s">
        <v>1021</v>
      </c>
      <c r="B18" s="250">
        <f>4186362+9306-73350+1468</f>
        <v>4123786</v>
      </c>
      <c r="C18" s="251"/>
      <c r="D18" s="250">
        <v>0</v>
      </c>
      <c r="E18" s="45">
        <f t="shared" si="0"/>
        <v>2061893</v>
      </c>
      <c r="G18" s="25" t="s">
        <v>140</v>
      </c>
      <c r="H18" s="237">
        <v>0</v>
      </c>
      <c r="J18" s="7">
        <f t="shared" si="1"/>
        <v>0</v>
      </c>
      <c r="K18" s="217"/>
      <c r="L18" s="13"/>
    </row>
    <row r="19" spans="1:12" x14ac:dyDescent="0.25">
      <c r="A19" s="71" t="s">
        <v>353</v>
      </c>
      <c r="B19" s="250">
        <v>65878</v>
      </c>
      <c r="C19" s="251"/>
      <c r="D19" s="250">
        <v>65878</v>
      </c>
      <c r="E19" s="45">
        <f t="shared" si="0"/>
        <v>65878</v>
      </c>
      <c r="G19" s="25" t="s">
        <v>73</v>
      </c>
      <c r="H19" s="13">
        <f>+'Allocation Factors'!$G$13</f>
        <v>0.91713571027193685</v>
      </c>
      <c r="J19" s="7">
        <f t="shared" si="1"/>
        <v>60419.066321294653</v>
      </c>
      <c r="K19" s="217"/>
      <c r="L19" s="13"/>
    </row>
    <row r="20" spans="1:12" x14ac:dyDescent="0.25">
      <c r="A20" s="71" t="s">
        <v>362</v>
      </c>
      <c r="B20" s="250">
        <v>3193331</v>
      </c>
      <c r="C20" s="251"/>
      <c r="D20" s="250">
        <v>3193331</v>
      </c>
      <c r="E20" s="45">
        <f t="shared" si="0"/>
        <v>3193331</v>
      </c>
      <c r="G20" s="25" t="s">
        <v>74</v>
      </c>
      <c r="H20" s="13">
        <f>+'Allocation Factors'!$G$21</f>
        <v>3.54809369866841E-2</v>
      </c>
      <c r="J20" s="7">
        <f t="shared" si="1"/>
        <v>113302.37598862492</v>
      </c>
      <c r="K20" s="217"/>
      <c r="L20" s="13"/>
    </row>
    <row r="21" spans="1:12" x14ac:dyDescent="0.25">
      <c r="A21" s="71" t="s">
        <v>347</v>
      </c>
      <c r="B21" s="250">
        <v>5770909</v>
      </c>
      <c r="C21" s="251"/>
      <c r="D21" s="250">
        <v>5770909</v>
      </c>
      <c r="E21" s="45">
        <f t="shared" si="0"/>
        <v>5770909</v>
      </c>
      <c r="G21" s="25" t="s">
        <v>74</v>
      </c>
      <c r="H21" s="13">
        <f>+'Allocation Factors'!$G$21</f>
        <v>3.54809369866841E-2</v>
      </c>
      <c r="J21" s="7">
        <f t="shared" si="1"/>
        <v>204757.25858488816</v>
      </c>
      <c r="K21" s="217"/>
      <c r="L21" s="13"/>
    </row>
    <row r="22" spans="1:12" x14ac:dyDescent="0.25">
      <c r="A22" s="71" t="s">
        <v>1053</v>
      </c>
      <c r="B22" s="250">
        <f>19480886+11754556</f>
        <v>31235442</v>
      </c>
      <c r="C22" s="251"/>
      <c r="D22" s="250">
        <f>19480886+11754556</f>
        <v>31235442</v>
      </c>
      <c r="E22" s="45">
        <f t="shared" ref="E22:E53" si="3">ROUND((B22+D22)/2,0)</f>
        <v>31235442</v>
      </c>
      <c r="G22" s="25" t="s">
        <v>74</v>
      </c>
      <c r="H22" s="13">
        <f>+'Allocation Factors'!$G$21</f>
        <v>3.54809369866841E-2</v>
      </c>
      <c r="J22" s="7">
        <f t="shared" si="1"/>
        <v>1108262.749353226</v>
      </c>
      <c r="K22" s="217"/>
      <c r="L22" s="13"/>
    </row>
    <row r="23" spans="1:12" x14ac:dyDescent="0.25">
      <c r="A23" s="71" t="s">
        <v>371</v>
      </c>
      <c r="B23" s="250">
        <v>1164009</v>
      </c>
      <c r="C23" s="251"/>
      <c r="D23" s="250">
        <v>1164009</v>
      </c>
      <c r="E23" s="45">
        <f t="shared" si="3"/>
        <v>1164009</v>
      </c>
      <c r="G23" s="25" t="s">
        <v>74</v>
      </c>
      <c r="H23" s="13">
        <f>+'Allocation Factors'!$G$21</f>
        <v>3.54809369866841E-2</v>
      </c>
      <c r="J23" s="7">
        <f t="shared" si="1"/>
        <v>41300.129980933176</v>
      </c>
      <c r="K23" s="217"/>
      <c r="L23" s="13"/>
    </row>
    <row r="24" spans="1:12" x14ac:dyDescent="0.25">
      <c r="A24" s="71" t="s">
        <v>1099</v>
      </c>
      <c r="B24" s="250">
        <v>804528</v>
      </c>
      <c r="C24" s="251"/>
      <c r="D24" s="250">
        <v>804528</v>
      </c>
      <c r="E24" s="45">
        <f t="shared" si="3"/>
        <v>804528</v>
      </c>
      <c r="G24" s="25" t="s">
        <v>74</v>
      </c>
      <c r="H24" s="13">
        <f>+'Allocation Factors'!$G$21</f>
        <v>3.54809369866841E-2</v>
      </c>
      <c r="J24" s="7">
        <f t="shared" si="1"/>
        <v>28545.407272022985</v>
      </c>
      <c r="K24" s="217"/>
      <c r="L24" s="13"/>
    </row>
    <row r="25" spans="1:12" x14ac:dyDescent="0.25">
      <c r="A25" s="71" t="s">
        <v>1100</v>
      </c>
      <c r="B25" s="250">
        <v>341793</v>
      </c>
      <c r="C25" s="251"/>
      <c r="D25" s="250">
        <v>341793</v>
      </c>
      <c r="E25" s="45">
        <f t="shared" si="3"/>
        <v>341793</v>
      </c>
      <c r="G25" s="25" t="s">
        <v>140</v>
      </c>
      <c r="H25" s="237">
        <v>0</v>
      </c>
      <c r="J25" s="7">
        <f t="shared" si="1"/>
        <v>0</v>
      </c>
      <c r="K25" s="217"/>
      <c r="L25" s="13"/>
    </row>
    <row r="26" spans="1:12" x14ac:dyDescent="0.25">
      <c r="A26" s="71" t="s">
        <v>1240</v>
      </c>
      <c r="B26" s="250">
        <f>399822+1809+1752095</f>
        <v>2153726</v>
      </c>
      <c r="C26" s="251"/>
      <c r="D26" s="250">
        <v>2153726</v>
      </c>
      <c r="E26" s="45">
        <f t="shared" si="3"/>
        <v>2153726</v>
      </c>
      <c r="G26" s="25" t="s">
        <v>74</v>
      </c>
      <c r="H26" s="13">
        <f>+'Allocation Factors'!$G$21</f>
        <v>3.54809369866841E-2</v>
      </c>
      <c r="J26" s="7">
        <f t="shared" si="1"/>
        <v>76416.216492583204</v>
      </c>
      <c r="K26" s="259"/>
      <c r="L26" s="13"/>
    </row>
    <row r="27" spans="1:12" x14ac:dyDescent="0.25">
      <c r="A27" s="71" t="s">
        <v>1001</v>
      </c>
      <c r="B27" s="250">
        <v>67339</v>
      </c>
      <c r="C27" s="251"/>
      <c r="D27" s="250">
        <v>67339</v>
      </c>
      <c r="E27" s="45">
        <f t="shared" si="3"/>
        <v>67339</v>
      </c>
      <c r="G27" s="25" t="s">
        <v>73</v>
      </c>
      <c r="H27" s="13">
        <f>+'Allocation Factors'!$G$13</f>
        <v>0.91713571027193685</v>
      </c>
      <c r="J27" s="7">
        <f t="shared" si="1"/>
        <v>61759.001594001958</v>
      </c>
      <c r="K27" s="217"/>
      <c r="L27" s="13"/>
    </row>
    <row r="28" spans="1:12" x14ac:dyDescent="0.25">
      <c r="A28" s="71" t="s">
        <v>1347</v>
      </c>
      <c r="B28" s="250">
        <v>0</v>
      </c>
      <c r="C28" s="251"/>
      <c r="D28" s="250">
        <f>3953556+203896.99</f>
        <v>4157452.99</v>
      </c>
      <c r="E28" s="45">
        <f t="shared" si="3"/>
        <v>2078726</v>
      </c>
      <c r="G28" s="25" t="s">
        <v>74</v>
      </c>
      <c r="H28" s="13">
        <f>+'Allocation Factors'!$G$21</f>
        <v>3.54809369866841E-2</v>
      </c>
      <c r="J28" s="7">
        <f t="shared" si="1"/>
        <v>73755.146218581896</v>
      </c>
      <c r="K28" s="217"/>
      <c r="L28" s="13"/>
    </row>
    <row r="29" spans="1:12" x14ac:dyDescent="0.25">
      <c r="A29" s="71" t="s">
        <v>1348</v>
      </c>
      <c r="B29" s="250">
        <v>0</v>
      </c>
      <c r="C29" s="251"/>
      <c r="D29" s="250">
        <f>1975254.19+214185.58</f>
        <v>2189439.77</v>
      </c>
      <c r="E29" s="45">
        <f t="shared" si="3"/>
        <v>1094720</v>
      </c>
      <c r="G29" s="25" t="s">
        <v>74</v>
      </c>
      <c r="H29" s="13">
        <f>+'Allocation Factors'!$G$21</f>
        <v>3.54809369866841E-2</v>
      </c>
      <c r="J29" s="7">
        <f t="shared" si="1"/>
        <v>38841.691338062818</v>
      </c>
      <c r="K29" s="217"/>
      <c r="L29" s="13"/>
    </row>
    <row r="30" spans="1:12" x14ac:dyDescent="0.25">
      <c r="A30" s="71" t="s">
        <v>1349</v>
      </c>
      <c r="B30" s="250">
        <v>0</v>
      </c>
      <c r="C30" s="251"/>
      <c r="D30" s="250">
        <f>11676757.06+676898.37</f>
        <v>12353655.43</v>
      </c>
      <c r="E30" s="45">
        <f t="shared" si="3"/>
        <v>6176828</v>
      </c>
      <c r="G30" s="25" t="s">
        <v>74</v>
      </c>
      <c r="H30" s="13">
        <f>+'Allocation Factors'!$G$21</f>
        <v>3.54809369866841E-2</v>
      </c>
      <c r="J30" s="7">
        <f t="shared" si="1"/>
        <v>219159.64504558599</v>
      </c>
      <c r="K30" s="217"/>
      <c r="L30" s="13"/>
    </row>
    <row r="31" spans="1:12" x14ac:dyDescent="0.25">
      <c r="A31" s="71" t="s">
        <v>1350</v>
      </c>
      <c r="B31" s="250">
        <v>0</v>
      </c>
      <c r="C31" s="251"/>
      <c r="D31" s="250">
        <f>23812053.77+1355063.77</f>
        <v>25167117.539999999</v>
      </c>
      <c r="E31" s="45">
        <f t="shared" si="3"/>
        <v>12583559</v>
      </c>
      <c r="G31" s="25" t="s">
        <v>74</v>
      </c>
      <c r="H31" s="13">
        <f>+'Allocation Factors'!$G$21</f>
        <v>3.54809369866841E-2</v>
      </c>
      <c r="J31" s="7">
        <f t="shared" si="1"/>
        <v>446476.46394722158</v>
      </c>
      <c r="K31" s="217"/>
      <c r="L31" s="13"/>
    </row>
    <row r="32" spans="1:12" x14ac:dyDescent="0.25">
      <c r="A32" s="71" t="s">
        <v>1351</v>
      </c>
      <c r="B32" s="250">
        <v>0</v>
      </c>
      <c r="C32" s="251"/>
      <c r="D32" s="250">
        <f>14909398.63+1042956.79</f>
        <v>15952355.420000002</v>
      </c>
      <c r="E32" s="45">
        <f t="shared" si="3"/>
        <v>7976178</v>
      </c>
      <c r="G32" s="25" t="s">
        <v>74</v>
      </c>
      <c r="H32" s="13">
        <f>+'Allocation Factors'!$G$21</f>
        <v>3.54809369866841E-2</v>
      </c>
      <c r="J32" s="7">
        <f t="shared" si="1"/>
        <v>283002.26901257603</v>
      </c>
      <c r="K32" s="217"/>
      <c r="L32" s="13"/>
    </row>
    <row r="33" spans="1:12" x14ac:dyDescent="0.25">
      <c r="A33" s="71" t="s">
        <v>1352</v>
      </c>
      <c r="B33" s="250">
        <v>0</v>
      </c>
      <c r="C33" s="251"/>
      <c r="D33" s="250">
        <f>1337852.15+-139671.31</f>
        <v>1198180.8399999999</v>
      </c>
      <c r="E33" s="45">
        <f t="shared" si="3"/>
        <v>599090</v>
      </c>
      <c r="G33" s="25" t="s">
        <v>74</v>
      </c>
      <c r="H33" s="13">
        <f>+'Allocation Factors'!$G$21</f>
        <v>3.54809369866841E-2</v>
      </c>
      <c r="J33" s="7">
        <f t="shared" si="1"/>
        <v>21256.274539352577</v>
      </c>
      <c r="K33" s="217"/>
      <c r="L33" s="13"/>
    </row>
    <row r="34" spans="1:12" x14ac:dyDescent="0.25">
      <c r="A34" s="71" t="s">
        <v>1353</v>
      </c>
      <c r="B34" s="250">
        <v>0</v>
      </c>
      <c r="C34" s="251"/>
      <c r="D34" s="250">
        <f>2480633.37+192854.21</f>
        <v>2673487.58</v>
      </c>
      <c r="E34" s="45">
        <f t="shared" si="3"/>
        <v>1336744</v>
      </c>
      <c r="G34" s="25" t="s">
        <v>73</v>
      </c>
      <c r="H34" s="13">
        <f>+'Allocation Factors'!$G$13</f>
        <v>0.91713571027193685</v>
      </c>
      <c r="J34" s="7">
        <f t="shared" si="1"/>
        <v>1225975.6578917499</v>
      </c>
      <c r="K34" s="217"/>
      <c r="L34" s="13"/>
    </row>
    <row r="35" spans="1:12" x14ac:dyDescent="0.25">
      <c r="A35" s="71" t="s">
        <v>1354</v>
      </c>
      <c r="B35" s="250">
        <v>0</v>
      </c>
      <c r="C35" s="251"/>
      <c r="D35" s="250">
        <f>1048513.14+125177.56</f>
        <v>1173690.7</v>
      </c>
      <c r="E35" s="45">
        <f t="shared" si="3"/>
        <v>586845</v>
      </c>
      <c r="G35" s="25" t="s">
        <v>73</v>
      </c>
      <c r="H35" s="13">
        <f>+'Allocation Factors'!$G$13</f>
        <v>0.91713571027193685</v>
      </c>
      <c r="J35" s="7">
        <f t="shared" si="1"/>
        <v>538216.50589453476</v>
      </c>
      <c r="K35" s="217"/>
      <c r="L35" s="13"/>
    </row>
    <row r="36" spans="1:12" x14ac:dyDescent="0.25">
      <c r="A36" s="71" t="s">
        <v>1355</v>
      </c>
      <c r="B36" s="250">
        <v>0</v>
      </c>
      <c r="C36" s="251"/>
      <c r="D36" s="250">
        <f>3597972.11+356286.82</f>
        <v>3954258.9299999997</v>
      </c>
      <c r="E36" s="45">
        <f t="shared" si="3"/>
        <v>1977129</v>
      </c>
      <c r="G36" s="25" t="s">
        <v>73</v>
      </c>
      <c r="H36" s="13">
        <f>+'Allocation Factors'!$G$13</f>
        <v>0.91713571027193685</v>
      </c>
      <c r="J36" s="7">
        <f t="shared" si="1"/>
        <v>1813295.6097142443</v>
      </c>
      <c r="K36" s="217"/>
      <c r="L36" s="13"/>
    </row>
    <row r="37" spans="1:12" x14ac:dyDescent="0.25">
      <c r="A37" s="71" t="s">
        <v>1356</v>
      </c>
      <c r="B37" s="250">
        <v>0</v>
      </c>
      <c r="C37" s="251"/>
      <c r="D37" s="250">
        <f>2255618.51+183770.76</f>
        <v>2439389.2699999996</v>
      </c>
      <c r="E37" s="45">
        <f t="shared" si="3"/>
        <v>1219695</v>
      </c>
      <c r="G37" s="25" t="s">
        <v>73</v>
      </c>
      <c r="H37" s="13">
        <f>+'Allocation Factors'!$G$13</f>
        <v>0.91713571027193685</v>
      </c>
      <c r="J37" s="7">
        <f t="shared" si="1"/>
        <v>1118625.8401401301</v>
      </c>
      <c r="K37" s="217"/>
      <c r="L37" s="13"/>
    </row>
    <row r="38" spans="1:12" x14ac:dyDescent="0.25">
      <c r="A38" s="71" t="s">
        <v>1357</v>
      </c>
      <c r="B38" s="250">
        <v>0</v>
      </c>
      <c r="C38" s="251"/>
      <c r="D38" s="250">
        <f>3412514.6+260690.21</f>
        <v>3673204.81</v>
      </c>
      <c r="E38" s="45">
        <f t="shared" si="3"/>
        <v>1836602</v>
      </c>
      <c r="G38" s="25" t="s">
        <v>73</v>
      </c>
      <c r="H38" s="13">
        <f>+'Allocation Factors'!$G$13</f>
        <v>0.91713571027193685</v>
      </c>
      <c r="J38" s="7">
        <f t="shared" si="1"/>
        <v>1684413.2797568599</v>
      </c>
      <c r="K38" s="217"/>
      <c r="L38" s="13"/>
    </row>
    <row r="39" spans="1:12" x14ac:dyDescent="0.25">
      <c r="A39" s="71" t="s">
        <v>1101</v>
      </c>
      <c r="B39" s="250">
        <f>3097700-1-3</f>
        <v>3097696</v>
      </c>
      <c r="C39" s="251"/>
      <c r="D39" s="250">
        <v>3097696</v>
      </c>
      <c r="E39" s="45">
        <f t="shared" si="3"/>
        <v>3097696</v>
      </c>
      <c r="G39" s="25" t="s">
        <v>73</v>
      </c>
      <c r="H39" s="13">
        <f>+'Allocation Factors'!$G$13</f>
        <v>0.91713571027193685</v>
      </c>
      <c r="J39" s="7">
        <f t="shared" si="1"/>
        <v>2841007.6211665375</v>
      </c>
      <c r="K39" s="217"/>
      <c r="L39" s="13"/>
    </row>
    <row r="40" spans="1:12" x14ac:dyDescent="0.25">
      <c r="A40" s="71" t="s">
        <v>1101</v>
      </c>
      <c r="B40" s="250">
        <f>-513792+3+1+538900+330813+4646</f>
        <v>360571</v>
      </c>
      <c r="C40" s="251"/>
      <c r="D40" s="250">
        <v>360571</v>
      </c>
      <c r="E40" s="45">
        <f t="shared" si="3"/>
        <v>360571</v>
      </c>
      <c r="G40" s="25" t="s">
        <v>73</v>
      </c>
      <c r="H40" s="13">
        <f>+'Allocation Factors'!$G$13</f>
        <v>0.91713571027193685</v>
      </c>
      <c r="J40" s="7">
        <f t="shared" si="1"/>
        <v>330692.54018846253</v>
      </c>
      <c r="K40" s="217"/>
      <c r="L40" s="13"/>
    </row>
    <row r="41" spans="1:12" x14ac:dyDescent="0.25">
      <c r="A41" s="71" t="s">
        <v>1031</v>
      </c>
      <c r="B41" s="250">
        <v>29703104</v>
      </c>
      <c r="C41" s="251"/>
      <c r="D41" s="250">
        <v>29703104</v>
      </c>
      <c r="E41" s="45">
        <f t="shared" si="3"/>
        <v>29703104</v>
      </c>
      <c r="G41" s="25" t="s">
        <v>74</v>
      </c>
      <c r="H41" s="13">
        <f>+'Allocation Factors'!$G$21</f>
        <v>3.54809369866841E-2</v>
      </c>
      <c r="J41" s="7">
        <f t="shared" si="1"/>
        <v>1053893.9613329244</v>
      </c>
      <c r="K41" s="217"/>
      <c r="L41" s="13"/>
    </row>
    <row r="42" spans="1:12" x14ac:dyDescent="0.25">
      <c r="A42" s="71" t="s">
        <v>1173</v>
      </c>
      <c r="B42" s="250">
        <v>776777</v>
      </c>
      <c r="C42" s="251"/>
      <c r="D42" s="250">
        <v>776777</v>
      </c>
      <c r="E42" s="45">
        <f t="shared" si="3"/>
        <v>776777</v>
      </c>
      <c r="G42" s="25" t="s">
        <v>140</v>
      </c>
      <c r="H42" s="237">
        <v>0</v>
      </c>
      <c r="J42" s="7">
        <f t="shared" si="1"/>
        <v>0</v>
      </c>
      <c r="K42" s="217"/>
      <c r="L42" s="13"/>
    </row>
    <row r="43" spans="1:12" x14ac:dyDescent="0.25">
      <c r="A43" s="71" t="s">
        <v>1174</v>
      </c>
      <c r="B43" s="250">
        <v>0</v>
      </c>
      <c r="C43" s="251"/>
      <c r="D43" s="250">
        <v>0</v>
      </c>
      <c r="E43" s="45">
        <f t="shared" si="3"/>
        <v>0</v>
      </c>
      <c r="G43" s="25" t="s">
        <v>140</v>
      </c>
      <c r="H43" s="237">
        <v>0</v>
      </c>
      <c r="J43" s="7">
        <f t="shared" si="1"/>
        <v>0</v>
      </c>
      <c r="K43" s="217"/>
      <c r="L43" s="13"/>
    </row>
    <row r="44" spans="1:12" x14ac:dyDescent="0.25">
      <c r="A44" s="71" t="s">
        <v>1174</v>
      </c>
      <c r="B44" s="250">
        <v>0</v>
      </c>
      <c r="C44" s="251"/>
      <c r="D44" s="250">
        <v>0</v>
      </c>
      <c r="E44" s="45">
        <f t="shared" si="3"/>
        <v>0</v>
      </c>
      <c r="G44" s="25" t="s">
        <v>140</v>
      </c>
      <c r="H44" s="237">
        <v>0</v>
      </c>
      <c r="J44" s="7">
        <f t="shared" si="1"/>
        <v>0</v>
      </c>
      <c r="K44" s="217"/>
      <c r="L44" s="13"/>
    </row>
    <row r="45" spans="1:12" x14ac:dyDescent="0.25">
      <c r="A45" s="71" t="s">
        <v>1174</v>
      </c>
      <c r="B45" s="250">
        <v>0</v>
      </c>
      <c r="C45" s="251"/>
      <c r="D45" s="250">
        <v>0</v>
      </c>
      <c r="E45" s="45">
        <f t="shared" si="3"/>
        <v>0</v>
      </c>
      <c r="G45" s="25" t="s">
        <v>140</v>
      </c>
      <c r="H45" s="237">
        <v>0</v>
      </c>
      <c r="J45" s="7">
        <f t="shared" si="1"/>
        <v>0</v>
      </c>
      <c r="K45" s="217"/>
      <c r="L45" s="13"/>
    </row>
    <row r="46" spans="1:12" x14ac:dyDescent="0.25">
      <c r="A46" s="71" t="s">
        <v>1174</v>
      </c>
      <c r="B46" s="250">
        <v>0</v>
      </c>
      <c r="C46" s="251"/>
      <c r="D46" s="250">
        <v>0</v>
      </c>
      <c r="E46" s="45">
        <f t="shared" si="3"/>
        <v>0</v>
      </c>
      <c r="G46" s="25" t="s">
        <v>140</v>
      </c>
      <c r="H46" s="237">
        <v>0</v>
      </c>
      <c r="J46" s="7">
        <f t="shared" si="1"/>
        <v>0</v>
      </c>
      <c r="K46" s="217"/>
      <c r="L46" s="13"/>
    </row>
    <row r="47" spans="1:12" x14ac:dyDescent="0.25">
      <c r="A47" s="71" t="s">
        <v>1175</v>
      </c>
      <c r="B47" s="250">
        <v>52683</v>
      </c>
      <c r="C47" s="251"/>
      <c r="D47" s="250">
        <v>52683</v>
      </c>
      <c r="E47" s="45">
        <f t="shared" si="3"/>
        <v>52683</v>
      </c>
      <c r="G47" s="25" t="s">
        <v>140</v>
      </c>
      <c r="H47" s="237">
        <v>0</v>
      </c>
      <c r="J47" s="7">
        <f t="shared" si="1"/>
        <v>0</v>
      </c>
      <c r="K47" s="217"/>
      <c r="L47" s="13"/>
    </row>
    <row r="48" spans="1:12" x14ac:dyDescent="0.25">
      <c r="A48" s="71" t="s">
        <v>358</v>
      </c>
      <c r="B48" s="250">
        <v>2777832</v>
      </c>
      <c r="C48" s="251"/>
      <c r="D48" s="250">
        <v>2777832</v>
      </c>
      <c r="E48" s="45">
        <f t="shared" si="3"/>
        <v>2777832</v>
      </c>
      <c r="G48" s="25" t="s">
        <v>74</v>
      </c>
      <c r="H48" s="13">
        <f>+'Allocation Factors'!$G$21</f>
        <v>3.54809369866841E-2</v>
      </c>
      <c r="J48" s="7">
        <f t="shared" si="1"/>
        <v>98560.082151594674</v>
      </c>
      <c r="K48" s="217"/>
      <c r="L48" s="13"/>
    </row>
    <row r="49" spans="1:12" x14ac:dyDescent="0.25">
      <c r="A49" s="71" t="s">
        <v>346</v>
      </c>
      <c r="B49" s="250">
        <v>519424</v>
      </c>
      <c r="C49" s="251"/>
      <c r="D49" s="250">
        <v>519424</v>
      </c>
      <c r="E49" s="45">
        <f t="shared" si="3"/>
        <v>519424</v>
      </c>
      <c r="G49" s="25" t="s">
        <v>74</v>
      </c>
      <c r="H49" s="13">
        <f>+'Allocation Factors'!$G$21</f>
        <v>3.54809369866841E-2</v>
      </c>
      <c r="J49" s="7">
        <f t="shared" si="1"/>
        <v>18429.650213371402</v>
      </c>
      <c r="K49" s="217"/>
      <c r="L49" s="13"/>
    </row>
    <row r="50" spans="1:12" ht="15.75" customHeight="1" x14ac:dyDescent="0.25">
      <c r="A50" s="71" t="s">
        <v>364</v>
      </c>
      <c r="B50" s="250">
        <v>2802756</v>
      </c>
      <c r="C50" s="251"/>
      <c r="D50" s="250">
        <v>2802756</v>
      </c>
      <c r="E50" s="45">
        <f t="shared" si="3"/>
        <v>2802756</v>
      </c>
      <c r="G50" s="25" t="s">
        <v>74</v>
      </c>
      <c r="H50" s="13">
        <f>+'Allocation Factors'!$G$21</f>
        <v>3.54809369866841E-2</v>
      </c>
      <c r="J50" s="7">
        <f t="shared" si="1"/>
        <v>99444.409025050787</v>
      </c>
      <c r="K50" s="217"/>
      <c r="L50" s="13"/>
    </row>
    <row r="51" spans="1:12" x14ac:dyDescent="0.25">
      <c r="A51" s="71" t="s">
        <v>359</v>
      </c>
      <c r="B51" s="250">
        <v>339838</v>
      </c>
      <c r="C51" s="251"/>
      <c r="D51" s="250">
        <v>339838</v>
      </c>
      <c r="E51" s="45">
        <f t="shared" si="3"/>
        <v>339838</v>
      </c>
      <c r="G51" s="25" t="s">
        <v>74</v>
      </c>
      <c r="H51" s="13">
        <f>+'Allocation Factors'!$G$21</f>
        <v>3.54809369866841E-2</v>
      </c>
      <c r="J51" s="7">
        <f t="shared" si="1"/>
        <v>12057.770663680751</v>
      </c>
      <c r="K51" s="217"/>
      <c r="L51" s="13"/>
    </row>
    <row r="52" spans="1:12" x14ac:dyDescent="0.25">
      <c r="A52" s="71" t="s">
        <v>357</v>
      </c>
      <c r="B52" s="250">
        <v>687653</v>
      </c>
      <c r="C52" s="251"/>
      <c r="D52" s="250">
        <v>687653</v>
      </c>
      <c r="E52" s="45">
        <f t="shared" si="3"/>
        <v>687653</v>
      </c>
      <c r="G52" s="25" t="s">
        <v>74</v>
      </c>
      <c r="H52" s="13">
        <f>+'Allocation Factors'!$G$21</f>
        <v>3.54809369866841E-2</v>
      </c>
      <c r="J52" s="7">
        <f t="shared" si="1"/>
        <v>24398.572761704283</v>
      </c>
      <c r="K52" s="217"/>
      <c r="L52" s="13"/>
    </row>
    <row r="53" spans="1:12" x14ac:dyDescent="0.25">
      <c r="A53" s="71" t="s">
        <v>367</v>
      </c>
      <c r="B53" s="250">
        <v>24160263</v>
      </c>
      <c r="C53" s="251"/>
      <c r="D53" s="250">
        <v>24160263</v>
      </c>
      <c r="E53" s="45">
        <f t="shared" si="3"/>
        <v>24160263</v>
      </c>
      <c r="G53" s="25" t="s">
        <v>74</v>
      </c>
      <c r="H53" s="13">
        <f>+'Allocation Factors'!$G$21</f>
        <v>3.54809369866841E-2</v>
      </c>
      <c r="J53" s="7">
        <f t="shared" si="1"/>
        <v>857228.7690847154</v>
      </c>
      <c r="K53" s="217"/>
      <c r="L53" s="13"/>
    </row>
    <row r="54" spans="1:12" x14ac:dyDescent="0.25">
      <c r="A54" s="71" t="s">
        <v>1110</v>
      </c>
      <c r="B54" s="250">
        <v>45574.04</v>
      </c>
      <c r="C54" s="251"/>
      <c r="D54" s="250">
        <v>45574.04</v>
      </c>
      <c r="E54" s="45">
        <f t="shared" ref="E54:E69" si="4">ROUND((B54+D54)/2,0)</f>
        <v>45574</v>
      </c>
      <c r="G54" s="25" t="s">
        <v>73</v>
      </c>
      <c r="H54" s="13">
        <f>+'Allocation Factors'!$G$13</f>
        <v>0.91713571027193685</v>
      </c>
      <c r="J54" s="7">
        <f t="shared" si="1"/>
        <v>41797.542859933252</v>
      </c>
      <c r="L54" s="13"/>
    </row>
    <row r="55" spans="1:12" x14ac:dyDescent="0.25">
      <c r="A55" s="71" t="s">
        <v>1345</v>
      </c>
      <c r="B55" s="250">
        <v>0</v>
      </c>
      <c r="C55" s="251"/>
      <c r="D55" s="250">
        <v>186475.3</v>
      </c>
      <c r="E55" s="45">
        <f t="shared" si="4"/>
        <v>93238</v>
      </c>
      <c r="G55" s="25" t="s">
        <v>73</v>
      </c>
      <c r="H55" s="13">
        <f>+'Allocation Factors'!$G$13</f>
        <v>0.91713571027193685</v>
      </c>
      <c r="J55" s="7">
        <f t="shared" si="1"/>
        <v>85511.899354334848</v>
      </c>
      <c r="L55" s="13"/>
    </row>
    <row r="56" spans="1:12" x14ac:dyDescent="0.25">
      <c r="A56" s="71" t="s">
        <v>379</v>
      </c>
      <c r="B56" s="250">
        <v>6409</v>
      </c>
      <c r="C56" s="251"/>
      <c r="D56" s="250">
        <v>6409</v>
      </c>
      <c r="E56" s="45">
        <f t="shared" si="4"/>
        <v>6409</v>
      </c>
      <c r="G56" s="25" t="s">
        <v>74</v>
      </c>
      <c r="H56" s="13">
        <f>+'Allocation Factors'!$G$21</f>
        <v>3.54809369866841E-2</v>
      </c>
      <c r="J56" s="7">
        <f t="shared" si="1"/>
        <v>227.39732514765839</v>
      </c>
      <c r="L56" s="13"/>
    </row>
    <row r="57" spans="1:12" x14ac:dyDescent="0.25">
      <c r="A57" s="71" t="s">
        <v>1176</v>
      </c>
      <c r="B57" s="250">
        <v>275739</v>
      </c>
      <c r="C57" s="251"/>
      <c r="D57" s="250">
        <v>275739</v>
      </c>
      <c r="E57" s="45">
        <f t="shared" si="4"/>
        <v>275739</v>
      </c>
      <c r="G57" s="25" t="s">
        <v>140</v>
      </c>
      <c r="H57" s="237">
        <v>0</v>
      </c>
      <c r="J57" s="7">
        <f t="shared" si="1"/>
        <v>0</v>
      </c>
      <c r="L57" s="13"/>
    </row>
    <row r="58" spans="1:12" x14ac:dyDescent="0.25">
      <c r="A58" s="71" t="s">
        <v>1002</v>
      </c>
      <c r="B58" s="250">
        <v>0</v>
      </c>
      <c r="C58" s="251"/>
      <c r="D58" s="250">
        <v>0</v>
      </c>
      <c r="E58" s="45">
        <f t="shared" si="4"/>
        <v>0</v>
      </c>
      <c r="G58" s="25" t="s">
        <v>73</v>
      </c>
      <c r="H58" s="13">
        <f>+'Allocation Factors'!$G$13</f>
        <v>0.91713571027193685</v>
      </c>
      <c r="J58" s="7">
        <f t="shared" si="1"/>
        <v>0</v>
      </c>
      <c r="L58" s="13"/>
    </row>
    <row r="59" spans="1:12" x14ac:dyDescent="0.25">
      <c r="A59" s="71" t="s">
        <v>1177</v>
      </c>
      <c r="B59" s="250">
        <v>128641</v>
      </c>
      <c r="C59" s="251"/>
      <c r="D59" s="250">
        <v>128641</v>
      </c>
      <c r="E59" s="45">
        <f t="shared" si="4"/>
        <v>128641</v>
      </c>
      <c r="G59" s="25" t="s">
        <v>140</v>
      </c>
      <c r="H59" s="237">
        <v>0</v>
      </c>
      <c r="J59" s="7">
        <f t="shared" si="1"/>
        <v>0</v>
      </c>
      <c r="L59" s="13"/>
    </row>
    <row r="60" spans="1:12" x14ac:dyDescent="0.25">
      <c r="A60" s="71" t="s">
        <v>1178</v>
      </c>
      <c r="B60" s="250">
        <v>19971</v>
      </c>
      <c r="C60" s="251"/>
      <c r="D60" s="250">
        <v>19971</v>
      </c>
      <c r="E60" s="45">
        <f t="shared" si="4"/>
        <v>19971</v>
      </c>
      <c r="G60" s="25" t="s">
        <v>140</v>
      </c>
      <c r="H60" s="237">
        <v>0</v>
      </c>
      <c r="I60" s="207"/>
      <c r="J60" s="7">
        <f t="shared" si="1"/>
        <v>0</v>
      </c>
      <c r="L60" s="13"/>
    </row>
    <row r="61" spans="1:12" x14ac:dyDescent="0.25">
      <c r="A61" s="71" t="s">
        <v>377</v>
      </c>
      <c r="B61" s="250">
        <v>138209</v>
      </c>
      <c r="C61" s="251"/>
      <c r="D61" s="250">
        <v>138209</v>
      </c>
      <c r="E61" s="45">
        <f t="shared" si="4"/>
        <v>138209</v>
      </c>
      <c r="G61" s="25" t="s">
        <v>74</v>
      </c>
      <c r="H61" s="13">
        <f>+'Allocation Factors'!$G$21</f>
        <v>3.54809369866841E-2</v>
      </c>
      <c r="I61" s="207"/>
      <c r="J61" s="7">
        <f t="shared" si="1"/>
        <v>4903.7848199926229</v>
      </c>
      <c r="L61" s="13"/>
    </row>
    <row r="62" spans="1:12" x14ac:dyDescent="0.25">
      <c r="A62" s="71" t="s">
        <v>378</v>
      </c>
      <c r="B62" s="250">
        <v>64516</v>
      </c>
      <c r="C62" s="251"/>
      <c r="D62" s="250">
        <v>64516</v>
      </c>
      <c r="E62" s="45">
        <f t="shared" si="4"/>
        <v>64516</v>
      </c>
      <c r="G62" s="25" t="s">
        <v>74</v>
      </c>
      <c r="H62" s="13">
        <f>+'Allocation Factors'!$G$21</f>
        <v>3.54809369866841E-2</v>
      </c>
      <c r="I62" s="207"/>
      <c r="J62" s="7">
        <f t="shared" si="1"/>
        <v>2289.0881306329115</v>
      </c>
      <c r="L62" s="13"/>
    </row>
    <row r="63" spans="1:12" x14ac:dyDescent="0.25">
      <c r="A63" s="71" t="s">
        <v>1102</v>
      </c>
      <c r="B63" s="250">
        <v>136865</v>
      </c>
      <c r="C63" s="251"/>
      <c r="D63" s="250">
        <v>136865</v>
      </c>
      <c r="E63" s="45">
        <f t="shared" si="4"/>
        <v>136865</v>
      </c>
      <c r="G63" s="25" t="s">
        <v>74</v>
      </c>
      <c r="H63" s="13">
        <f>+'Allocation Factors'!$G$21</f>
        <v>3.54809369866841E-2</v>
      </c>
      <c r="I63" s="207"/>
      <c r="J63" s="7">
        <f t="shared" si="1"/>
        <v>4856.0984406825191</v>
      </c>
      <c r="L63" s="13"/>
    </row>
    <row r="64" spans="1:12" x14ac:dyDescent="0.25">
      <c r="A64" s="71" t="s">
        <v>1022</v>
      </c>
      <c r="B64" s="250">
        <f>98442+895</f>
        <v>99337</v>
      </c>
      <c r="C64" s="251"/>
      <c r="D64" s="250">
        <f>98442+895</f>
        <v>99337</v>
      </c>
      <c r="E64" s="45">
        <f t="shared" si="4"/>
        <v>99337</v>
      </c>
      <c r="G64" s="25" t="s">
        <v>74</v>
      </c>
      <c r="H64" s="13">
        <f>+'Allocation Factors'!$G$21</f>
        <v>3.54809369866841E-2</v>
      </c>
      <c r="J64" s="7">
        <f t="shared" si="1"/>
        <v>3524.5698374462386</v>
      </c>
      <c r="L64" s="13"/>
    </row>
    <row r="65" spans="1:12" x14ac:dyDescent="0.25">
      <c r="A65" s="71" t="s">
        <v>351</v>
      </c>
      <c r="B65" s="250">
        <v>97838</v>
      </c>
      <c r="C65" s="251"/>
      <c r="D65" s="250">
        <v>97838</v>
      </c>
      <c r="E65" s="45">
        <f t="shared" si="4"/>
        <v>97838</v>
      </c>
      <c r="G65" s="25" t="s">
        <v>73</v>
      </c>
      <c r="H65" s="13">
        <f>+'Allocation Factors'!$G$13</f>
        <v>0.91713571027193685</v>
      </c>
      <c r="J65" s="7">
        <f t="shared" si="1"/>
        <v>89730.723621585756</v>
      </c>
      <c r="L65" s="13"/>
    </row>
    <row r="66" spans="1:12" x14ac:dyDescent="0.25">
      <c r="A66" s="71" t="s">
        <v>1346</v>
      </c>
      <c r="B66" s="250">
        <v>0</v>
      </c>
      <c r="C66" s="251"/>
      <c r="D66" s="250">
        <v>685334.06</v>
      </c>
      <c r="E66" s="45">
        <f t="shared" si="4"/>
        <v>342667</v>
      </c>
      <c r="G66" s="25" t="s">
        <v>73</v>
      </c>
      <c r="H66" s="13">
        <f>+'Allocation Factors'!$G$13</f>
        <v>0.91713571027193685</v>
      </c>
      <c r="J66" s="7">
        <f t="shared" si="1"/>
        <v>314272.1424317538</v>
      </c>
      <c r="L66" s="13"/>
    </row>
    <row r="67" spans="1:12" x14ac:dyDescent="0.25">
      <c r="A67" s="71" t="s">
        <v>1103</v>
      </c>
      <c r="B67" s="250">
        <v>118735.98</v>
      </c>
      <c r="C67" s="251"/>
      <c r="D67" s="250">
        <v>118736</v>
      </c>
      <c r="E67" s="45">
        <f t="shared" si="4"/>
        <v>118736</v>
      </c>
      <c r="G67" s="25" t="s">
        <v>73</v>
      </c>
      <c r="H67" s="13">
        <f>+'Allocation Factors'!$G$13</f>
        <v>0.91713571027193685</v>
      </c>
      <c r="J67" s="7">
        <f t="shared" si="1"/>
        <v>108897.02569484869</v>
      </c>
      <c r="L67" s="13"/>
    </row>
    <row r="68" spans="1:12" x14ac:dyDescent="0.25">
      <c r="A68" s="71" t="s">
        <v>1312</v>
      </c>
      <c r="B68" s="250">
        <v>421388</v>
      </c>
      <c r="C68" s="251"/>
      <c r="D68" s="250">
        <v>421388</v>
      </c>
      <c r="E68" s="45">
        <f t="shared" si="4"/>
        <v>421388</v>
      </c>
      <c r="G68" s="25" t="s">
        <v>73</v>
      </c>
      <c r="H68" s="13">
        <f>+'Allocation Factors'!$G$13</f>
        <v>0.91713571027193685</v>
      </c>
      <c r="J68" s="7">
        <f t="shared" si="1"/>
        <v>386469.98268007091</v>
      </c>
      <c r="L68" s="13"/>
    </row>
    <row r="69" spans="1:12" x14ac:dyDescent="0.25">
      <c r="A69" s="71" t="s">
        <v>355</v>
      </c>
      <c r="B69" s="250">
        <f>139333+4369735</f>
        <v>4509068</v>
      </c>
      <c r="C69" s="251"/>
      <c r="D69" s="250">
        <f>139333+4369735</f>
        <v>4509068</v>
      </c>
      <c r="E69" s="45">
        <f t="shared" si="4"/>
        <v>4509068</v>
      </c>
      <c r="G69" s="25" t="s">
        <v>74</v>
      </c>
      <c r="H69" s="13">
        <f>+'Allocation Factors'!$G$21</f>
        <v>3.54809369866841E-2</v>
      </c>
      <c r="J69" s="7">
        <f t="shared" si="1"/>
        <v>159985.95757667371</v>
      </c>
      <c r="L69" s="5"/>
    </row>
    <row r="70" spans="1:12" x14ac:dyDescent="0.25">
      <c r="A70" s="71" t="s">
        <v>356</v>
      </c>
      <c r="B70" s="250">
        <v>5261230</v>
      </c>
      <c r="C70" s="251"/>
      <c r="D70" s="250">
        <v>5261230</v>
      </c>
      <c r="E70" s="45">
        <f t="shared" ref="E70:E109" si="5">ROUND((B70+D70)/2,0)</f>
        <v>5261230</v>
      </c>
      <c r="G70" s="25" t="s">
        <v>74</v>
      </c>
      <c r="H70" s="13">
        <f>+'Allocation Factors'!$G$21</f>
        <v>3.54809369866841E-2</v>
      </c>
      <c r="J70" s="7">
        <f t="shared" si="1"/>
        <v>186673.370102452</v>
      </c>
      <c r="L70" s="13"/>
    </row>
    <row r="71" spans="1:12" x14ac:dyDescent="0.25">
      <c r="A71" s="71" t="s">
        <v>368</v>
      </c>
      <c r="B71" s="250">
        <v>6456989</v>
      </c>
      <c r="C71" s="251"/>
      <c r="D71" s="250">
        <v>6456989</v>
      </c>
      <c r="E71" s="45">
        <f t="shared" si="5"/>
        <v>6456989</v>
      </c>
      <c r="G71" s="25" t="s">
        <v>74</v>
      </c>
      <c r="H71" s="13">
        <f>+'Allocation Factors'!$G$21</f>
        <v>3.54809369866841E-2</v>
      </c>
      <c r="J71" s="7">
        <f t="shared" si="1"/>
        <v>229100.01983271239</v>
      </c>
      <c r="L71" s="13"/>
    </row>
    <row r="72" spans="1:12" x14ac:dyDescent="0.25">
      <c r="A72" s="71" t="s">
        <v>363</v>
      </c>
      <c r="B72" s="250">
        <v>162193</v>
      </c>
      <c r="C72" s="251"/>
      <c r="D72" s="250">
        <v>162193</v>
      </c>
      <c r="E72" s="45">
        <f t="shared" ref="E72:E76" si="6">ROUND((B72+D72)/2,0)</f>
        <v>162193</v>
      </c>
      <c r="G72" s="25" t="s">
        <v>74</v>
      </c>
      <c r="H72" s="13">
        <f>+'Allocation Factors'!$G$21</f>
        <v>3.54809369866841E-2</v>
      </c>
      <c r="J72" s="7">
        <f t="shared" si="1"/>
        <v>5754.7596126812541</v>
      </c>
      <c r="L72" s="13"/>
    </row>
    <row r="73" spans="1:12" x14ac:dyDescent="0.25">
      <c r="A73" s="71" t="s">
        <v>366</v>
      </c>
      <c r="B73" s="250">
        <v>4808127</v>
      </c>
      <c r="C73" s="251"/>
      <c r="D73" s="250">
        <v>4808127</v>
      </c>
      <c r="E73" s="45">
        <f t="shared" si="6"/>
        <v>4808127</v>
      </c>
      <c r="G73" s="25" t="s">
        <v>74</v>
      </c>
      <c r="H73" s="13">
        <f>+'Allocation Factors'!$G$21</f>
        <v>3.54809369866841E-2</v>
      </c>
      <c r="J73" s="7">
        <f t="shared" si="1"/>
        <v>170596.85111097447</v>
      </c>
      <c r="L73" s="13"/>
    </row>
    <row r="74" spans="1:12" x14ac:dyDescent="0.25">
      <c r="A74" s="71" t="s">
        <v>1003</v>
      </c>
      <c r="B74" s="250">
        <v>0</v>
      </c>
      <c r="C74" s="251"/>
      <c r="D74" s="250">
        <v>0</v>
      </c>
      <c r="E74" s="45">
        <f t="shared" si="6"/>
        <v>0</v>
      </c>
      <c r="G74" s="25" t="s">
        <v>74</v>
      </c>
      <c r="H74" s="13">
        <f>+'Allocation Factors'!$G$21</f>
        <v>3.54809369866841E-2</v>
      </c>
      <c r="J74" s="7">
        <f t="shared" si="1"/>
        <v>0</v>
      </c>
      <c r="L74" s="13"/>
    </row>
    <row r="75" spans="1:12" x14ac:dyDescent="0.25">
      <c r="A75" s="71" t="s">
        <v>1187</v>
      </c>
      <c r="B75" s="250">
        <f>120718+242546-60-120+102+51</f>
        <v>363237</v>
      </c>
      <c r="C75" s="251"/>
      <c r="D75" s="250">
        <f>120718+242546-60-120+102+51</f>
        <v>363237</v>
      </c>
      <c r="E75" s="45">
        <f t="shared" si="6"/>
        <v>363237</v>
      </c>
      <c r="G75" s="25" t="s">
        <v>405</v>
      </c>
      <c r="H75" s="237">
        <v>0</v>
      </c>
      <c r="J75" s="7">
        <f t="shared" si="1"/>
        <v>0</v>
      </c>
      <c r="L75" s="13"/>
    </row>
    <row r="76" spans="1:12" x14ac:dyDescent="0.25">
      <c r="A76" s="71" t="s">
        <v>375</v>
      </c>
      <c r="B76" s="250">
        <v>24204028</v>
      </c>
      <c r="C76" s="251"/>
      <c r="D76" s="250">
        <v>24204028</v>
      </c>
      <c r="E76" s="45">
        <f t="shared" si="6"/>
        <v>24204028</v>
      </c>
      <c r="G76" s="25" t="s">
        <v>74</v>
      </c>
      <c r="H76" s="13">
        <f>+'Allocation Factors'!$G$21</f>
        <v>3.54809369866841E-2</v>
      </c>
      <c r="J76" s="7">
        <f t="shared" si="1"/>
        <v>858781.59229193756</v>
      </c>
      <c r="L76" s="13"/>
    </row>
    <row r="77" spans="1:12" x14ac:dyDescent="0.25">
      <c r="A77" s="71" t="s">
        <v>376</v>
      </c>
      <c r="B77" s="250">
        <v>16415836</v>
      </c>
      <c r="C77" s="251"/>
      <c r="D77" s="250">
        <v>16415836</v>
      </c>
      <c r="E77" s="45">
        <f>ROUND((B77+D77)/2,0)</f>
        <v>16415836</v>
      </c>
      <c r="G77" s="25" t="s">
        <v>74</v>
      </c>
      <c r="H77" s="13">
        <f>+'Allocation Factors'!$G$21</f>
        <v>3.54809369866841E-2</v>
      </c>
      <c r="J77" s="7">
        <f t="shared" si="1"/>
        <v>582449.24269974034</v>
      </c>
      <c r="L77" s="13"/>
    </row>
    <row r="78" spans="1:12" x14ac:dyDescent="0.25">
      <c r="A78" s="71" t="s">
        <v>372</v>
      </c>
      <c r="B78" s="250">
        <v>19660119</v>
      </c>
      <c r="C78" s="251"/>
      <c r="D78" s="250">
        <v>19660119</v>
      </c>
      <c r="E78" s="45">
        <f t="shared" si="5"/>
        <v>19660119</v>
      </c>
      <c r="G78" s="25" t="s">
        <v>74</v>
      </c>
      <c r="H78" s="13">
        <f>+'Allocation Factors'!$G$21</f>
        <v>3.54809369866841E-2</v>
      </c>
      <c r="J78" s="7">
        <f t="shared" si="1"/>
        <v>697559.44338971085</v>
      </c>
      <c r="L78" s="13"/>
    </row>
    <row r="79" spans="1:12" x14ac:dyDescent="0.25">
      <c r="A79" s="71" t="s">
        <v>352</v>
      </c>
      <c r="B79" s="250">
        <v>183726</v>
      </c>
      <c r="C79" s="251"/>
      <c r="D79" s="250">
        <v>183726</v>
      </c>
      <c r="E79" s="45">
        <f t="shared" si="5"/>
        <v>183726</v>
      </c>
      <c r="G79" s="25" t="s">
        <v>73</v>
      </c>
      <c r="H79" s="13">
        <f>+'Allocation Factors'!$G$13</f>
        <v>0.91713571027193685</v>
      </c>
      <c r="J79" s="7">
        <f t="shared" si="1"/>
        <v>168501.67550542188</v>
      </c>
      <c r="L79" s="13"/>
    </row>
    <row r="80" spans="1:12" x14ac:dyDescent="0.25">
      <c r="A80" s="71" t="s">
        <v>1258</v>
      </c>
      <c r="B80" s="250">
        <v>41340</v>
      </c>
      <c r="C80" s="251">
        <v>41340</v>
      </c>
      <c r="D80" s="250">
        <v>41340</v>
      </c>
      <c r="E80" s="45">
        <f t="shared" ref="E80" si="7">ROUND((B80+D80)/2,0)</f>
        <v>41340</v>
      </c>
      <c r="G80" s="25" t="s">
        <v>73</v>
      </c>
      <c r="H80" s="13">
        <f>+'Allocation Factors'!$G$13</f>
        <v>0.91713571027193685</v>
      </c>
      <c r="J80" s="7">
        <f t="shared" ref="J80" si="8">E80*H80</f>
        <v>37914.390262641871</v>
      </c>
      <c r="L80" s="13"/>
    </row>
    <row r="81" spans="1:13" x14ac:dyDescent="0.25">
      <c r="A81" s="71" t="s">
        <v>1104</v>
      </c>
      <c r="B81" s="250">
        <v>216927</v>
      </c>
      <c r="C81" s="251"/>
      <c r="D81" s="250">
        <v>216927</v>
      </c>
      <c r="E81" s="45">
        <f t="shared" si="5"/>
        <v>216927</v>
      </c>
      <c r="G81" s="25" t="s">
        <v>140</v>
      </c>
      <c r="H81" s="237">
        <v>0</v>
      </c>
      <c r="J81" s="7">
        <f t="shared" si="1"/>
        <v>0</v>
      </c>
      <c r="L81" s="13"/>
    </row>
    <row r="82" spans="1:13" x14ac:dyDescent="0.25">
      <c r="A82" s="71" t="s">
        <v>1008</v>
      </c>
      <c r="B82" s="250">
        <v>239366</v>
      </c>
      <c r="C82" s="251"/>
      <c r="D82" s="250">
        <v>239366</v>
      </c>
      <c r="E82" s="45">
        <f t="shared" si="5"/>
        <v>239366</v>
      </c>
      <c r="G82" s="25" t="s">
        <v>73</v>
      </c>
      <c r="H82" s="13">
        <f>+'Allocation Factors'!$G$13</f>
        <v>0.91713571027193685</v>
      </c>
      <c r="J82" s="7">
        <f t="shared" si="1"/>
        <v>219531.10642495245</v>
      </c>
      <c r="L82" s="13"/>
    </row>
    <row r="83" spans="1:13" x14ac:dyDescent="0.25">
      <c r="A83" s="71" t="s">
        <v>1179</v>
      </c>
      <c r="B83" s="250">
        <v>491427.83</v>
      </c>
      <c r="C83" s="251"/>
      <c r="D83" s="250">
        <v>0</v>
      </c>
      <c r="E83" s="45">
        <f t="shared" si="5"/>
        <v>245714</v>
      </c>
      <c r="G83" s="25" t="s">
        <v>140</v>
      </c>
      <c r="H83" s="237">
        <v>0</v>
      </c>
      <c r="J83" s="7">
        <f t="shared" si="1"/>
        <v>0</v>
      </c>
      <c r="K83" s="234"/>
      <c r="L83" s="13"/>
    </row>
    <row r="84" spans="1:13" x14ac:dyDescent="0.25">
      <c r="A84" s="71" t="s">
        <v>1311</v>
      </c>
      <c r="B84" s="250">
        <v>2795839.31</v>
      </c>
      <c r="C84" s="251"/>
      <c r="D84" s="250">
        <f>2826692.37+96238.72+20529.53</f>
        <v>2943460.62</v>
      </c>
      <c r="E84" s="45">
        <f t="shared" si="5"/>
        <v>2869650</v>
      </c>
      <c r="G84" s="25" t="s">
        <v>74</v>
      </c>
      <c r="H84" s="13">
        <f>+'Allocation Factors'!$G$21</f>
        <v>3.54809369866841E-2</v>
      </c>
      <c r="J84" s="7">
        <f t="shared" si="1"/>
        <v>101817.87082383803</v>
      </c>
      <c r="K84" s="234"/>
      <c r="L84" s="13"/>
    </row>
    <row r="85" spans="1:13" x14ac:dyDescent="0.25">
      <c r="A85" s="71" t="s">
        <v>1004</v>
      </c>
      <c r="B85" s="250">
        <v>0</v>
      </c>
      <c r="C85" s="251"/>
      <c r="D85" s="250">
        <v>0</v>
      </c>
      <c r="E85" s="45">
        <f t="shared" si="5"/>
        <v>0</v>
      </c>
      <c r="G85" s="25" t="s">
        <v>73</v>
      </c>
      <c r="H85" s="13">
        <f>+'Allocation Factors'!$G$13</f>
        <v>0.91713571027193685</v>
      </c>
      <c r="J85" s="7">
        <f t="shared" si="1"/>
        <v>0</v>
      </c>
      <c r="L85" s="13"/>
    </row>
    <row r="86" spans="1:13" x14ac:dyDescent="0.25">
      <c r="A86" s="71" t="s">
        <v>1051</v>
      </c>
      <c r="B86" s="250">
        <f>20944+17859</f>
        <v>38803</v>
      </c>
      <c r="C86" s="251"/>
      <c r="D86" s="250">
        <f>20944+17859</f>
        <v>38803</v>
      </c>
      <c r="E86" s="45">
        <f t="shared" si="5"/>
        <v>38803</v>
      </c>
      <c r="G86" s="25" t="s">
        <v>73</v>
      </c>
      <c r="H86" s="13">
        <f>+'Allocation Factors'!$G$13</f>
        <v>0.91713571027193685</v>
      </c>
      <c r="J86" s="7">
        <f t="shared" si="1"/>
        <v>35587.616965681969</v>
      </c>
      <c r="L86" s="13"/>
    </row>
    <row r="87" spans="1:13" x14ac:dyDescent="0.25">
      <c r="A87" s="71" t="s">
        <v>1051</v>
      </c>
      <c r="B87" s="250">
        <f>20944+17859</f>
        <v>38803</v>
      </c>
      <c r="C87" s="251"/>
      <c r="D87" s="250">
        <f>20944+17859</f>
        <v>38803</v>
      </c>
      <c r="E87" s="45">
        <f>ROUND((B87+D87)/2,0)</f>
        <v>38803</v>
      </c>
      <c r="G87" s="25" t="s">
        <v>73</v>
      </c>
      <c r="H87" s="13">
        <f>+'Allocation Factors'!$G$13</f>
        <v>0.91713571027193685</v>
      </c>
      <c r="J87" s="7">
        <f t="shared" si="1"/>
        <v>35587.616965681969</v>
      </c>
      <c r="L87" s="13"/>
    </row>
    <row r="88" spans="1:13" x14ac:dyDescent="0.25">
      <c r="A88" s="71" t="s">
        <v>1105</v>
      </c>
      <c r="B88" s="250">
        <f>411353-1233</f>
        <v>410120</v>
      </c>
      <c r="C88" s="251"/>
      <c r="D88" s="250">
        <f>305209.54+104911</f>
        <v>410120.54</v>
      </c>
      <c r="E88" s="45">
        <f t="shared" si="5"/>
        <v>410120</v>
      </c>
      <c r="G88" s="25" t="s">
        <v>73</v>
      </c>
      <c r="H88" s="13">
        <f>+'Allocation Factors'!$G$13</f>
        <v>0.91713571027193685</v>
      </c>
      <c r="J88" s="7">
        <f t="shared" si="1"/>
        <v>376135.69749672676</v>
      </c>
      <c r="L88" s="13"/>
    </row>
    <row r="89" spans="1:13" x14ac:dyDescent="0.25">
      <c r="A89" s="71" t="s">
        <v>1052</v>
      </c>
      <c r="B89" s="250">
        <v>96043</v>
      </c>
      <c r="C89" s="251"/>
      <c r="D89" s="250">
        <v>96043</v>
      </c>
      <c r="E89" s="45">
        <f t="shared" si="5"/>
        <v>96043</v>
      </c>
      <c r="G89" s="25" t="s">
        <v>73</v>
      </c>
      <c r="H89" s="13">
        <f>+'Allocation Factors'!$G$13</f>
        <v>0.91713571027193685</v>
      </c>
      <c r="J89" s="7">
        <f t="shared" si="1"/>
        <v>88084.465021647629</v>
      </c>
      <c r="L89" s="13"/>
    </row>
    <row r="90" spans="1:13" x14ac:dyDescent="0.25">
      <c r="A90" s="71" t="s">
        <v>348</v>
      </c>
      <c r="B90" s="250">
        <v>82402</v>
      </c>
      <c r="C90" s="251"/>
      <c r="D90" s="250">
        <v>82402</v>
      </c>
      <c r="E90" s="45">
        <f t="shared" si="5"/>
        <v>82402</v>
      </c>
      <c r="G90" s="25" t="s">
        <v>405</v>
      </c>
      <c r="H90" s="237">
        <v>0</v>
      </c>
      <c r="J90" s="7">
        <f t="shared" si="1"/>
        <v>0</v>
      </c>
      <c r="L90" s="13"/>
    </row>
    <row r="91" spans="1:13" x14ac:dyDescent="0.25">
      <c r="A91" s="71" t="s">
        <v>344</v>
      </c>
      <c r="B91" s="250">
        <v>2678789</v>
      </c>
      <c r="C91" s="251"/>
      <c r="D91" s="250">
        <v>2678789</v>
      </c>
      <c r="E91" s="45">
        <f t="shared" si="5"/>
        <v>2678789</v>
      </c>
      <c r="G91" s="25" t="s">
        <v>405</v>
      </c>
      <c r="H91" s="237">
        <v>0</v>
      </c>
      <c r="J91" s="7">
        <f t="shared" ref="J91:J107" si="9">E91*H91</f>
        <v>0</v>
      </c>
      <c r="L91" s="13"/>
    </row>
    <row r="92" spans="1:13" x14ac:dyDescent="0.25">
      <c r="A92" s="71" t="s">
        <v>373</v>
      </c>
      <c r="B92" s="250">
        <v>234112</v>
      </c>
      <c r="C92" s="251"/>
      <c r="D92" s="250">
        <v>234112</v>
      </c>
      <c r="E92" s="45">
        <f>ROUND((B92+D92)/2,0)</f>
        <v>234112</v>
      </c>
      <c r="G92" s="25" t="s">
        <v>74</v>
      </c>
      <c r="H92" s="13">
        <f>+'Allocation Factors'!$G$21</f>
        <v>3.54809369866841E-2</v>
      </c>
      <c r="J92" s="7">
        <f>E92*H92</f>
        <v>8306.5131198265881</v>
      </c>
      <c r="L92" s="13"/>
    </row>
    <row r="93" spans="1:13" x14ac:dyDescent="0.25">
      <c r="A93" s="71" t="s">
        <v>1188</v>
      </c>
      <c r="B93" s="250">
        <f>313563+1394</f>
        <v>314957</v>
      </c>
      <c r="C93" s="251"/>
      <c r="D93" s="250">
        <f>313563+1394</f>
        <v>314957</v>
      </c>
      <c r="E93" s="45">
        <f t="shared" si="5"/>
        <v>314957</v>
      </c>
      <c r="G93" s="25" t="s">
        <v>405</v>
      </c>
      <c r="H93" s="237">
        <v>0</v>
      </c>
      <c r="J93" s="7">
        <f t="shared" si="9"/>
        <v>0</v>
      </c>
      <c r="L93" s="13"/>
      <c r="M93" s="250"/>
    </row>
    <row r="94" spans="1:13" x14ac:dyDescent="0.25">
      <c r="A94" s="71" t="s">
        <v>1106</v>
      </c>
      <c r="B94" s="250">
        <v>2351597</v>
      </c>
      <c r="C94" s="251"/>
      <c r="D94" s="250">
        <v>2351597</v>
      </c>
      <c r="E94" s="45">
        <f t="shared" si="5"/>
        <v>2351597</v>
      </c>
      <c r="G94" s="25" t="s">
        <v>73</v>
      </c>
      <c r="H94" s="13">
        <f>+'Allocation Factors'!$G$13</f>
        <v>0.91713571027193685</v>
      </c>
      <c r="J94" s="7">
        <f t="shared" si="9"/>
        <v>2156733.5848683561</v>
      </c>
      <c r="L94" s="13"/>
    </row>
    <row r="95" spans="1:13" x14ac:dyDescent="0.25">
      <c r="A95" s="71" t="s">
        <v>1107</v>
      </c>
      <c r="B95" s="250">
        <v>1988310</v>
      </c>
      <c r="C95" s="251"/>
      <c r="D95" s="250">
        <v>1988310</v>
      </c>
      <c r="E95" s="45">
        <f t="shared" si="5"/>
        <v>1988310</v>
      </c>
      <c r="G95" s="25" t="s">
        <v>140</v>
      </c>
      <c r="H95" s="237">
        <v>0</v>
      </c>
      <c r="J95" s="7">
        <f t="shared" si="9"/>
        <v>0</v>
      </c>
      <c r="L95" s="13"/>
    </row>
    <row r="96" spans="1:13" x14ac:dyDescent="0.25">
      <c r="A96" s="71" t="s">
        <v>354</v>
      </c>
      <c r="B96" s="250">
        <v>4366834</v>
      </c>
      <c r="C96" s="251"/>
      <c r="D96" s="250">
        <v>4366834</v>
      </c>
      <c r="E96" s="45">
        <f t="shared" si="5"/>
        <v>4366834</v>
      </c>
      <c r="G96" s="25" t="s">
        <v>73</v>
      </c>
      <c r="H96" s="13">
        <f>+'Allocation Factors'!$G$13</f>
        <v>0.91713571027193685</v>
      </c>
      <c r="J96" s="7">
        <f t="shared" si="9"/>
        <v>4004979.402229643</v>
      </c>
      <c r="L96" s="13"/>
    </row>
    <row r="97" spans="1:12" x14ac:dyDescent="0.25">
      <c r="A97" s="71" t="s">
        <v>1314</v>
      </c>
      <c r="B97" s="250">
        <v>183507</v>
      </c>
      <c r="C97" s="251"/>
      <c r="D97" s="250">
        <v>182091.42</v>
      </c>
      <c r="E97" s="45">
        <f t="shared" si="5"/>
        <v>182799</v>
      </c>
      <c r="G97" s="25" t="s">
        <v>74</v>
      </c>
      <c r="H97" s="13">
        <f>+'Allocation Factors'!$G$21</f>
        <v>3.54809369866841E-2</v>
      </c>
      <c r="J97" s="7">
        <f t="shared" si="9"/>
        <v>6485.8798002288668</v>
      </c>
      <c r="L97" s="13"/>
    </row>
    <row r="98" spans="1:12" x14ac:dyDescent="0.25">
      <c r="A98" s="71" t="s">
        <v>365</v>
      </c>
      <c r="B98" s="250">
        <v>1485273</v>
      </c>
      <c r="C98" s="251"/>
      <c r="D98" s="250">
        <v>1485273</v>
      </c>
      <c r="E98" s="45">
        <f t="shared" si="5"/>
        <v>1485273</v>
      </c>
      <c r="G98" s="25" t="s">
        <v>74</v>
      </c>
      <c r="H98" s="13">
        <f>+'Allocation Factors'!$G$21</f>
        <v>3.54809369866841E-2</v>
      </c>
      <c r="J98" s="7">
        <f t="shared" si="9"/>
        <v>52698.877721023251</v>
      </c>
      <c r="L98" s="13"/>
    </row>
    <row r="99" spans="1:12" x14ac:dyDescent="0.25">
      <c r="A99" s="71" t="s">
        <v>350</v>
      </c>
      <c r="B99" s="250">
        <v>2417514</v>
      </c>
      <c r="C99" s="251"/>
      <c r="D99" s="250">
        <v>2417514</v>
      </c>
      <c r="E99" s="45">
        <f t="shared" si="5"/>
        <v>2417514</v>
      </c>
      <c r="G99" s="25" t="s">
        <v>73</v>
      </c>
      <c r="H99" s="13">
        <f>+'Allocation Factors'!$G$13</f>
        <v>0.91713571027193685</v>
      </c>
      <c r="J99" s="7">
        <f t="shared" si="9"/>
        <v>2217188.4194823513</v>
      </c>
      <c r="L99" s="13"/>
    </row>
    <row r="100" spans="1:12" x14ac:dyDescent="0.25">
      <c r="A100" s="71" t="s">
        <v>1023</v>
      </c>
      <c r="B100" s="250">
        <v>275000</v>
      </c>
      <c r="C100" s="251"/>
      <c r="D100" s="250">
        <v>275000</v>
      </c>
      <c r="E100" s="45">
        <f t="shared" si="5"/>
        <v>275000</v>
      </c>
      <c r="G100" s="25" t="s">
        <v>73</v>
      </c>
      <c r="H100" s="13">
        <f>+'Allocation Factors'!$G$13</f>
        <v>0.91713571027193685</v>
      </c>
      <c r="J100" s="7">
        <f t="shared" si="9"/>
        <v>252212.32032478263</v>
      </c>
      <c r="L100" s="13"/>
    </row>
    <row r="101" spans="1:12" x14ac:dyDescent="0.25">
      <c r="A101" s="71" t="s">
        <v>1241</v>
      </c>
      <c r="B101" s="250">
        <v>344998</v>
      </c>
      <c r="C101" s="251"/>
      <c r="D101" s="250">
        <v>344998</v>
      </c>
      <c r="E101" s="45">
        <f t="shared" si="5"/>
        <v>344998</v>
      </c>
      <c r="G101" s="25" t="s">
        <v>73</v>
      </c>
      <c r="H101" s="254">
        <f>+'Allocation Factors'!$G$13</f>
        <v>0.91713571027193685</v>
      </c>
      <c r="J101" s="7">
        <f t="shared" si="9"/>
        <v>316409.98577239766</v>
      </c>
      <c r="L101" s="13"/>
    </row>
    <row r="102" spans="1:12" x14ac:dyDescent="0.25">
      <c r="A102" s="71" t="s">
        <v>1005</v>
      </c>
      <c r="B102" s="250">
        <v>499868</v>
      </c>
      <c r="C102" s="251"/>
      <c r="D102" s="250">
        <v>499868</v>
      </c>
      <c r="E102" s="45">
        <f t="shared" si="5"/>
        <v>499868</v>
      </c>
      <c r="G102" s="25" t="s">
        <v>73</v>
      </c>
      <c r="H102" s="13">
        <f>+'Allocation Factors'!$G$13</f>
        <v>0.91713571027193685</v>
      </c>
      <c r="J102" s="7">
        <f t="shared" si="9"/>
        <v>458446.79322221252</v>
      </c>
      <c r="L102" s="13"/>
    </row>
    <row r="103" spans="1:12" x14ac:dyDescent="0.25">
      <c r="A103" s="71" t="s">
        <v>1006</v>
      </c>
      <c r="B103" s="250">
        <v>266759</v>
      </c>
      <c r="C103" s="251"/>
      <c r="D103" s="250">
        <v>266759</v>
      </c>
      <c r="E103" s="45">
        <f t="shared" si="5"/>
        <v>266759</v>
      </c>
      <c r="G103" s="25" t="s">
        <v>73</v>
      </c>
      <c r="H103" s="13">
        <f>+'Allocation Factors'!$G$13</f>
        <v>0.91713571027193685</v>
      </c>
      <c r="J103" s="7">
        <f t="shared" si="9"/>
        <v>244654.2049364316</v>
      </c>
      <c r="L103" s="13"/>
    </row>
    <row r="104" spans="1:12" x14ac:dyDescent="0.25">
      <c r="A104" s="71" t="s">
        <v>349</v>
      </c>
      <c r="B104" s="250">
        <v>6206053</v>
      </c>
      <c r="C104" s="251"/>
      <c r="D104" s="250">
        <v>0</v>
      </c>
      <c r="E104" s="45">
        <f t="shared" si="5"/>
        <v>3103027</v>
      </c>
      <c r="G104" s="25" t="s">
        <v>73</v>
      </c>
      <c r="H104" s="13">
        <f>+'Allocation Factors'!$G$13</f>
        <v>0.91713571027193685</v>
      </c>
      <c r="J104" s="7">
        <f t="shared" si="9"/>
        <v>2845896.8716379972</v>
      </c>
      <c r="L104" s="13"/>
    </row>
    <row r="105" spans="1:12" x14ac:dyDescent="0.25">
      <c r="A105" s="71" t="s">
        <v>370</v>
      </c>
      <c r="B105" s="250">
        <v>0</v>
      </c>
      <c r="C105" s="251"/>
      <c r="D105" s="250">
        <v>0</v>
      </c>
      <c r="E105" s="45">
        <f t="shared" si="5"/>
        <v>0</v>
      </c>
      <c r="G105" s="25" t="s">
        <v>74</v>
      </c>
      <c r="H105" s="13">
        <f>+'Allocation Factors'!$G$21</f>
        <v>3.54809369866841E-2</v>
      </c>
      <c r="J105" s="7">
        <f t="shared" si="9"/>
        <v>0</v>
      </c>
      <c r="L105" s="13"/>
    </row>
    <row r="106" spans="1:12" x14ac:dyDescent="0.25">
      <c r="A106" s="71" t="s">
        <v>374</v>
      </c>
      <c r="B106" s="250">
        <v>602837</v>
      </c>
      <c r="C106" s="251"/>
      <c r="D106" s="250">
        <v>602837</v>
      </c>
      <c r="E106" s="45">
        <f t="shared" si="5"/>
        <v>602837</v>
      </c>
      <c r="G106" s="25" t="s">
        <v>140</v>
      </c>
      <c r="H106" s="237">
        <v>0</v>
      </c>
      <c r="J106" s="7">
        <f t="shared" si="9"/>
        <v>0</v>
      </c>
      <c r="L106" s="13"/>
    </row>
    <row r="107" spans="1:12" x14ac:dyDescent="0.25">
      <c r="A107" s="71" t="s">
        <v>360</v>
      </c>
      <c r="B107" s="250">
        <v>1519375</v>
      </c>
      <c r="C107" s="251"/>
      <c r="D107" s="250">
        <v>1519375</v>
      </c>
      <c r="E107" s="45">
        <f t="shared" si="5"/>
        <v>1519375</v>
      </c>
      <c r="G107" s="25" t="s">
        <v>74</v>
      </c>
      <c r="H107" s="13">
        <f>+'Allocation Factors'!$G$21</f>
        <v>3.54809369866841E-2</v>
      </c>
      <c r="J107" s="7">
        <f t="shared" si="9"/>
        <v>53908.848634143156</v>
      </c>
      <c r="L107" s="13"/>
    </row>
    <row r="108" spans="1:12" x14ac:dyDescent="0.25">
      <c r="A108" s="152"/>
      <c r="B108" s="41"/>
      <c r="C108" s="152"/>
      <c r="D108" s="41"/>
      <c r="E108" s="2"/>
      <c r="H108" s="13"/>
      <c r="J108" s="7"/>
    </row>
    <row r="109" spans="1:12" x14ac:dyDescent="0.25">
      <c r="A109" s="205" t="s">
        <v>408</v>
      </c>
      <c r="B109" s="114">
        <f>SUM(B10:B107)</f>
        <v>817550026.99999988</v>
      </c>
      <c r="D109" s="114">
        <f>SUM(D10:D107)</f>
        <v>943490977.99999964</v>
      </c>
      <c r="E109" s="18">
        <f t="shared" si="5"/>
        <v>880520503</v>
      </c>
      <c r="F109" s="42"/>
      <c r="G109" s="42"/>
      <c r="H109" s="42"/>
      <c r="I109" s="42"/>
      <c r="J109" s="114">
        <f>SUM(J10:J107)</f>
        <v>32350825.197308552</v>
      </c>
    </row>
    <row r="112" spans="1:12" x14ac:dyDescent="0.25">
      <c r="D112" s="28"/>
    </row>
    <row r="125" spans="2:2" x14ac:dyDescent="0.25">
      <c r="B125" s="193"/>
    </row>
    <row r="126" spans="2:2" x14ac:dyDescent="0.25">
      <c r="B126" s="194"/>
    </row>
    <row r="127" spans="2:2" x14ac:dyDescent="0.25">
      <c r="B127" s="193"/>
    </row>
    <row r="128" spans="2:2" x14ac:dyDescent="0.25">
      <c r="B128" s="194"/>
    </row>
    <row r="129" spans="2:2" x14ac:dyDescent="0.25">
      <c r="B129" s="194"/>
    </row>
    <row r="130" spans="2:2" x14ac:dyDescent="0.25">
      <c r="B130" s="194"/>
    </row>
  </sheetData>
  <sortState ref="A10:H130">
    <sortCondition ref="A10"/>
  </sortState>
  <customSheetViews>
    <customSheetView guid="{589A2A1C-99B3-4A22-A52E-EECEEAD60ADB}" scale="85" fitToPage="1">
      <selection activeCell="D67" sqref="D67"/>
      <pageMargins left="0.7" right="0.7" top="0.75" bottom="0.75" header="0.3" footer="0.3"/>
      <pageSetup scale="39" orientation="portrait" r:id="rId1"/>
      <headerFooter>
        <oddFooter>&amp;L&amp;Z&amp;F</oddFooter>
      </headerFooter>
    </customSheetView>
    <customSheetView guid="{C0F5889E-F852-4CB9-B477-759ADBCFF6D5}" scale="85" fitToPage="1" topLeftCell="A61">
      <selection activeCell="D98" sqref="D98"/>
      <pageMargins left="0.7" right="0.7" top="0.75" bottom="0.75" header="0.3" footer="0.3"/>
      <pageSetup scale="39" orientation="portrait" r:id="rId2"/>
      <headerFooter>
        <oddFooter>&amp;L&amp;Z&amp;F</oddFooter>
      </headerFooter>
    </customSheetView>
  </customSheetViews>
  <mergeCells count="7">
    <mergeCell ref="G9:H9"/>
    <mergeCell ref="A1:G1"/>
    <mergeCell ref="A2:G2"/>
    <mergeCell ref="A4:G4"/>
    <mergeCell ref="A5:G5"/>
    <mergeCell ref="G8:H8"/>
    <mergeCell ref="A3:H3"/>
  </mergeCells>
  <pageMargins left="0.7" right="0.7" top="0.75" bottom="0.75" header="0.3" footer="0.3"/>
  <pageSetup scale="39" orientation="portrait" r:id="rId3"/>
  <headerFooter>
    <oddFooter>&amp;L&amp;Z&amp;F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1"/>
  <sheetViews>
    <sheetView zoomScale="80" zoomScaleNormal="80" workbookViewId="0">
      <selection sqref="A1:H1"/>
    </sheetView>
  </sheetViews>
  <sheetFormatPr defaultColWidth="15.7109375" defaultRowHeight="15" x14ac:dyDescent="0.25"/>
  <cols>
    <col min="1" max="1" width="55.28515625" style="25" customWidth="1"/>
    <col min="2" max="2" width="20.28515625" style="25" customWidth="1"/>
    <col min="3" max="3" width="23.7109375" style="25" customWidth="1"/>
    <col min="4" max="4" width="16.42578125" style="25" bestFit="1" customWidth="1"/>
    <col min="5" max="5" width="1.7109375" style="25" customWidth="1"/>
    <col min="6" max="6" width="12" style="25" bestFit="1" customWidth="1"/>
    <col min="7" max="7" width="10.85546875" style="25" customWidth="1"/>
    <col min="8" max="8" width="1.7109375" style="25" customWidth="1"/>
    <col min="9" max="9" width="21.5703125" style="25" bestFit="1" customWidth="1"/>
    <col min="10" max="10" width="14.42578125" style="5" customWidth="1"/>
    <col min="11" max="11" width="35.28515625" style="25" customWidth="1"/>
    <col min="12" max="16384" width="15.7109375" style="25"/>
  </cols>
  <sheetData>
    <row r="1" spans="1:12" x14ac:dyDescent="0.25">
      <c r="A1" s="331" t="s">
        <v>0</v>
      </c>
      <c r="B1" s="331"/>
      <c r="C1" s="331"/>
      <c r="D1" s="331"/>
      <c r="E1" s="331"/>
      <c r="F1" s="331"/>
      <c r="G1" s="331"/>
      <c r="H1" s="331"/>
      <c r="I1" s="197" t="s">
        <v>706</v>
      </c>
      <c r="J1" s="218"/>
    </row>
    <row r="2" spans="1:12" x14ac:dyDescent="0.25">
      <c r="A2" s="331" t="s">
        <v>117</v>
      </c>
      <c r="B2" s="331"/>
      <c r="C2" s="331"/>
      <c r="D2" s="331"/>
      <c r="E2" s="331"/>
      <c r="F2" s="331"/>
      <c r="G2" s="331"/>
      <c r="H2" s="331"/>
      <c r="I2" s="197" t="s">
        <v>380</v>
      </c>
      <c r="J2" s="218"/>
    </row>
    <row r="3" spans="1:12" x14ac:dyDescent="0.25">
      <c r="A3" s="331" t="str">
        <f>+Summary!A3</f>
        <v>Utilizing Historic Cost Data for (2017) with Year-End Average Balances</v>
      </c>
      <c r="B3" s="331"/>
      <c r="C3" s="331"/>
      <c r="D3" s="331"/>
      <c r="E3" s="331"/>
      <c r="F3" s="331"/>
      <c r="G3" s="331"/>
      <c r="H3" s="331"/>
      <c r="I3" s="198"/>
      <c r="J3" s="218"/>
    </row>
    <row r="4" spans="1:12" x14ac:dyDescent="0.25">
      <c r="A4" s="331" t="s">
        <v>400</v>
      </c>
      <c r="B4" s="331"/>
      <c r="C4" s="331"/>
      <c r="D4" s="331"/>
      <c r="E4" s="331"/>
      <c r="F4" s="331"/>
      <c r="G4" s="331"/>
      <c r="H4" s="331"/>
      <c r="J4" s="218"/>
    </row>
    <row r="5" spans="1:12" x14ac:dyDescent="0.25">
      <c r="J5" s="218"/>
    </row>
    <row r="6" spans="1:12" x14ac:dyDescent="0.25">
      <c r="J6" s="218"/>
    </row>
    <row r="7" spans="1:12" x14ac:dyDescent="0.25">
      <c r="B7" s="292" t="s">
        <v>131</v>
      </c>
      <c r="C7" s="292" t="s">
        <v>131</v>
      </c>
      <c r="D7" s="60"/>
      <c r="E7" s="60"/>
      <c r="F7" s="60"/>
      <c r="G7" s="60"/>
      <c r="H7" s="60"/>
      <c r="I7" s="60"/>
      <c r="J7" s="218"/>
    </row>
    <row r="8" spans="1:12" x14ac:dyDescent="0.25">
      <c r="B8" s="302">
        <v>42735</v>
      </c>
      <c r="C8" s="302">
        <v>43100</v>
      </c>
      <c r="D8" s="205" t="s">
        <v>197</v>
      </c>
      <c r="E8" s="60"/>
      <c r="F8" s="331" t="s">
        <v>129</v>
      </c>
      <c r="G8" s="331"/>
      <c r="H8" s="60"/>
      <c r="I8" s="60"/>
      <c r="J8" s="218"/>
    </row>
    <row r="9" spans="1:12" x14ac:dyDescent="0.25">
      <c r="A9" s="69" t="s">
        <v>343</v>
      </c>
      <c r="B9" s="293" t="s">
        <v>132</v>
      </c>
      <c r="C9" s="293" t="s">
        <v>132</v>
      </c>
      <c r="D9" s="206" t="s">
        <v>196</v>
      </c>
      <c r="E9" s="60"/>
      <c r="F9" s="332" t="s">
        <v>130</v>
      </c>
      <c r="G9" s="332"/>
      <c r="H9" s="60"/>
      <c r="I9" s="70" t="s">
        <v>128</v>
      </c>
      <c r="J9" s="218"/>
    </row>
    <row r="10" spans="1:12" x14ac:dyDescent="0.25">
      <c r="A10" s="86" t="s">
        <v>431</v>
      </c>
      <c r="B10" s="225">
        <f>508656957-SUM(B11:B105)</f>
        <v>276396902.68999994</v>
      </c>
      <c r="C10" s="225">
        <f>550145243-SUM(C11:C105)</f>
        <v>325238675.74000001</v>
      </c>
      <c r="D10" s="83">
        <f t="shared" ref="D10" si="0">ROUND((C10+B10)/2,0)</f>
        <v>300817789</v>
      </c>
      <c r="F10" s="25" t="s">
        <v>140</v>
      </c>
      <c r="G10" s="237">
        <v>0</v>
      </c>
      <c r="I10" s="7">
        <f t="shared" ref="I10:I81" si="1">$D10*G10</f>
        <v>0</v>
      </c>
      <c r="J10" s="218"/>
      <c r="L10" s="28"/>
    </row>
    <row r="11" spans="1:12" x14ac:dyDescent="0.25">
      <c r="A11" s="86" t="s">
        <v>345</v>
      </c>
      <c r="B11" s="226">
        <v>2379388</v>
      </c>
      <c r="C11" s="226">
        <v>2379388</v>
      </c>
      <c r="D11" s="83">
        <f t="shared" ref="D11:D81" si="2">ROUND((C11+B11)/2,0)</f>
        <v>2379388</v>
      </c>
      <c r="F11" s="25" t="s">
        <v>74</v>
      </c>
      <c r="G11" s="13">
        <f>'Allocation Factors'!$G$21</f>
        <v>3.54809369866841E-2</v>
      </c>
      <c r="I11" s="7">
        <f t="shared" si="1"/>
        <v>84422.91569487231</v>
      </c>
      <c r="J11" s="218"/>
      <c r="K11" s="29"/>
      <c r="L11" s="28"/>
    </row>
    <row r="12" spans="1:12" x14ac:dyDescent="0.25">
      <c r="A12" s="86" t="s">
        <v>361</v>
      </c>
      <c r="B12" s="226">
        <v>131361</v>
      </c>
      <c r="C12" s="226">
        <v>131361.35</v>
      </c>
      <c r="D12" s="83">
        <f t="shared" si="2"/>
        <v>131361</v>
      </c>
      <c r="F12" s="25" t="s">
        <v>74</v>
      </c>
      <c r="G12" s="13">
        <f>'Allocation Factors'!$G$21</f>
        <v>3.54809369866841E-2</v>
      </c>
      <c r="I12" s="7">
        <f t="shared" si="1"/>
        <v>4660.8113635078098</v>
      </c>
      <c r="J12" s="218"/>
      <c r="K12" s="29"/>
    </row>
    <row r="13" spans="1:12" x14ac:dyDescent="0.25">
      <c r="A13" s="86" t="s">
        <v>1108</v>
      </c>
      <c r="B13" s="226">
        <v>162880</v>
      </c>
      <c r="C13" s="226">
        <v>162880</v>
      </c>
      <c r="D13" s="83">
        <f t="shared" si="2"/>
        <v>162880</v>
      </c>
      <c r="F13" s="25" t="s">
        <v>73</v>
      </c>
      <c r="G13" s="13">
        <f>'Allocation Factors'!$G$13</f>
        <v>0.91713571027193685</v>
      </c>
      <c r="I13" s="7">
        <f t="shared" si="1"/>
        <v>149383.06448909309</v>
      </c>
      <c r="J13" s="218"/>
      <c r="K13" s="29"/>
    </row>
    <row r="14" spans="1:12" x14ac:dyDescent="0.25">
      <c r="A14" s="86" t="s">
        <v>1000</v>
      </c>
      <c r="B14" s="226">
        <v>0</v>
      </c>
      <c r="C14" s="226">
        <v>0</v>
      </c>
      <c r="D14" s="83">
        <f t="shared" si="2"/>
        <v>0</v>
      </c>
      <c r="F14" s="25" t="s">
        <v>73</v>
      </c>
      <c r="G14" s="13">
        <f>'Allocation Factors'!$G$13</f>
        <v>0.91713571027193685</v>
      </c>
      <c r="I14" s="7">
        <f t="shared" si="1"/>
        <v>0</v>
      </c>
      <c r="J14" s="218"/>
      <c r="K14" s="29"/>
    </row>
    <row r="15" spans="1:12" x14ac:dyDescent="0.25">
      <c r="A15" s="86" t="s">
        <v>1109</v>
      </c>
      <c r="B15" s="226">
        <f>396723+554+20600</f>
        <v>417877</v>
      </c>
      <c r="C15" s="226">
        <f>396723+554+20600</f>
        <v>417877</v>
      </c>
      <c r="D15" s="83">
        <f t="shared" si="2"/>
        <v>417877</v>
      </c>
      <c r="F15" s="25" t="s">
        <v>140</v>
      </c>
      <c r="G15" s="237">
        <v>0</v>
      </c>
      <c r="I15" s="7">
        <f t="shared" si="1"/>
        <v>0</v>
      </c>
      <c r="J15" s="218"/>
      <c r="K15" s="29"/>
    </row>
    <row r="16" spans="1:12" x14ac:dyDescent="0.25">
      <c r="A16" s="86" t="s">
        <v>369</v>
      </c>
      <c r="B16" s="226">
        <v>124033.27</v>
      </c>
      <c r="C16" s="226">
        <v>124033.27</v>
      </c>
      <c r="D16" s="83">
        <f t="shared" si="2"/>
        <v>124033</v>
      </c>
      <c r="F16" s="25" t="s">
        <v>74</v>
      </c>
      <c r="G16" s="13">
        <f>'Allocation Factors'!$G$21</f>
        <v>3.54809369866841E-2</v>
      </c>
      <c r="I16" s="7">
        <f t="shared" si="1"/>
        <v>4400.8070572693887</v>
      </c>
      <c r="J16" s="218"/>
      <c r="K16" s="29"/>
    </row>
    <row r="17" spans="1:11" x14ac:dyDescent="0.25">
      <c r="A17" s="86" t="s">
        <v>1172</v>
      </c>
      <c r="B17" s="226">
        <f>615816-2836-1291</f>
        <v>611689</v>
      </c>
      <c r="C17" s="226">
        <f>754060.3-3472.31-1580.85</f>
        <v>749007.14</v>
      </c>
      <c r="D17" s="83">
        <f t="shared" si="2"/>
        <v>680348</v>
      </c>
      <c r="F17" s="25" t="s">
        <v>140</v>
      </c>
      <c r="G17" s="237">
        <v>0</v>
      </c>
      <c r="I17" s="7">
        <f t="shared" si="1"/>
        <v>0</v>
      </c>
      <c r="J17" s="218"/>
      <c r="K17" s="29"/>
    </row>
    <row r="18" spans="1:11" x14ac:dyDescent="0.25">
      <c r="A18" s="86" t="s">
        <v>1021</v>
      </c>
      <c r="B18" s="226">
        <f>4186362+9306-73350+1468</f>
        <v>4123786</v>
      </c>
      <c r="C18" s="226">
        <v>0</v>
      </c>
      <c r="D18" s="83">
        <f t="shared" si="2"/>
        <v>2061893</v>
      </c>
      <c r="F18" s="25" t="s">
        <v>140</v>
      </c>
      <c r="G18" s="237">
        <v>0</v>
      </c>
      <c r="I18" s="7">
        <f t="shared" si="1"/>
        <v>0</v>
      </c>
      <c r="J18" s="218"/>
      <c r="K18" s="29"/>
    </row>
    <row r="19" spans="1:11" x14ac:dyDescent="0.25">
      <c r="A19" s="86" t="s">
        <v>353</v>
      </c>
      <c r="B19" s="226">
        <v>65878.41</v>
      </c>
      <c r="C19" s="226">
        <v>65878.41</v>
      </c>
      <c r="D19" s="83">
        <f t="shared" si="2"/>
        <v>65878</v>
      </c>
      <c r="F19" s="25" t="s">
        <v>73</v>
      </c>
      <c r="G19" s="13">
        <f>'Allocation Factors'!$G$13</f>
        <v>0.91713571027193685</v>
      </c>
      <c r="I19" s="7">
        <f t="shared" si="1"/>
        <v>60419.066321294653</v>
      </c>
      <c r="J19" s="218"/>
      <c r="K19" s="29"/>
    </row>
    <row r="20" spans="1:11" x14ac:dyDescent="0.25">
      <c r="A20" s="86" t="s">
        <v>362</v>
      </c>
      <c r="B20" s="226">
        <v>3193331</v>
      </c>
      <c r="C20" s="226">
        <v>3193331</v>
      </c>
      <c r="D20" s="83">
        <f t="shared" si="2"/>
        <v>3193331</v>
      </c>
      <c r="F20" s="25" t="s">
        <v>74</v>
      </c>
      <c r="G20" s="13">
        <f>'Allocation Factors'!$G$21</f>
        <v>3.54809369866841E-2</v>
      </c>
      <c r="I20" s="7">
        <f t="shared" si="1"/>
        <v>113302.37598862492</v>
      </c>
      <c r="J20" s="218"/>
      <c r="K20" s="29"/>
    </row>
    <row r="21" spans="1:11" x14ac:dyDescent="0.25">
      <c r="A21" s="86" t="s">
        <v>347</v>
      </c>
      <c r="B21" s="226">
        <v>5770909</v>
      </c>
      <c r="C21" s="226">
        <v>5770909</v>
      </c>
      <c r="D21" s="83">
        <f t="shared" si="2"/>
        <v>5770909</v>
      </c>
      <c r="F21" s="25" t="s">
        <v>74</v>
      </c>
      <c r="G21" s="13">
        <f>'Allocation Factors'!$G$21</f>
        <v>3.54809369866841E-2</v>
      </c>
      <c r="I21" s="7">
        <f t="shared" si="1"/>
        <v>204757.25858488816</v>
      </c>
      <c r="J21" s="218"/>
      <c r="K21" s="29"/>
    </row>
    <row r="22" spans="1:11" x14ac:dyDescent="0.25">
      <c r="A22" s="86" t="s">
        <v>1053</v>
      </c>
      <c r="B22" s="226">
        <f>19480886+11754556</f>
        <v>31235442</v>
      </c>
      <c r="C22" s="226">
        <f>19480886+11754556</f>
        <v>31235442</v>
      </c>
      <c r="D22" s="83">
        <f t="shared" si="2"/>
        <v>31235442</v>
      </c>
      <c r="F22" s="25" t="s">
        <v>74</v>
      </c>
      <c r="G22" s="13">
        <f>'Allocation Factors'!$G$21</f>
        <v>3.54809369866841E-2</v>
      </c>
      <c r="I22" s="7">
        <f t="shared" si="1"/>
        <v>1108262.749353226</v>
      </c>
      <c r="J22" s="218"/>
      <c r="K22" s="29"/>
    </row>
    <row r="23" spans="1:11" x14ac:dyDescent="0.25">
      <c r="A23" s="86" t="s">
        <v>371</v>
      </c>
      <c r="B23" s="226">
        <v>1164009</v>
      </c>
      <c r="C23" s="226">
        <v>1164009</v>
      </c>
      <c r="D23" s="83">
        <f t="shared" si="2"/>
        <v>1164009</v>
      </c>
      <c r="F23" s="25" t="s">
        <v>74</v>
      </c>
      <c r="G23" s="13">
        <f>'Allocation Factors'!$G$21</f>
        <v>3.54809369866841E-2</v>
      </c>
      <c r="I23" s="7">
        <f t="shared" si="1"/>
        <v>41300.129980933176</v>
      </c>
      <c r="J23" s="218"/>
      <c r="K23" s="29"/>
    </row>
    <row r="24" spans="1:11" x14ac:dyDescent="0.25">
      <c r="A24" s="86" t="s">
        <v>1099</v>
      </c>
      <c r="B24" s="226">
        <v>683849</v>
      </c>
      <c r="C24" s="226">
        <v>804528.31</v>
      </c>
      <c r="D24" s="83">
        <f t="shared" si="2"/>
        <v>744189</v>
      </c>
      <c r="F24" s="25" t="s">
        <v>74</v>
      </c>
      <c r="G24" s="13">
        <f>'Allocation Factors'!$G$21</f>
        <v>3.54809369866841E-2</v>
      </c>
      <c r="I24" s="7">
        <f t="shared" si="1"/>
        <v>26404.523015183455</v>
      </c>
      <c r="J24" s="218"/>
      <c r="K24" s="29"/>
    </row>
    <row r="25" spans="1:11" x14ac:dyDescent="0.25">
      <c r="A25" s="71" t="s">
        <v>1313</v>
      </c>
      <c r="B25" s="226">
        <f>-9+-19+307613</f>
        <v>307585</v>
      </c>
      <c r="C25" s="226">
        <v>341792.63</v>
      </c>
      <c r="D25" s="83">
        <f t="shared" si="2"/>
        <v>324689</v>
      </c>
      <c r="F25" s="25" t="s">
        <v>140</v>
      </c>
      <c r="G25" s="237">
        <v>0</v>
      </c>
      <c r="I25" s="7">
        <f t="shared" si="1"/>
        <v>0</v>
      </c>
      <c r="J25" s="218"/>
      <c r="K25" s="29"/>
    </row>
    <row r="26" spans="1:11" x14ac:dyDescent="0.25">
      <c r="A26" s="71" t="s">
        <v>1240</v>
      </c>
      <c r="B26" s="226">
        <f>237367+1749+777+1085+1051257</f>
        <v>1292235</v>
      </c>
      <c r="C26" s="226">
        <f>874.31+388.74+1401675.7+321304.9</f>
        <v>1724243.65</v>
      </c>
      <c r="D26" s="83">
        <f t="shared" ref="D26" si="3">ROUND((C26+B26)/2,0)</f>
        <v>1508239</v>
      </c>
      <c r="F26" s="25" t="s">
        <v>74</v>
      </c>
      <c r="G26" s="13">
        <f>+'Allocation Factors'!$G$21</f>
        <v>3.54809369866841E-2</v>
      </c>
      <c r="I26" s="7">
        <f t="shared" ref="I26" si="4">$D26*G26</f>
        <v>53513.732919859438</v>
      </c>
      <c r="J26" s="259"/>
      <c r="K26" s="29"/>
    </row>
    <row r="27" spans="1:11" x14ac:dyDescent="0.25">
      <c r="A27" s="71" t="s">
        <v>1001</v>
      </c>
      <c r="B27" s="226">
        <v>67339</v>
      </c>
      <c r="C27" s="226">
        <v>67338.559999999998</v>
      </c>
      <c r="D27" s="83">
        <f t="shared" si="2"/>
        <v>67339</v>
      </c>
      <c r="F27" s="25" t="s">
        <v>73</v>
      </c>
      <c r="G27" s="13">
        <f>'Allocation Factors'!$G$13</f>
        <v>0.91713571027193685</v>
      </c>
      <c r="I27" s="7">
        <f t="shared" si="1"/>
        <v>61759.001594001958</v>
      </c>
      <c r="J27" s="218"/>
      <c r="K27" s="29"/>
    </row>
    <row r="28" spans="1:11" x14ac:dyDescent="0.25">
      <c r="A28" s="71" t="s">
        <v>1351</v>
      </c>
      <c r="B28" s="226">
        <v>0</v>
      </c>
      <c r="C28" s="226">
        <f>1006467.17+37901.45</f>
        <v>1044368.62</v>
      </c>
      <c r="D28" s="83">
        <f t="shared" si="2"/>
        <v>522184</v>
      </c>
      <c r="F28" s="25" t="s">
        <v>74</v>
      </c>
      <c r="G28" s="13">
        <f>+'Allocation Factors'!$G$21</f>
        <v>3.54809369866841E-2</v>
      </c>
      <c r="I28" s="7">
        <f t="shared" si="1"/>
        <v>18527.577599454649</v>
      </c>
      <c r="J28" s="218"/>
      <c r="K28" s="29"/>
    </row>
    <row r="29" spans="1:11" x14ac:dyDescent="0.25">
      <c r="A29" s="71" t="s">
        <v>1101</v>
      </c>
      <c r="B29" s="226">
        <f>2478296-44-96</f>
        <v>2478156</v>
      </c>
      <c r="C29" s="226">
        <v>2593700.0299999998</v>
      </c>
      <c r="D29" s="83">
        <f t="shared" si="2"/>
        <v>2535928</v>
      </c>
      <c r="F29" s="25" t="s">
        <v>73</v>
      </c>
      <c r="G29" s="13">
        <f>'Allocation Factors'!$G$13</f>
        <v>0.91713571027193685</v>
      </c>
      <c r="I29" s="7">
        <f t="shared" si="1"/>
        <v>2325790.1274784924</v>
      </c>
      <c r="J29" s="218"/>
      <c r="K29" s="29"/>
    </row>
    <row r="30" spans="1:11" x14ac:dyDescent="0.25">
      <c r="A30" s="86" t="s">
        <v>1101</v>
      </c>
      <c r="B30" s="226">
        <f>-411034+2+1+424228+267020+3717</f>
        <v>283934</v>
      </c>
      <c r="C30" s="226">
        <v>0</v>
      </c>
      <c r="D30" s="83">
        <f t="shared" si="2"/>
        <v>141967</v>
      </c>
      <c r="F30" s="25" t="s">
        <v>73</v>
      </c>
      <c r="G30" s="13">
        <f>'Allocation Factors'!$G$13</f>
        <v>0.91713571027193685</v>
      </c>
      <c r="I30" s="7">
        <f t="shared" si="1"/>
        <v>130203.00538017607</v>
      </c>
      <c r="J30" s="218"/>
      <c r="K30" s="29"/>
    </row>
    <row r="31" spans="1:11" x14ac:dyDescent="0.25">
      <c r="A31" s="86" t="s">
        <v>1031</v>
      </c>
      <c r="B31" s="226">
        <v>29703104</v>
      </c>
      <c r="C31" s="226">
        <v>29703103.73</v>
      </c>
      <c r="D31" s="83">
        <f t="shared" si="2"/>
        <v>29703104</v>
      </c>
      <c r="F31" s="25" t="s">
        <v>74</v>
      </c>
      <c r="G31" s="13">
        <f>'Allocation Factors'!$G$21</f>
        <v>3.54809369866841E-2</v>
      </c>
      <c r="I31" s="7">
        <f t="shared" si="1"/>
        <v>1053893.9613329244</v>
      </c>
      <c r="J31" s="218"/>
      <c r="K31" s="29"/>
    </row>
    <row r="32" spans="1:11" x14ac:dyDescent="0.25">
      <c r="A32" s="86" t="s">
        <v>1180</v>
      </c>
      <c r="B32" s="226">
        <v>776777</v>
      </c>
      <c r="C32" s="226">
        <v>776776.57</v>
      </c>
      <c r="D32" s="83">
        <f t="shared" si="2"/>
        <v>776777</v>
      </c>
      <c r="F32" s="25" t="s">
        <v>140</v>
      </c>
      <c r="G32" s="237">
        <v>0</v>
      </c>
      <c r="I32" s="7">
        <f t="shared" si="1"/>
        <v>0</v>
      </c>
      <c r="J32" s="218"/>
      <c r="K32" s="29"/>
    </row>
    <row r="33" spans="1:11" x14ac:dyDescent="0.25">
      <c r="A33" s="86" t="s">
        <v>1180</v>
      </c>
      <c r="B33" s="226">
        <v>0</v>
      </c>
      <c r="C33" s="226">
        <v>0</v>
      </c>
      <c r="D33" s="83">
        <f t="shared" si="2"/>
        <v>0</v>
      </c>
      <c r="F33" s="25" t="s">
        <v>140</v>
      </c>
      <c r="G33" s="237">
        <v>0</v>
      </c>
      <c r="I33" s="7">
        <f t="shared" si="1"/>
        <v>0</v>
      </c>
      <c r="J33" s="218"/>
      <c r="K33" s="29"/>
    </row>
    <row r="34" spans="1:11" x14ac:dyDescent="0.25">
      <c r="A34" s="86" t="s">
        <v>1180</v>
      </c>
      <c r="B34" s="226">
        <v>0</v>
      </c>
      <c r="C34" s="226">
        <v>0</v>
      </c>
      <c r="D34" s="83">
        <f t="shared" si="2"/>
        <v>0</v>
      </c>
      <c r="F34" s="25" t="s">
        <v>140</v>
      </c>
      <c r="G34" s="237">
        <v>0</v>
      </c>
      <c r="I34" s="7">
        <f t="shared" si="1"/>
        <v>0</v>
      </c>
      <c r="J34" s="218"/>
      <c r="K34" s="29"/>
    </row>
    <row r="35" spans="1:11" x14ac:dyDescent="0.25">
      <c r="A35" s="86" t="s">
        <v>1180</v>
      </c>
      <c r="B35" s="226">
        <v>0</v>
      </c>
      <c r="C35" s="226">
        <v>0</v>
      </c>
      <c r="D35" s="83">
        <f t="shared" si="2"/>
        <v>0</v>
      </c>
      <c r="F35" s="25" t="s">
        <v>140</v>
      </c>
      <c r="G35" s="237">
        <v>0</v>
      </c>
      <c r="I35" s="7">
        <f t="shared" si="1"/>
        <v>0</v>
      </c>
      <c r="J35" s="218"/>
      <c r="K35" s="29"/>
    </row>
    <row r="36" spans="1:11" x14ac:dyDescent="0.25">
      <c r="A36" s="86" t="s">
        <v>1180</v>
      </c>
      <c r="B36" s="226">
        <v>0</v>
      </c>
      <c r="C36" s="226">
        <v>0</v>
      </c>
      <c r="D36" s="83">
        <f t="shared" si="2"/>
        <v>0</v>
      </c>
      <c r="F36" s="25" t="s">
        <v>140</v>
      </c>
      <c r="G36" s="237">
        <v>0</v>
      </c>
      <c r="I36" s="7">
        <f t="shared" si="1"/>
        <v>0</v>
      </c>
      <c r="J36" s="218"/>
      <c r="K36" s="29"/>
    </row>
    <row r="37" spans="1:11" x14ac:dyDescent="0.25">
      <c r="A37" s="86" t="s">
        <v>1181</v>
      </c>
      <c r="B37" s="226">
        <v>0</v>
      </c>
      <c r="C37" s="226">
        <v>0</v>
      </c>
      <c r="D37" s="83">
        <f t="shared" si="2"/>
        <v>0</v>
      </c>
      <c r="F37" s="25" t="s">
        <v>140</v>
      </c>
      <c r="G37" s="237">
        <v>0</v>
      </c>
      <c r="I37" s="7">
        <f t="shared" si="1"/>
        <v>0</v>
      </c>
      <c r="J37" s="218"/>
      <c r="K37" s="29"/>
    </row>
    <row r="38" spans="1:11" x14ac:dyDescent="0.25">
      <c r="A38" s="86" t="s">
        <v>1181</v>
      </c>
      <c r="B38" s="226">
        <v>0</v>
      </c>
      <c r="C38" s="226">
        <v>0</v>
      </c>
      <c r="D38" s="83">
        <f t="shared" si="2"/>
        <v>0</v>
      </c>
      <c r="F38" s="25" t="s">
        <v>140</v>
      </c>
      <c r="G38" s="237">
        <v>0</v>
      </c>
      <c r="I38" s="7">
        <f t="shared" si="1"/>
        <v>0</v>
      </c>
      <c r="J38" s="218"/>
      <c r="K38" s="29"/>
    </row>
    <row r="39" spans="1:11" x14ac:dyDescent="0.25">
      <c r="A39" s="86" t="s">
        <v>1181</v>
      </c>
      <c r="B39" s="226">
        <v>0</v>
      </c>
      <c r="C39" s="226">
        <v>0</v>
      </c>
      <c r="D39" s="83">
        <f t="shared" si="2"/>
        <v>0</v>
      </c>
      <c r="F39" s="25" t="s">
        <v>140</v>
      </c>
      <c r="G39" s="237">
        <v>0</v>
      </c>
      <c r="I39" s="7">
        <f t="shared" si="1"/>
        <v>0</v>
      </c>
      <c r="J39" s="218"/>
      <c r="K39" s="29"/>
    </row>
    <row r="40" spans="1:11" x14ac:dyDescent="0.25">
      <c r="A40" s="86" t="s">
        <v>1182</v>
      </c>
      <c r="B40" s="226">
        <v>0</v>
      </c>
      <c r="C40" s="226">
        <v>52683.37</v>
      </c>
      <c r="D40" s="83">
        <f t="shared" si="2"/>
        <v>26342</v>
      </c>
      <c r="F40" s="25" t="s">
        <v>140</v>
      </c>
      <c r="G40" s="237">
        <v>0</v>
      </c>
      <c r="I40" s="7">
        <f t="shared" si="1"/>
        <v>0</v>
      </c>
      <c r="J40" s="218"/>
      <c r="K40" s="29"/>
    </row>
    <row r="41" spans="1:11" x14ac:dyDescent="0.25">
      <c r="A41" s="86" t="s">
        <v>1183</v>
      </c>
      <c r="B41" s="226">
        <v>0</v>
      </c>
      <c r="C41" s="226">
        <v>0</v>
      </c>
      <c r="D41" s="83">
        <f t="shared" si="2"/>
        <v>0</v>
      </c>
      <c r="F41" s="25" t="s">
        <v>140</v>
      </c>
      <c r="G41" s="237">
        <v>0</v>
      </c>
      <c r="I41" s="7">
        <f t="shared" si="1"/>
        <v>0</v>
      </c>
      <c r="J41" s="218"/>
      <c r="K41" s="29"/>
    </row>
    <row r="42" spans="1:11" x14ac:dyDescent="0.25">
      <c r="A42" s="86" t="s">
        <v>1183</v>
      </c>
      <c r="B42" s="226">
        <v>0</v>
      </c>
      <c r="C42" s="226">
        <v>0</v>
      </c>
      <c r="D42" s="83">
        <f t="shared" si="2"/>
        <v>0</v>
      </c>
      <c r="F42" s="25" t="s">
        <v>140</v>
      </c>
      <c r="G42" s="237">
        <v>0</v>
      </c>
      <c r="I42" s="7">
        <f t="shared" si="1"/>
        <v>0</v>
      </c>
      <c r="J42" s="218"/>
      <c r="K42" s="29"/>
    </row>
    <row r="43" spans="1:11" x14ac:dyDescent="0.25">
      <c r="A43" s="86" t="s">
        <v>1183</v>
      </c>
      <c r="B43" s="226">
        <v>0</v>
      </c>
      <c r="C43" s="226">
        <v>0</v>
      </c>
      <c r="D43" s="83">
        <f t="shared" si="2"/>
        <v>0</v>
      </c>
      <c r="F43" s="25" t="s">
        <v>140</v>
      </c>
      <c r="G43" s="237">
        <v>0</v>
      </c>
      <c r="I43" s="7">
        <f t="shared" si="1"/>
        <v>0</v>
      </c>
      <c r="J43" s="218"/>
      <c r="K43" s="29"/>
    </row>
    <row r="44" spans="1:11" x14ac:dyDescent="0.25">
      <c r="A44" s="86" t="s">
        <v>1183</v>
      </c>
      <c r="B44" s="226">
        <v>0</v>
      </c>
      <c r="C44" s="226">
        <v>0</v>
      </c>
      <c r="D44" s="83">
        <f t="shared" si="2"/>
        <v>0</v>
      </c>
      <c r="F44" s="25" t="s">
        <v>140</v>
      </c>
      <c r="G44" s="237">
        <v>0</v>
      </c>
      <c r="I44" s="7">
        <f t="shared" si="1"/>
        <v>0</v>
      </c>
      <c r="J44" s="218"/>
      <c r="K44" s="29"/>
    </row>
    <row r="45" spans="1:11" x14ac:dyDescent="0.25">
      <c r="A45" s="86" t="s">
        <v>358</v>
      </c>
      <c r="B45" s="226">
        <v>2777832</v>
      </c>
      <c r="C45" s="226">
        <v>2777832</v>
      </c>
      <c r="D45" s="83">
        <f t="shared" si="2"/>
        <v>2777832</v>
      </c>
      <c r="F45" s="25" t="s">
        <v>74</v>
      </c>
      <c r="G45" s="13">
        <f>'Allocation Factors'!$G$21</f>
        <v>3.54809369866841E-2</v>
      </c>
      <c r="I45" s="7">
        <f t="shared" si="1"/>
        <v>98560.082151594674</v>
      </c>
      <c r="J45" s="218"/>
      <c r="K45" s="29"/>
    </row>
    <row r="46" spans="1:11" x14ac:dyDescent="0.25">
      <c r="A46" s="86" t="s">
        <v>346</v>
      </c>
      <c r="B46" s="226">
        <v>519424</v>
      </c>
      <c r="C46" s="226">
        <v>519424</v>
      </c>
      <c r="D46" s="83">
        <f t="shared" si="2"/>
        <v>519424</v>
      </c>
      <c r="F46" s="25" t="s">
        <v>74</v>
      </c>
      <c r="G46" s="13">
        <f>'Allocation Factors'!$G$21</f>
        <v>3.54809369866841E-2</v>
      </c>
      <c r="I46" s="7">
        <f t="shared" si="1"/>
        <v>18429.650213371402</v>
      </c>
      <c r="J46" s="218"/>
      <c r="K46" s="29"/>
    </row>
    <row r="47" spans="1:11" x14ac:dyDescent="0.25">
      <c r="A47" s="86" t="s">
        <v>364</v>
      </c>
      <c r="B47" s="226">
        <v>2802756</v>
      </c>
      <c r="C47" s="226">
        <v>2802756</v>
      </c>
      <c r="D47" s="83">
        <f t="shared" si="2"/>
        <v>2802756</v>
      </c>
      <c r="F47" s="25" t="s">
        <v>74</v>
      </c>
      <c r="G47" s="13">
        <f>'Allocation Factors'!$G$21</f>
        <v>3.54809369866841E-2</v>
      </c>
      <c r="I47" s="7">
        <f t="shared" si="1"/>
        <v>99444.409025050787</v>
      </c>
      <c r="J47" s="218"/>
      <c r="K47" s="29"/>
    </row>
    <row r="48" spans="1:11" x14ac:dyDescent="0.25">
      <c r="A48" s="86" t="s">
        <v>359</v>
      </c>
      <c r="B48" s="226">
        <v>339838</v>
      </c>
      <c r="C48" s="226">
        <v>339838</v>
      </c>
      <c r="D48" s="83">
        <f t="shared" si="2"/>
        <v>339838</v>
      </c>
      <c r="F48" s="25" t="s">
        <v>74</v>
      </c>
      <c r="G48" s="13">
        <f>'Allocation Factors'!$G$21</f>
        <v>3.54809369866841E-2</v>
      </c>
      <c r="I48" s="7">
        <f t="shared" si="1"/>
        <v>12057.770663680751</v>
      </c>
      <c r="J48" s="218"/>
      <c r="K48" s="29"/>
    </row>
    <row r="49" spans="1:11" x14ac:dyDescent="0.25">
      <c r="A49" s="86" t="s">
        <v>357</v>
      </c>
      <c r="B49" s="226">
        <v>687653</v>
      </c>
      <c r="C49" s="226">
        <v>687653</v>
      </c>
      <c r="D49" s="83">
        <f t="shared" si="2"/>
        <v>687653</v>
      </c>
      <c r="F49" s="25" t="s">
        <v>74</v>
      </c>
      <c r="G49" s="13">
        <f>'Allocation Factors'!$G$21</f>
        <v>3.54809369866841E-2</v>
      </c>
      <c r="I49" s="7">
        <f t="shared" si="1"/>
        <v>24398.572761704283</v>
      </c>
      <c r="J49" s="218"/>
      <c r="K49" s="29"/>
    </row>
    <row r="50" spans="1:11" x14ac:dyDescent="0.25">
      <c r="A50" s="86" t="s">
        <v>367</v>
      </c>
      <c r="B50" s="226">
        <v>24160263</v>
      </c>
      <c r="C50" s="226">
        <v>24160263</v>
      </c>
      <c r="D50" s="83">
        <f t="shared" si="2"/>
        <v>24160263</v>
      </c>
      <c r="F50" s="25" t="s">
        <v>74</v>
      </c>
      <c r="G50" s="13">
        <f>'Allocation Factors'!$G$21</f>
        <v>3.54809369866841E-2</v>
      </c>
      <c r="I50" s="7">
        <f t="shared" si="1"/>
        <v>857228.7690847154</v>
      </c>
      <c r="J50" s="218"/>
      <c r="K50" s="29"/>
    </row>
    <row r="51" spans="1:11" x14ac:dyDescent="0.25">
      <c r="A51" s="86" t="s">
        <v>1110</v>
      </c>
      <c r="B51" s="226">
        <v>45574.04</v>
      </c>
      <c r="C51" s="226">
        <v>45574.04</v>
      </c>
      <c r="D51" s="83">
        <f t="shared" si="2"/>
        <v>45574</v>
      </c>
      <c r="F51" s="25" t="s">
        <v>73</v>
      </c>
      <c r="G51" s="13">
        <f>'Allocation Factors'!$G$13</f>
        <v>0.91713571027193685</v>
      </c>
      <c r="I51" s="7">
        <f t="shared" si="1"/>
        <v>41797.542859933252</v>
      </c>
      <c r="J51" s="218"/>
      <c r="K51" s="29"/>
    </row>
    <row r="52" spans="1:11" x14ac:dyDescent="0.25">
      <c r="A52" s="71" t="s">
        <v>1345</v>
      </c>
      <c r="B52" s="226">
        <v>0</v>
      </c>
      <c r="C52" s="226">
        <v>21740.95</v>
      </c>
      <c r="D52" s="83">
        <f t="shared" si="2"/>
        <v>10870</v>
      </c>
      <c r="F52" s="25" t="s">
        <v>73</v>
      </c>
      <c r="G52" s="13">
        <f>'Allocation Factors'!$G$13</f>
        <v>0.91713571027193685</v>
      </c>
      <c r="I52" s="7">
        <f t="shared" si="1"/>
        <v>9969.2651706559536</v>
      </c>
      <c r="J52" s="218"/>
      <c r="K52" s="29"/>
    </row>
    <row r="53" spans="1:11" x14ac:dyDescent="0.25">
      <c r="A53" s="86" t="s">
        <v>379</v>
      </c>
      <c r="B53" s="226">
        <v>5282</v>
      </c>
      <c r="C53" s="226">
        <v>5342.02</v>
      </c>
      <c r="D53" s="83">
        <f t="shared" si="2"/>
        <v>5312</v>
      </c>
      <c r="F53" s="25" t="s">
        <v>74</v>
      </c>
      <c r="G53" s="13">
        <f>'Allocation Factors'!$G$21</f>
        <v>3.54809369866841E-2</v>
      </c>
      <c r="I53" s="7">
        <f t="shared" si="1"/>
        <v>188.47473727326593</v>
      </c>
      <c r="J53" s="218"/>
      <c r="K53" s="29"/>
    </row>
    <row r="54" spans="1:11" x14ac:dyDescent="0.25">
      <c r="A54" s="86" t="s">
        <v>1184</v>
      </c>
      <c r="B54" s="226">
        <v>275739</v>
      </c>
      <c r="C54" s="226">
        <v>275739</v>
      </c>
      <c r="D54" s="83">
        <f t="shared" si="2"/>
        <v>275739</v>
      </c>
      <c r="F54" s="25" t="s">
        <v>140</v>
      </c>
      <c r="G54" s="237">
        <v>0</v>
      </c>
      <c r="I54" s="7">
        <f t="shared" si="1"/>
        <v>0</v>
      </c>
      <c r="J54" s="218"/>
      <c r="K54" s="29"/>
    </row>
    <row r="55" spans="1:11" x14ac:dyDescent="0.25">
      <c r="A55" s="86" t="s">
        <v>1185</v>
      </c>
      <c r="B55" s="226">
        <v>128641</v>
      </c>
      <c r="C55" s="226">
        <v>128640.81</v>
      </c>
      <c r="D55" s="83">
        <f t="shared" si="2"/>
        <v>128641</v>
      </c>
      <c r="F55" s="25" t="s">
        <v>140</v>
      </c>
      <c r="G55" s="237">
        <v>0</v>
      </c>
      <c r="I55" s="7">
        <f t="shared" si="1"/>
        <v>0</v>
      </c>
      <c r="J55" s="218"/>
      <c r="K55" s="29"/>
    </row>
    <row r="56" spans="1:11" x14ac:dyDescent="0.25">
      <c r="A56" s="86" t="s">
        <v>1178</v>
      </c>
      <c r="B56" s="226">
        <v>19971</v>
      </c>
      <c r="C56" s="226">
        <v>19971</v>
      </c>
      <c r="D56" s="83">
        <f t="shared" si="2"/>
        <v>19971</v>
      </c>
      <c r="F56" s="25" t="s">
        <v>140</v>
      </c>
      <c r="G56" s="237">
        <v>0</v>
      </c>
      <c r="I56" s="7">
        <f t="shared" si="1"/>
        <v>0</v>
      </c>
      <c r="J56" s="218"/>
      <c r="K56" s="29"/>
    </row>
    <row r="57" spans="1:11" x14ac:dyDescent="0.25">
      <c r="A57" s="86" t="s">
        <v>377</v>
      </c>
      <c r="B57" s="226">
        <v>138209</v>
      </c>
      <c r="C57" s="226">
        <v>138209</v>
      </c>
      <c r="D57" s="83">
        <f t="shared" si="2"/>
        <v>138209</v>
      </c>
      <c r="F57" s="25" t="s">
        <v>74</v>
      </c>
      <c r="G57" s="13">
        <f>'Allocation Factors'!$G$21</f>
        <v>3.54809369866841E-2</v>
      </c>
      <c r="I57" s="7">
        <f t="shared" si="1"/>
        <v>4903.7848199926229</v>
      </c>
      <c r="J57" s="218"/>
      <c r="K57" s="29"/>
    </row>
    <row r="58" spans="1:11" x14ac:dyDescent="0.25">
      <c r="A58" s="86" t="s">
        <v>378</v>
      </c>
      <c r="B58" s="226">
        <v>64516</v>
      </c>
      <c r="C58" s="226">
        <v>64516</v>
      </c>
      <c r="D58" s="83">
        <f t="shared" si="2"/>
        <v>64516</v>
      </c>
      <c r="F58" s="25" t="s">
        <v>74</v>
      </c>
      <c r="G58" s="13">
        <f>'Allocation Factors'!$G$21</f>
        <v>3.54809369866841E-2</v>
      </c>
      <c r="I58" s="7">
        <f t="shared" si="1"/>
        <v>2289.0881306329115</v>
      </c>
      <c r="J58" s="218"/>
      <c r="K58" s="29"/>
    </row>
    <row r="59" spans="1:11" x14ac:dyDescent="0.25">
      <c r="A59" s="86" t="s">
        <v>1102</v>
      </c>
      <c r="B59" s="226">
        <v>136865</v>
      </c>
      <c r="C59" s="226">
        <v>136865</v>
      </c>
      <c r="D59" s="83">
        <f t="shared" si="2"/>
        <v>136865</v>
      </c>
      <c r="F59" s="25" t="s">
        <v>74</v>
      </c>
      <c r="G59" s="13">
        <f>'Allocation Factors'!$G$21</f>
        <v>3.54809369866841E-2</v>
      </c>
      <c r="I59" s="7">
        <f t="shared" si="1"/>
        <v>4856.0984406825191</v>
      </c>
      <c r="J59" s="218"/>
      <c r="K59" s="29"/>
    </row>
    <row r="60" spans="1:11" x14ac:dyDescent="0.25">
      <c r="A60" s="86" t="s">
        <v>1022</v>
      </c>
      <c r="B60" s="226">
        <f>98442+895</f>
        <v>99337</v>
      </c>
      <c r="C60" s="226">
        <v>99337</v>
      </c>
      <c r="D60" s="83">
        <f t="shared" si="2"/>
        <v>99337</v>
      </c>
      <c r="F60" s="25" t="s">
        <v>74</v>
      </c>
      <c r="G60" s="13">
        <f>'Allocation Factors'!$G$21</f>
        <v>3.54809369866841E-2</v>
      </c>
      <c r="I60" s="7">
        <f t="shared" si="1"/>
        <v>3524.5698374462386</v>
      </c>
      <c r="J60" s="218"/>
      <c r="K60" s="29"/>
    </row>
    <row r="61" spans="1:11" x14ac:dyDescent="0.25">
      <c r="A61" s="86" t="s">
        <v>351</v>
      </c>
      <c r="B61" s="226">
        <v>97838</v>
      </c>
      <c r="C61" s="226">
        <v>97838</v>
      </c>
      <c r="D61" s="83">
        <f t="shared" si="2"/>
        <v>97838</v>
      </c>
      <c r="F61" s="25" t="s">
        <v>73</v>
      </c>
      <c r="G61" s="13">
        <f>'Allocation Factors'!$G$13</f>
        <v>0.91713571027193685</v>
      </c>
      <c r="I61" s="7">
        <f t="shared" si="1"/>
        <v>89730.723621585756</v>
      </c>
      <c r="J61" s="218"/>
      <c r="K61" s="29"/>
    </row>
    <row r="62" spans="1:11" x14ac:dyDescent="0.25">
      <c r="A62" s="71" t="s">
        <v>1346</v>
      </c>
      <c r="B62" s="226">
        <v>0</v>
      </c>
      <c r="C62" s="226">
        <v>685334.06</v>
      </c>
      <c r="D62" s="83">
        <f t="shared" si="2"/>
        <v>342667</v>
      </c>
      <c r="F62" s="25" t="s">
        <v>73</v>
      </c>
      <c r="G62" s="13">
        <f>'Allocation Factors'!$G$13</f>
        <v>0.91713571027193685</v>
      </c>
      <c r="I62" s="7">
        <f t="shared" si="1"/>
        <v>314272.1424317538</v>
      </c>
      <c r="J62" s="218"/>
      <c r="K62" s="29"/>
    </row>
    <row r="63" spans="1:11" x14ac:dyDescent="0.25">
      <c r="A63" s="86" t="s">
        <v>1111</v>
      </c>
      <c r="B63" s="226">
        <v>106862</v>
      </c>
      <c r="C63" s="226">
        <v>118735.98</v>
      </c>
      <c r="D63" s="83">
        <f t="shared" si="2"/>
        <v>112799</v>
      </c>
      <c r="F63" s="25" t="s">
        <v>73</v>
      </c>
      <c r="G63" s="13">
        <f>'Allocation Factors'!$G$13</f>
        <v>0.91713571027193685</v>
      </c>
      <c r="I63" s="7">
        <f t="shared" si="1"/>
        <v>103451.9909829642</v>
      </c>
      <c r="J63" s="218"/>
      <c r="K63" s="29"/>
    </row>
    <row r="64" spans="1:11" x14ac:dyDescent="0.25">
      <c r="A64" s="221" t="s">
        <v>1312</v>
      </c>
      <c r="B64" s="226">
        <v>140463</v>
      </c>
      <c r="C64" s="226">
        <v>224740.47</v>
      </c>
      <c r="D64" s="83">
        <f t="shared" si="2"/>
        <v>182602</v>
      </c>
      <c r="F64" s="25" t="s">
        <v>73</v>
      </c>
      <c r="G64" s="13">
        <f>'Allocation Factors'!$G$13</f>
        <v>0.91713571027193685</v>
      </c>
      <c r="I64" s="7">
        <f t="shared" si="1"/>
        <v>167470.81496707621</v>
      </c>
      <c r="J64" s="218"/>
      <c r="K64" s="29"/>
    </row>
    <row r="65" spans="1:11" x14ac:dyDescent="0.25">
      <c r="A65" s="221" t="s">
        <v>355</v>
      </c>
      <c r="B65" s="226">
        <f>139333+4369735</f>
        <v>4509068</v>
      </c>
      <c r="C65" s="226">
        <f>139333+4369735</f>
        <v>4509068</v>
      </c>
      <c r="D65" s="83">
        <f t="shared" si="2"/>
        <v>4509068</v>
      </c>
      <c r="F65" s="25" t="s">
        <v>74</v>
      </c>
      <c r="G65" s="13">
        <f>'Allocation Factors'!$G$21</f>
        <v>3.54809369866841E-2</v>
      </c>
      <c r="I65" s="7">
        <f t="shared" si="1"/>
        <v>159985.95757667371</v>
      </c>
      <c r="J65" s="218"/>
      <c r="K65" s="29"/>
    </row>
    <row r="66" spans="1:11" x14ac:dyDescent="0.25">
      <c r="A66" s="221" t="s">
        <v>356</v>
      </c>
      <c r="B66" s="226">
        <v>5261230</v>
      </c>
      <c r="C66" s="226">
        <v>5261230</v>
      </c>
      <c r="D66" s="83">
        <f t="shared" si="2"/>
        <v>5261230</v>
      </c>
      <c r="F66" s="25" t="s">
        <v>74</v>
      </c>
      <c r="G66" s="13">
        <f>'Allocation Factors'!$G$21</f>
        <v>3.54809369866841E-2</v>
      </c>
      <c r="I66" s="7">
        <f t="shared" si="1"/>
        <v>186673.370102452</v>
      </c>
      <c r="J66" s="218"/>
      <c r="K66" s="29"/>
    </row>
    <row r="67" spans="1:11" x14ac:dyDescent="0.25">
      <c r="A67" s="221" t="s">
        <v>368</v>
      </c>
      <c r="B67" s="226">
        <v>6456989</v>
      </c>
      <c r="C67" s="226">
        <v>6456989</v>
      </c>
      <c r="D67" s="83">
        <f t="shared" si="2"/>
        <v>6456989</v>
      </c>
      <c r="F67" s="25" t="s">
        <v>74</v>
      </c>
      <c r="G67" s="13">
        <f>'Allocation Factors'!$G$21</f>
        <v>3.54809369866841E-2</v>
      </c>
      <c r="I67" s="7">
        <f t="shared" si="1"/>
        <v>229100.01983271239</v>
      </c>
      <c r="J67" s="218"/>
      <c r="K67" s="29"/>
    </row>
    <row r="68" spans="1:11" x14ac:dyDescent="0.25">
      <c r="A68" s="221" t="s">
        <v>363</v>
      </c>
      <c r="B68" s="226">
        <v>162193</v>
      </c>
      <c r="C68" s="226">
        <v>162193</v>
      </c>
      <c r="D68" s="83">
        <f t="shared" si="2"/>
        <v>162193</v>
      </c>
      <c r="F68" s="25" t="s">
        <v>74</v>
      </c>
      <c r="G68" s="13">
        <f>'Allocation Factors'!$G$21</f>
        <v>3.54809369866841E-2</v>
      </c>
      <c r="I68" s="7">
        <f t="shared" si="1"/>
        <v>5754.7596126812541</v>
      </c>
      <c r="J68" s="218"/>
      <c r="K68" s="29"/>
    </row>
    <row r="69" spans="1:11" x14ac:dyDescent="0.25">
      <c r="A69" s="221" t="s">
        <v>366</v>
      </c>
      <c r="B69" s="226">
        <v>4808127</v>
      </c>
      <c r="C69" s="226">
        <v>4808127</v>
      </c>
      <c r="D69" s="83">
        <f t="shared" si="2"/>
        <v>4808127</v>
      </c>
      <c r="F69" s="25" t="s">
        <v>74</v>
      </c>
      <c r="G69" s="13">
        <f>'Allocation Factors'!$G$21</f>
        <v>3.54809369866841E-2</v>
      </c>
      <c r="I69" s="7">
        <f t="shared" si="1"/>
        <v>170596.85111097447</v>
      </c>
      <c r="J69" s="218"/>
      <c r="K69" s="29"/>
    </row>
    <row r="70" spans="1:11" x14ac:dyDescent="0.25">
      <c r="A70" s="221" t="s">
        <v>1003</v>
      </c>
      <c r="B70" s="226">
        <v>0</v>
      </c>
      <c r="C70" s="226">
        <v>0</v>
      </c>
      <c r="D70" s="83">
        <f t="shared" si="2"/>
        <v>0</v>
      </c>
      <c r="F70" s="25" t="s">
        <v>74</v>
      </c>
      <c r="G70" s="13">
        <f>'Allocation Factors'!$G$21</f>
        <v>3.54809369866841E-2</v>
      </c>
      <c r="I70" s="7">
        <f t="shared" si="1"/>
        <v>0</v>
      </c>
      <c r="J70" s="218"/>
      <c r="K70" s="29"/>
    </row>
    <row r="71" spans="1:11" x14ac:dyDescent="0.25">
      <c r="A71" s="221" t="s">
        <v>1187</v>
      </c>
      <c r="B71" s="226">
        <f>82991+166745-41-82+70+35</f>
        <v>249718</v>
      </c>
      <c r="C71" s="226">
        <f>106818.25+214619.44+-52.59-105.68+90.17+44.91</f>
        <v>321414.49999999994</v>
      </c>
      <c r="D71" s="83">
        <f t="shared" si="2"/>
        <v>285566</v>
      </c>
      <c r="F71" s="25" t="s">
        <v>405</v>
      </c>
      <c r="G71" s="237">
        <v>0</v>
      </c>
      <c r="I71" s="7">
        <f t="shared" si="1"/>
        <v>0</v>
      </c>
      <c r="J71" s="218"/>
      <c r="K71" s="29"/>
    </row>
    <row r="72" spans="1:11" x14ac:dyDescent="0.25">
      <c r="A72" s="221" t="s">
        <v>375</v>
      </c>
      <c r="B72" s="226">
        <v>24204028</v>
      </c>
      <c r="C72" s="226">
        <v>24204028</v>
      </c>
      <c r="D72" s="83">
        <f t="shared" si="2"/>
        <v>24204028</v>
      </c>
      <c r="F72" s="25" t="s">
        <v>74</v>
      </c>
      <c r="G72" s="13">
        <f>'Allocation Factors'!$G$21</f>
        <v>3.54809369866841E-2</v>
      </c>
      <c r="I72" s="7">
        <f t="shared" si="1"/>
        <v>858781.59229193756</v>
      </c>
      <c r="J72" s="218"/>
      <c r="K72" s="29"/>
    </row>
    <row r="73" spans="1:11" x14ac:dyDescent="0.25">
      <c r="A73" s="221" t="s">
        <v>376</v>
      </c>
      <c r="B73" s="226">
        <v>16415836</v>
      </c>
      <c r="C73" s="226">
        <v>16415836</v>
      </c>
      <c r="D73" s="83">
        <f t="shared" si="2"/>
        <v>16415836</v>
      </c>
      <c r="F73" s="25" t="s">
        <v>74</v>
      </c>
      <c r="G73" s="13">
        <f>'Allocation Factors'!$G$21</f>
        <v>3.54809369866841E-2</v>
      </c>
      <c r="I73" s="7">
        <f t="shared" si="1"/>
        <v>582449.24269974034</v>
      </c>
      <c r="J73" s="218"/>
      <c r="K73" s="29"/>
    </row>
    <row r="74" spans="1:11" x14ac:dyDescent="0.25">
      <c r="A74" s="221" t="s">
        <v>372</v>
      </c>
      <c r="B74" s="226">
        <v>19660119</v>
      </c>
      <c r="C74" s="226">
        <v>19660119</v>
      </c>
      <c r="D74" s="83">
        <f t="shared" si="2"/>
        <v>19660119</v>
      </c>
      <c r="F74" s="25" t="s">
        <v>74</v>
      </c>
      <c r="G74" s="13">
        <f>'Allocation Factors'!$G$21</f>
        <v>3.54809369866841E-2</v>
      </c>
      <c r="I74" s="7">
        <f t="shared" si="1"/>
        <v>697559.44338971085</v>
      </c>
      <c r="J74" s="218"/>
      <c r="K74" s="29"/>
    </row>
    <row r="75" spans="1:11" x14ac:dyDescent="0.25">
      <c r="A75" s="221" t="s">
        <v>352</v>
      </c>
      <c r="B75" s="226">
        <v>183726</v>
      </c>
      <c r="C75" s="226">
        <v>183725.69</v>
      </c>
      <c r="D75" s="83">
        <f t="shared" si="2"/>
        <v>183726</v>
      </c>
      <c r="F75" s="25" t="s">
        <v>73</v>
      </c>
      <c r="G75" s="13">
        <f>'Allocation Factors'!$G$13</f>
        <v>0.91713571027193685</v>
      </c>
      <c r="I75" s="7">
        <f t="shared" si="1"/>
        <v>168501.67550542188</v>
      </c>
      <c r="J75" s="218"/>
      <c r="K75" s="29"/>
    </row>
    <row r="76" spans="1:11" x14ac:dyDescent="0.25">
      <c r="A76" s="221" t="s">
        <v>1258</v>
      </c>
      <c r="B76" s="226">
        <v>9646</v>
      </c>
      <c r="C76" s="226">
        <v>17914</v>
      </c>
      <c r="D76" s="83">
        <f t="shared" ref="D76" si="5">ROUND((C76+B76)/2,0)</f>
        <v>13780</v>
      </c>
      <c r="F76" s="25" t="s">
        <v>73</v>
      </c>
      <c r="G76" s="13">
        <f>'Allocation Factors'!$G$13</f>
        <v>0.91713571027193685</v>
      </c>
      <c r="I76" s="7">
        <f t="shared" ref="I76" si="6">$D76*G76</f>
        <v>12638.13008754729</v>
      </c>
      <c r="J76" s="218"/>
      <c r="K76" s="29"/>
    </row>
    <row r="77" spans="1:11" x14ac:dyDescent="0.25">
      <c r="A77" s="221" t="s">
        <v>1112</v>
      </c>
      <c r="B77" s="226">
        <v>216927</v>
      </c>
      <c r="C77" s="226">
        <v>216927</v>
      </c>
      <c r="D77" s="83">
        <f t="shared" si="2"/>
        <v>216927</v>
      </c>
      <c r="F77" s="25" t="s">
        <v>140</v>
      </c>
      <c r="G77" s="237">
        <v>0</v>
      </c>
      <c r="I77" s="7">
        <f t="shared" si="1"/>
        <v>0</v>
      </c>
      <c r="J77" s="218"/>
      <c r="K77" s="29"/>
    </row>
    <row r="78" spans="1:11" x14ac:dyDescent="0.25">
      <c r="A78" s="221" t="s">
        <v>1008</v>
      </c>
      <c r="B78" s="226">
        <v>239366</v>
      </c>
      <c r="C78" s="226">
        <v>239366</v>
      </c>
      <c r="D78" s="83">
        <f t="shared" si="2"/>
        <v>239366</v>
      </c>
      <c r="F78" s="25" t="s">
        <v>73</v>
      </c>
      <c r="G78" s="13">
        <f>'Allocation Factors'!$G$13</f>
        <v>0.91713571027193685</v>
      </c>
      <c r="I78" s="7">
        <f t="shared" si="1"/>
        <v>219531.10642495245</v>
      </c>
      <c r="J78" s="218"/>
      <c r="K78" s="29"/>
    </row>
    <row r="79" spans="1:11" x14ac:dyDescent="0.25">
      <c r="A79" s="221" t="s">
        <v>1179</v>
      </c>
      <c r="B79" s="226">
        <v>491428</v>
      </c>
      <c r="C79" s="226">
        <v>0</v>
      </c>
      <c r="D79" s="83">
        <f t="shared" si="2"/>
        <v>245714</v>
      </c>
      <c r="F79" s="25" t="s">
        <v>140</v>
      </c>
      <c r="G79" s="237">
        <v>0</v>
      </c>
      <c r="I79" s="7">
        <f t="shared" si="1"/>
        <v>0</v>
      </c>
      <c r="J79" s="218"/>
      <c r="K79" s="29"/>
    </row>
    <row r="80" spans="1:11" x14ac:dyDescent="0.25">
      <c r="A80" s="221" t="s">
        <v>1311</v>
      </c>
      <c r="B80" s="226">
        <v>0</v>
      </c>
      <c r="C80" s="226">
        <f>611616.57+3418.74+20851.74</f>
        <v>635887.04999999993</v>
      </c>
      <c r="D80" s="83">
        <f t="shared" si="2"/>
        <v>317944</v>
      </c>
      <c r="F80" s="25" t="s">
        <v>74</v>
      </c>
      <c r="G80" s="13">
        <f>'Allocation Factors'!$G$21</f>
        <v>3.54809369866841E-2</v>
      </c>
      <c r="I80" s="7">
        <f t="shared" si="1"/>
        <v>11280.951029294289</v>
      </c>
      <c r="J80" s="218"/>
      <c r="K80" s="29"/>
    </row>
    <row r="81" spans="1:11" x14ac:dyDescent="0.25">
      <c r="A81" s="221" t="s">
        <v>1004</v>
      </c>
      <c r="B81" s="226">
        <v>0</v>
      </c>
      <c r="C81" s="226">
        <v>0</v>
      </c>
      <c r="D81" s="83">
        <f t="shared" si="2"/>
        <v>0</v>
      </c>
      <c r="F81" s="25" t="s">
        <v>73</v>
      </c>
      <c r="G81" s="13">
        <f>'Allocation Factors'!$G$13</f>
        <v>0.91713571027193685</v>
      </c>
      <c r="I81" s="7">
        <f t="shared" si="1"/>
        <v>0</v>
      </c>
      <c r="J81" s="218"/>
      <c r="K81" s="29"/>
    </row>
    <row r="82" spans="1:11" x14ac:dyDescent="0.25">
      <c r="A82" s="221" t="s">
        <v>1051</v>
      </c>
      <c r="B82" s="226">
        <f>20944+17859</f>
        <v>38803</v>
      </c>
      <c r="C82" s="226">
        <f>20944.31+17859.37</f>
        <v>38803.68</v>
      </c>
      <c r="D82" s="83">
        <f t="shared" ref="D82:D105" si="7">ROUND((C82+B82)/2,0)</f>
        <v>38803</v>
      </c>
      <c r="F82" s="25" t="s">
        <v>73</v>
      </c>
      <c r="G82" s="13">
        <f>'Allocation Factors'!$G$13</f>
        <v>0.91713571027193685</v>
      </c>
      <c r="I82" s="7">
        <f t="shared" ref="I82:I105" si="8">$D82*G82</f>
        <v>35587.616965681969</v>
      </c>
      <c r="J82" s="218"/>
      <c r="K82" s="29"/>
    </row>
    <row r="83" spans="1:11" x14ac:dyDescent="0.25">
      <c r="A83" s="221" t="s">
        <v>1051</v>
      </c>
      <c r="B83" s="226">
        <f>20944+17859</f>
        <v>38803</v>
      </c>
      <c r="C83" s="226">
        <f>20944.3+17859.37</f>
        <v>38803.67</v>
      </c>
      <c r="D83" s="83">
        <f t="shared" si="7"/>
        <v>38803</v>
      </c>
      <c r="F83" s="25" t="s">
        <v>73</v>
      </c>
      <c r="G83" s="13">
        <f>'Allocation Factors'!$G$13</f>
        <v>0.91713571027193685</v>
      </c>
      <c r="I83" s="7">
        <f t="shared" si="8"/>
        <v>35587.616965681969</v>
      </c>
      <c r="J83" s="218"/>
      <c r="K83" s="29"/>
    </row>
    <row r="84" spans="1:11" x14ac:dyDescent="0.25">
      <c r="A84" s="221" t="s">
        <v>1105</v>
      </c>
      <c r="B84" s="226">
        <f>411353-1233</f>
        <v>410120</v>
      </c>
      <c r="C84" s="226">
        <f>305209.54+104911</f>
        <v>410120.54</v>
      </c>
      <c r="D84" s="83">
        <f t="shared" si="7"/>
        <v>410120</v>
      </c>
      <c r="F84" s="25" t="s">
        <v>73</v>
      </c>
      <c r="G84" s="13">
        <f>'Allocation Factors'!$G$13</f>
        <v>0.91713571027193685</v>
      </c>
      <c r="I84" s="7">
        <f t="shared" si="8"/>
        <v>376135.69749672676</v>
      </c>
      <c r="J84" s="218"/>
      <c r="K84" s="29"/>
    </row>
    <row r="85" spans="1:11" x14ac:dyDescent="0.25">
      <c r="A85" s="221" t="s">
        <v>1052</v>
      </c>
      <c r="B85" s="226">
        <v>96043</v>
      </c>
      <c r="C85" s="226">
        <v>96042.64</v>
      </c>
      <c r="D85" s="83">
        <f t="shared" si="7"/>
        <v>96043</v>
      </c>
      <c r="F85" s="25" t="s">
        <v>73</v>
      </c>
      <c r="G85" s="13">
        <f>'Allocation Factors'!$G$13</f>
        <v>0.91713571027193685</v>
      </c>
      <c r="I85" s="7">
        <f t="shared" si="8"/>
        <v>88084.465021647629</v>
      </c>
      <c r="J85" s="218"/>
      <c r="K85" s="29"/>
    </row>
    <row r="86" spans="1:11" x14ac:dyDescent="0.25">
      <c r="A86" s="221" t="s">
        <v>1009</v>
      </c>
      <c r="B86" s="226">
        <v>82401.759999999995</v>
      </c>
      <c r="C86" s="226">
        <v>82401.759999999995</v>
      </c>
      <c r="D86" s="83">
        <f t="shared" si="7"/>
        <v>82402</v>
      </c>
      <c r="F86" s="25" t="s">
        <v>405</v>
      </c>
      <c r="G86" s="237">
        <v>0</v>
      </c>
      <c r="I86" s="7">
        <f t="shared" si="8"/>
        <v>0</v>
      </c>
      <c r="J86" s="218"/>
      <c r="K86" s="29"/>
    </row>
    <row r="87" spans="1:11" x14ac:dyDescent="0.25">
      <c r="A87" s="221" t="s">
        <v>344</v>
      </c>
      <c r="B87" s="226">
        <v>2678789</v>
      </c>
      <c r="C87" s="226">
        <v>2678789</v>
      </c>
      <c r="D87" s="83">
        <f t="shared" si="7"/>
        <v>2678789</v>
      </c>
      <c r="F87" s="25" t="s">
        <v>405</v>
      </c>
      <c r="G87" s="237">
        <v>0</v>
      </c>
      <c r="I87" s="7">
        <f t="shared" si="8"/>
        <v>0</v>
      </c>
      <c r="J87" s="218"/>
      <c r="K87" s="29"/>
    </row>
    <row r="88" spans="1:11" x14ac:dyDescent="0.25">
      <c r="A88" s="221" t="s">
        <v>373</v>
      </c>
      <c r="B88" s="226">
        <v>234112.3</v>
      </c>
      <c r="C88" s="226">
        <v>234112.3</v>
      </c>
      <c r="D88" s="83">
        <f t="shared" si="7"/>
        <v>234112</v>
      </c>
      <c r="F88" s="25" t="s">
        <v>74</v>
      </c>
      <c r="G88" s="13">
        <f>'Allocation Factors'!$G$21</f>
        <v>3.54809369866841E-2</v>
      </c>
      <c r="I88" s="7">
        <f t="shared" si="8"/>
        <v>8306.5131198265881</v>
      </c>
      <c r="J88" s="218"/>
      <c r="K88" s="29"/>
    </row>
    <row r="89" spans="1:11" x14ac:dyDescent="0.25">
      <c r="A89" s="221" t="s">
        <v>1190</v>
      </c>
      <c r="B89" s="226">
        <f>251798-296-651+1115</f>
        <v>251966</v>
      </c>
      <c r="C89" s="226">
        <f>313563.14+1393.84</f>
        <v>314956.98000000004</v>
      </c>
      <c r="D89" s="83">
        <f t="shared" si="7"/>
        <v>283461</v>
      </c>
      <c r="F89" s="25" t="s">
        <v>405</v>
      </c>
      <c r="G89" s="237">
        <v>0</v>
      </c>
      <c r="I89" s="7">
        <f t="shared" si="8"/>
        <v>0</v>
      </c>
      <c r="J89" s="218"/>
      <c r="K89" s="29"/>
    </row>
    <row r="90" spans="1:11" x14ac:dyDescent="0.25">
      <c r="A90" s="221" t="s">
        <v>1191</v>
      </c>
      <c r="B90" s="226">
        <v>2351597</v>
      </c>
      <c r="C90" s="226">
        <v>2351596.8199999998</v>
      </c>
      <c r="D90" s="83">
        <f t="shared" si="7"/>
        <v>2351597</v>
      </c>
      <c r="F90" s="25" t="s">
        <v>73</v>
      </c>
      <c r="G90" s="13">
        <f>'Allocation Factors'!$G$13</f>
        <v>0.91713571027193685</v>
      </c>
      <c r="I90" s="7">
        <f t="shared" si="8"/>
        <v>2156733.5848683561</v>
      </c>
      <c r="J90" s="218"/>
      <c r="K90" s="29"/>
    </row>
    <row r="91" spans="1:11" x14ac:dyDescent="0.25">
      <c r="A91" s="221" t="s">
        <v>1107</v>
      </c>
      <c r="B91" s="226">
        <v>1988310</v>
      </c>
      <c r="C91" s="226">
        <v>1988310</v>
      </c>
      <c r="D91" s="83">
        <f t="shared" si="7"/>
        <v>1988310</v>
      </c>
      <c r="F91" s="25" t="s">
        <v>140</v>
      </c>
      <c r="G91" s="237">
        <v>0</v>
      </c>
      <c r="I91" s="7">
        <f t="shared" si="8"/>
        <v>0</v>
      </c>
      <c r="J91" s="218"/>
      <c r="K91" s="29"/>
    </row>
    <row r="92" spans="1:11" x14ac:dyDescent="0.25">
      <c r="A92" s="221" t="s">
        <v>354</v>
      </c>
      <c r="B92" s="226">
        <v>4366834</v>
      </c>
      <c r="C92" s="226">
        <v>4366834</v>
      </c>
      <c r="D92" s="83">
        <f t="shared" si="7"/>
        <v>4366834</v>
      </c>
      <c r="F92" s="25" t="s">
        <v>73</v>
      </c>
      <c r="G92" s="13">
        <f>'Allocation Factors'!$G$13</f>
        <v>0.91713571027193685</v>
      </c>
      <c r="I92" s="7">
        <f t="shared" si="8"/>
        <v>4004979.402229643</v>
      </c>
      <c r="J92" s="218"/>
      <c r="K92" s="29"/>
    </row>
    <row r="93" spans="1:11" x14ac:dyDescent="0.25">
      <c r="A93" s="221" t="s">
        <v>1050</v>
      </c>
      <c r="B93" s="226">
        <v>0</v>
      </c>
      <c r="C93" s="226">
        <v>0</v>
      </c>
      <c r="D93" s="83">
        <f t="shared" si="7"/>
        <v>0</v>
      </c>
      <c r="F93" s="25" t="s">
        <v>73</v>
      </c>
      <c r="G93" s="13">
        <f>'Allocation Factors'!$G$13</f>
        <v>0.91713571027193685</v>
      </c>
      <c r="I93" s="7">
        <f t="shared" si="8"/>
        <v>0</v>
      </c>
      <c r="J93" s="218"/>
      <c r="K93" s="29"/>
    </row>
    <row r="94" spans="1:11" x14ac:dyDescent="0.25">
      <c r="A94" s="221" t="s">
        <v>1314</v>
      </c>
      <c r="B94" s="226">
        <v>3028</v>
      </c>
      <c r="C94" s="226">
        <v>39466.839999999997</v>
      </c>
      <c r="D94" s="83">
        <f t="shared" ref="D94" si="9">ROUND((C94+B94)/2,0)</f>
        <v>21247</v>
      </c>
      <c r="F94" s="25" t="s">
        <v>74</v>
      </c>
      <c r="G94" s="13">
        <f>'Allocation Factors'!$G$21</f>
        <v>3.54809369866841E-2</v>
      </c>
      <c r="I94" s="7">
        <f t="shared" si="8"/>
        <v>753.86346815607703</v>
      </c>
      <c r="J94" s="218"/>
      <c r="K94" s="29"/>
    </row>
    <row r="95" spans="1:11" x14ac:dyDescent="0.25">
      <c r="A95" s="221" t="s">
        <v>365</v>
      </c>
      <c r="B95" s="226">
        <v>1485273</v>
      </c>
      <c r="C95" s="226">
        <v>1485273</v>
      </c>
      <c r="D95" s="83">
        <f t="shared" si="7"/>
        <v>1485273</v>
      </c>
      <c r="F95" s="25" t="s">
        <v>74</v>
      </c>
      <c r="G95" s="13">
        <f>'Allocation Factors'!$G$21</f>
        <v>3.54809369866841E-2</v>
      </c>
      <c r="I95" s="7">
        <f t="shared" si="8"/>
        <v>52698.877721023251</v>
      </c>
      <c r="J95" s="218"/>
      <c r="K95" s="29"/>
    </row>
    <row r="96" spans="1:11" x14ac:dyDescent="0.25">
      <c r="A96" s="221" t="s">
        <v>1010</v>
      </c>
      <c r="B96" s="226">
        <v>2417513.5299999998</v>
      </c>
      <c r="C96" s="226">
        <v>2417513.5299999998</v>
      </c>
      <c r="D96" s="83">
        <f t="shared" si="7"/>
        <v>2417514</v>
      </c>
      <c r="F96" s="25" t="s">
        <v>73</v>
      </c>
      <c r="G96" s="13">
        <f>'Allocation Factors'!$G$13</f>
        <v>0.91713571027193685</v>
      </c>
      <c r="I96" s="7">
        <f t="shared" si="8"/>
        <v>2217188.4194823513</v>
      </c>
      <c r="J96" s="218"/>
      <c r="K96" s="29"/>
    </row>
    <row r="97" spans="1:11" x14ac:dyDescent="0.25">
      <c r="A97" s="221" t="s">
        <v>1023</v>
      </c>
      <c r="B97" s="226">
        <v>275000</v>
      </c>
      <c r="C97" s="226">
        <v>275000</v>
      </c>
      <c r="D97" s="83">
        <f t="shared" si="7"/>
        <v>275000</v>
      </c>
      <c r="F97" s="25" t="s">
        <v>73</v>
      </c>
      <c r="G97" s="13">
        <f>'Allocation Factors'!$G$13</f>
        <v>0.91713571027193685</v>
      </c>
      <c r="I97" s="7">
        <f t="shared" si="8"/>
        <v>252212.32032478263</v>
      </c>
      <c r="J97" s="218"/>
      <c r="K97" s="29"/>
    </row>
    <row r="98" spans="1:11" x14ac:dyDescent="0.25">
      <c r="A98" s="221" t="s">
        <v>1241</v>
      </c>
      <c r="B98" s="226">
        <v>189751</v>
      </c>
      <c r="C98" s="226">
        <v>258749.47</v>
      </c>
      <c r="D98" s="83">
        <f t="shared" si="7"/>
        <v>224250</v>
      </c>
      <c r="F98" s="25" t="s">
        <v>73</v>
      </c>
      <c r="G98" s="254">
        <f>'Allocation Factors'!$G$13</f>
        <v>0.91713571027193685</v>
      </c>
      <c r="I98" s="7"/>
      <c r="J98" s="218"/>
      <c r="K98" s="29"/>
    </row>
    <row r="99" spans="1:11" x14ac:dyDescent="0.25">
      <c r="A99" s="221" t="s">
        <v>1005</v>
      </c>
      <c r="B99" s="226">
        <v>499868</v>
      </c>
      <c r="C99" s="226">
        <v>499868.33</v>
      </c>
      <c r="D99" s="83">
        <f t="shared" si="7"/>
        <v>499868</v>
      </c>
      <c r="F99" s="25" t="s">
        <v>73</v>
      </c>
      <c r="G99" s="13">
        <f>'Allocation Factors'!$G$13</f>
        <v>0.91713571027193685</v>
      </c>
      <c r="I99" s="7">
        <f t="shared" si="8"/>
        <v>458446.79322221252</v>
      </c>
      <c r="J99" s="218"/>
      <c r="K99" s="29"/>
    </row>
    <row r="100" spans="1:11" x14ac:dyDescent="0.25">
      <c r="A100" s="221" t="s">
        <v>1006</v>
      </c>
      <c r="B100" s="226">
        <v>266759</v>
      </c>
      <c r="C100" s="226">
        <v>266758.71000000002</v>
      </c>
      <c r="D100" s="83">
        <f t="shared" si="7"/>
        <v>266759</v>
      </c>
      <c r="F100" s="25" t="s">
        <v>73</v>
      </c>
      <c r="G100" s="13">
        <f>'Allocation Factors'!$G$13</f>
        <v>0.91713571027193685</v>
      </c>
      <c r="I100" s="7">
        <f t="shared" si="8"/>
        <v>244654.2049364316</v>
      </c>
      <c r="J100" s="218"/>
      <c r="K100" s="29"/>
    </row>
    <row r="101" spans="1:11" x14ac:dyDescent="0.25">
      <c r="A101" s="221" t="s">
        <v>349</v>
      </c>
      <c r="B101" s="226">
        <v>6206053</v>
      </c>
      <c r="C101" s="226">
        <v>0</v>
      </c>
      <c r="D101" s="83">
        <f t="shared" si="7"/>
        <v>3103027</v>
      </c>
      <c r="F101" s="25" t="s">
        <v>73</v>
      </c>
      <c r="G101" s="13">
        <f>'Allocation Factors'!$G$13</f>
        <v>0.91713571027193685</v>
      </c>
      <c r="I101" s="7">
        <f t="shared" si="8"/>
        <v>2845896.8716379972</v>
      </c>
      <c r="J101" s="218"/>
      <c r="K101" s="29"/>
    </row>
    <row r="102" spans="1:11" x14ac:dyDescent="0.25">
      <c r="A102" s="221" t="s">
        <v>370</v>
      </c>
      <c r="B102" s="226">
        <v>0</v>
      </c>
      <c r="C102" s="226">
        <v>0</v>
      </c>
      <c r="D102" s="83">
        <f t="shared" si="7"/>
        <v>0</v>
      </c>
      <c r="F102" s="25" t="s">
        <v>74</v>
      </c>
      <c r="G102" s="13">
        <f>'Allocation Factors'!$G$21</f>
        <v>3.54809369866841E-2</v>
      </c>
      <c r="I102" s="7">
        <f t="shared" si="8"/>
        <v>0</v>
      </c>
      <c r="J102" s="218"/>
      <c r="K102" s="29"/>
    </row>
    <row r="103" spans="1:11" x14ac:dyDescent="0.25">
      <c r="A103" s="221" t="s">
        <v>374</v>
      </c>
      <c r="B103" s="226">
        <v>602837</v>
      </c>
      <c r="C103" s="226">
        <v>602837</v>
      </c>
      <c r="D103" s="83">
        <f t="shared" si="7"/>
        <v>602837</v>
      </c>
      <c r="F103" s="25" t="s">
        <v>140</v>
      </c>
      <c r="G103" s="237">
        <v>0</v>
      </c>
      <c r="I103" s="7">
        <f t="shared" si="8"/>
        <v>0</v>
      </c>
      <c r="J103" s="218"/>
      <c r="K103" s="29"/>
    </row>
    <row r="104" spans="1:11" x14ac:dyDescent="0.25">
      <c r="A104" s="86" t="s">
        <v>360</v>
      </c>
      <c r="B104" s="226">
        <v>1519375</v>
      </c>
      <c r="C104" s="226">
        <v>1519375</v>
      </c>
      <c r="D104" s="83">
        <f t="shared" si="7"/>
        <v>1519375</v>
      </c>
      <c r="F104" s="25" t="s">
        <v>74</v>
      </c>
      <c r="G104" s="13">
        <f>'Allocation Factors'!$G$21</f>
        <v>3.54809369866841E-2</v>
      </c>
      <c r="I104" s="7">
        <f t="shared" si="8"/>
        <v>53908.848634143156</v>
      </c>
      <c r="J104" s="218"/>
      <c r="K104" s="29"/>
    </row>
    <row r="105" spans="1:11" x14ac:dyDescent="0.25">
      <c r="A105" s="86" t="s">
        <v>1011</v>
      </c>
      <c r="B105" s="226">
        <v>5867791</v>
      </c>
      <c r="C105" s="226">
        <v>5995128.7800000003</v>
      </c>
      <c r="D105" s="83">
        <f t="shared" si="7"/>
        <v>5931460</v>
      </c>
      <c r="F105" s="25" t="s">
        <v>74</v>
      </c>
      <c r="G105" s="13">
        <f>'Allocation Factors'!$G$21</f>
        <v>3.54809369866841E-2</v>
      </c>
      <c r="I105" s="7">
        <f t="shared" si="8"/>
        <v>210453.75849903727</v>
      </c>
      <c r="J105" s="218"/>
      <c r="K105" s="29"/>
    </row>
    <row r="106" spans="1:11" x14ac:dyDescent="0.25">
      <c r="A106" s="86"/>
      <c r="B106" s="221"/>
      <c r="C106" s="26"/>
      <c r="D106" s="176"/>
      <c r="G106" s="13"/>
      <c r="I106" s="7"/>
      <c r="J106" s="218"/>
      <c r="K106" s="29"/>
    </row>
    <row r="107" spans="1:11" x14ac:dyDescent="0.25">
      <c r="A107" s="205" t="s">
        <v>974</v>
      </c>
      <c r="B107" s="114">
        <f>SUM(B10:B105)</f>
        <v>508656956.99999994</v>
      </c>
      <c r="C107" s="114">
        <f>SUM(C10:C105)</f>
        <v>550145243.00000012</v>
      </c>
      <c r="D107" s="18">
        <f t="shared" ref="D107" si="10">ROUND((C107+B107)/2,0)</f>
        <v>529401100</v>
      </c>
      <c r="E107" s="42"/>
      <c r="F107" s="42"/>
      <c r="G107" s="42"/>
      <c r="H107" s="42"/>
      <c r="I107" s="114">
        <f>SUM(I10:I105)</f>
        <v>23638056.812311705</v>
      </c>
      <c r="J107" s="218"/>
    </row>
    <row r="109" spans="1:11" x14ac:dyDescent="0.25">
      <c r="C109" s="29"/>
      <c r="D109" s="29"/>
    </row>
    <row r="110" spans="1:11" x14ac:dyDescent="0.25">
      <c r="D110" s="29"/>
    </row>
    <row r="111" spans="1:11" x14ac:dyDescent="0.25">
      <c r="D111" s="29"/>
    </row>
    <row r="112" spans="1:11" x14ac:dyDescent="0.25">
      <c r="D112" s="29"/>
    </row>
    <row r="113" spans="2:4" x14ac:dyDescent="0.25">
      <c r="D113" s="29"/>
    </row>
    <row r="114" spans="2:4" x14ac:dyDescent="0.25">
      <c r="D114" s="29"/>
    </row>
    <row r="115" spans="2:4" x14ac:dyDescent="0.25">
      <c r="D115" s="29"/>
    </row>
    <row r="116" spans="2:4" x14ac:dyDescent="0.25">
      <c r="B116" s="193"/>
      <c r="D116" s="29"/>
    </row>
    <row r="117" spans="2:4" x14ac:dyDescent="0.25">
      <c r="B117" s="194"/>
      <c r="D117" s="43"/>
    </row>
    <row r="118" spans="2:4" x14ac:dyDescent="0.25">
      <c r="B118" s="193"/>
    </row>
    <row r="119" spans="2:4" x14ac:dyDescent="0.25">
      <c r="B119" s="194"/>
    </row>
    <row r="120" spans="2:4" x14ac:dyDescent="0.25">
      <c r="B120" s="194"/>
    </row>
    <row r="121" spans="2:4" x14ac:dyDescent="0.25">
      <c r="B121" s="194"/>
    </row>
  </sheetData>
  <sortState ref="A10:G186">
    <sortCondition ref="A10"/>
  </sortState>
  <customSheetViews>
    <customSheetView guid="{589A2A1C-99B3-4A22-A52E-EECEEAD60ADB}" scale="80" fitToPage="1" topLeftCell="A19">
      <selection activeCell="C29" sqref="C29"/>
      <pageMargins left="0.7" right="0.7" top="0.75" bottom="0.75" header="0.3" footer="0.3"/>
      <pageSetup scale="37" orientation="portrait" r:id="rId1"/>
      <headerFooter>
        <oddFooter>&amp;L&amp;Z&amp;F</oddFooter>
      </headerFooter>
    </customSheetView>
    <customSheetView guid="{C0F5889E-F852-4CB9-B477-759ADBCFF6D5}" scale="80" fitToPage="1" topLeftCell="A64">
      <selection activeCell="B10" sqref="B10:B99"/>
      <pageMargins left="0.7" right="0.7" top="0.75" bottom="0.75" header="0.3" footer="0.3"/>
      <pageSetup scale="37" orientation="portrait" r:id="rId2"/>
      <headerFooter>
        <oddFooter>&amp;L&amp;Z&amp;F</oddFooter>
      </headerFooter>
    </customSheetView>
  </customSheetViews>
  <mergeCells count="6">
    <mergeCell ref="F8:G8"/>
    <mergeCell ref="F9:G9"/>
    <mergeCell ref="A1:H1"/>
    <mergeCell ref="A2:H2"/>
    <mergeCell ref="A3:H3"/>
    <mergeCell ref="A4:H4"/>
  </mergeCells>
  <pageMargins left="0.7" right="0.7" top="0.75" bottom="0.75" header="0.3" footer="0.3"/>
  <pageSetup scale="37" orientation="portrait" r:id="rId3"/>
  <headerFooter>
    <oddFooter>&amp;L&amp;Z&amp;F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3"/>
  <sheetViews>
    <sheetView zoomScale="80" zoomScaleNormal="80" workbookViewId="0">
      <selection sqref="A1:G1"/>
    </sheetView>
  </sheetViews>
  <sheetFormatPr defaultColWidth="15.7109375" defaultRowHeight="15" x14ac:dyDescent="0.25"/>
  <cols>
    <col min="1" max="1" width="74.85546875" style="25" customWidth="1"/>
    <col min="2" max="2" width="7" style="25" customWidth="1"/>
    <col min="3" max="3" width="16.28515625" style="25" bestFit="1" customWidth="1"/>
    <col min="4" max="4" width="1.7109375" style="25" customWidth="1"/>
    <col min="5" max="5" width="13.85546875" style="25" customWidth="1"/>
    <col min="6" max="6" width="13.28515625" style="25" customWidth="1"/>
    <col min="7" max="7" width="1.7109375" style="25" customWidth="1"/>
    <col min="8" max="8" width="17.140625" style="25" customWidth="1"/>
    <col min="9" max="9" width="13" style="5" customWidth="1"/>
    <col min="10" max="10" width="18.7109375" style="25" customWidth="1"/>
    <col min="11" max="11" width="20.5703125" style="25" customWidth="1"/>
    <col min="12" max="16384" width="15.7109375" style="25"/>
  </cols>
  <sheetData>
    <row r="1" spans="1:10" x14ac:dyDescent="0.25">
      <c r="A1" s="331" t="s">
        <v>0</v>
      </c>
      <c r="B1" s="331"/>
      <c r="C1" s="331"/>
      <c r="D1" s="331"/>
      <c r="E1" s="331"/>
      <c r="F1" s="331"/>
      <c r="G1" s="331"/>
      <c r="H1" s="197" t="s">
        <v>706</v>
      </c>
    </row>
    <row r="2" spans="1:10" x14ac:dyDescent="0.25">
      <c r="A2" s="331" t="s">
        <v>117</v>
      </c>
      <c r="B2" s="331"/>
      <c r="C2" s="331"/>
      <c r="D2" s="331"/>
      <c r="E2" s="331"/>
      <c r="F2" s="331"/>
      <c r="G2" s="331"/>
      <c r="H2" s="197" t="s">
        <v>397</v>
      </c>
    </row>
    <row r="3" spans="1:10" x14ac:dyDescent="0.25">
      <c r="A3" s="331" t="str">
        <f>+Summary!A3</f>
        <v>Utilizing Historic Cost Data for (2017) with Year-End Average Balances</v>
      </c>
      <c r="B3" s="331"/>
      <c r="C3" s="331"/>
      <c r="D3" s="331"/>
      <c r="E3" s="331"/>
      <c r="F3" s="331"/>
      <c r="G3" s="331"/>
      <c r="H3" s="268"/>
    </row>
    <row r="4" spans="1:10" x14ac:dyDescent="0.25">
      <c r="A4" s="331" t="s">
        <v>398</v>
      </c>
      <c r="B4" s="331"/>
      <c r="C4" s="331"/>
      <c r="D4" s="331"/>
      <c r="E4" s="331"/>
      <c r="F4" s="331"/>
      <c r="G4" s="331"/>
      <c r="H4" s="255"/>
    </row>
    <row r="5" spans="1:10" x14ac:dyDescent="0.25">
      <c r="A5" s="330"/>
      <c r="B5" s="330"/>
      <c r="C5" s="330"/>
      <c r="D5" s="330"/>
      <c r="E5" s="330"/>
      <c r="F5" s="330"/>
      <c r="G5" s="330"/>
      <c r="H5" s="330"/>
    </row>
    <row r="7" spans="1:10" x14ac:dyDescent="0.25">
      <c r="C7" s="275" t="s">
        <v>131</v>
      </c>
      <c r="D7" s="60"/>
      <c r="E7" s="60"/>
      <c r="F7" s="60"/>
      <c r="G7" s="60"/>
      <c r="H7" s="60"/>
    </row>
    <row r="8" spans="1:10" x14ac:dyDescent="0.25">
      <c r="C8" s="302">
        <v>43100</v>
      </c>
      <c r="D8" s="60"/>
      <c r="E8" s="331" t="s">
        <v>129</v>
      </c>
      <c r="F8" s="331"/>
      <c r="G8" s="60"/>
      <c r="H8" s="60"/>
    </row>
    <row r="9" spans="1:10" x14ac:dyDescent="0.25">
      <c r="A9" s="69" t="s">
        <v>343</v>
      </c>
      <c r="B9" s="44"/>
      <c r="C9" s="293" t="s">
        <v>132</v>
      </c>
      <c r="D9" s="60"/>
      <c r="E9" s="332" t="s">
        <v>130</v>
      </c>
      <c r="F9" s="332"/>
      <c r="G9" s="60"/>
      <c r="H9" s="199" t="s">
        <v>128</v>
      </c>
    </row>
    <row r="10" spans="1:10" x14ac:dyDescent="0.25">
      <c r="A10" s="71" t="s">
        <v>431</v>
      </c>
      <c r="B10" s="71"/>
      <c r="C10" s="238">
        <f>52622957-SUM(C11:C115)</f>
        <v>48871237.920000002</v>
      </c>
      <c r="E10" s="25" t="s">
        <v>140</v>
      </c>
      <c r="F10" s="237">
        <v>0</v>
      </c>
      <c r="H10" s="7">
        <f t="shared" ref="H10:H65" si="0">$C10*F10</f>
        <v>0</v>
      </c>
      <c r="J10" s="13"/>
    </row>
    <row r="11" spans="1:10" x14ac:dyDescent="0.25">
      <c r="A11" s="86" t="s">
        <v>345</v>
      </c>
      <c r="B11" s="71"/>
      <c r="C11" s="236">
        <v>0</v>
      </c>
      <c r="E11" s="25" t="s">
        <v>74</v>
      </c>
      <c r="F11" s="13">
        <f>+'Allocation Factors'!$G$21</f>
        <v>3.54809369866841E-2</v>
      </c>
      <c r="H11" s="7">
        <f t="shared" si="0"/>
        <v>0</v>
      </c>
      <c r="J11" s="13"/>
    </row>
    <row r="12" spans="1:10" x14ac:dyDescent="0.25">
      <c r="A12" s="71" t="s">
        <v>361</v>
      </c>
      <c r="B12" s="71"/>
      <c r="C12" s="236">
        <v>0</v>
      </c>
      <c r="E12" s="25" t="s">
        <v>74</v>
      </c>
      <c r="F12" s="13">
        <f>+'Allocation Factors'!$G$21</f>
        <v>3.54809369866841E-2</v>
      </c>
      <c r="H12" s="7">
        <f t="shared" si="0"/>
        <v>0</v>
      </c>
      <c r="J12" s="13"/>
    </row>
    <row r="13" spans="1:10" x14ac:dyDescent="0.25">
      <c r="A13" s="71" t="s">
        <v>1117</v>
      </c>
      <c r="B13" s="71"/>
      <c r="C13" s="236">
        <v>0</v>
      </c>
      <c r="E13" s="25" t="s">
        <v>73</v>
      </c>
      <c r="F13" s="13">
        <f>+'Allocation Factors'!$G$13</f>
        <v>0.91713571027193685</v>
      </c>
      <c r="H13" s="7">
        <f t="shared" si="0"/>
        <v>0</v>
      </c>
      <c r="J13" s="13"/>
    </row>
    <row r="14" spans="1:10" x14ac:dyDescent="0.25">
      <c r="A14" s="71" t="s">
        <v>1058</v>
      </c>
      <c r="B14" s="71"/>
      <c r="C14" s="236">
        <v>0</v>
      </c>
      <c r="E14" s="25" t="s">
        <v>73</v>
      </c>
      <c r="F14" s="13">
        <f>+'Allocation Factors'!$G$13</f>
        <v>0.91713571027193685</v>
      </c>
      <c r="H14" s="7">
        <f t="shared" si="0"/>
        <v>0</v>
      </c>
      <c r="J14" s="13"/>
    </row>
    <row r="15" spans="1:10" x14ac:dyDescent="0.25">
      <c r="A15" s="71" t="s">
        <v>1113</v>
      </c>
      <c r="B15" s="71"/>
      <c r="C15" s="236">
        <v>0</v>
      </c>
      <c r="E15" s="25" t="s">
        <v>140</v>
      </c>
      <c r="F15" s="237">
        <v>0</v>
      </c>
      <c r="H15" s="7">
        <f t="shared" si="0"/>
        <v>0</v>
      </c>
      <c r="J15" s="13"/>
    </row>
    <row r="16" spans="1:10" x14ac:dyDescent="0.25">
      <c r="A16" s="71" t="s">
        <v>1118</v>
      </c>
      <c r="B16" s="71"/>
      <c r="C16" s="236">
        <v>0</v>
      </c>
      <c r="E16" s="25" t="s">
        <v>140</v>
      </c>
      <c r="F16" s="237">
        <v>0</v>
      </c>
      <c r="H16" s="7">
        <f t="shared" si="0"/>
        <v>0</v>
      </c>
      <c r="J16" s="13"/>
    </row>
    <row r="17" spans="1:10" x14ac:dyDescent="0.25">
      <c r="A17" s="71" t="s">
        <v>369</v>
      </c>
      <c r="B17" s="71"/>
      <c r="C17" s="236">
        <v>0</v>
      </c>
      <c r="E17" s="25" t="s">
        <v>74</v>
      </c>
      <c r="F17" s="13">
        <f>+'Allocation Factors'!$G$21</f>
        <v>3.54809369866841E-2</v>
      </c>
      <c r="H17" s="7">
        <f t="shared" si="0"/>
        <v>0</v>
      </c>
      <c r="J17" s="13"/>
    </row>
    <row r="18" spans="1:10" x14ac:dyDescent="0.25">
      <c r="A18" s="71" t="s">
        <v>1172</v>
      </c>
      <c r="B18" s="71"/>
      <c r="C18" s="236">
        <f>138244.42-636.63-289.8</f>
        <v>137317.99000000002</v>
      </c>
      <c r="E18" s="25" t="s">
        <v>140</v>
      </c>
      <c r="F18" s="237">
        <v>0</v>
      </c>
      <c r="H18" s="7">
        <f t="shared" si="0"/>
        <v>0</v>
      </c>
      <c r="J18" s="13"/>
    </row>
    <row r="19" spans="1:10" x14ac:dyDescent="0.25">
      <c r="A19" s="71" t="s">
        <v>1114</v>
      </c>
      <c r="B19" s="71"/>
      <c r="C19" s="236">
        <v>0</v>
      </c>
      <c r="E19" s="25" t="s">
        <v>140</v>
      </c>
      <c r="F19" s="237">
        <v>0</v>
      </c>
      <c r="H19" s="7">
        <f>$C19*F19</f>
        <v>0</v>
      </c>
      <c r="J19" s="13"/>
    </row>
    <row r="20" spans="1:10" x14ac:dyDescent="0.25">
      <c r="A20" s="71" t="s">
        <v>353</v>
      </c>
      <c r="B20" s="71"/>
      <c r="C20" s="236">
        <v>0</v>
      </c>
      <c r="E20" s="25" t="s">
        <v>73</v>
      </c>
      <c r="F20" s="13">
        <f>+'Allocation Factors'!$G$13</f>
        <v>0.91713571027193685</v>
      </c>
      <c r="H20" s="7">
        <f t="shared" si="0"/>
        <v>0</v>
      </c>
      <c r="J20" s="13"/>
    </row>
    <row r="21" spans="1:10" x14ac:dyDescent="0.25">
      <c r="A21" s="71" t="s">
        <v>362</v>
      </c>
      <c r="B21" s="71"/>
      <c r="C21" s="236">
        <v>0</v>
      </c>
      <c r="E21" s="25" t="s">
        <v>74</v>
      </c>
      <c r="F21" s="13">
        <f>+'Allocation Factors'!$G$21</f>
        <v>3.54809369866841E-2</v>
      </c>
      <c r="H21" s="7">
        <f t="shared" si="0"/>
        <v>0</v>
      </c>
      <c r="J21" s="13"/>
    </row>
    <row r="22" spans="1:10" x14ac:dyDescent="0.25">
      <c r="A22" s="71" t="s">
        <v>347</v>
      </c>
      <c r="B22" s="71"/>
      <c r="C22" s="236">
        <v>0</v>
      </c>
      <c r="E22" s="25" t="s">
        <v>74</v>
      </c>
      <c r="F22" s="13">
        <f>+'Allocation Factors'!$G$21</f>
        <v>3.54809369866841E-2</v>
      </c>
      <c r="H22" s="7">
        <f t="shared" si="0"/>
        <v>0</v>
      </c>
      <c r="J22" s="13"/>
    </row>
    <row r="23" spans="1:10" x14ac:dyDescent="0.25">
      <c r="A23" s="71" t="s">
        <v>1030</v>
      </c>
      <c r="B23" s="71"/>
      <c r="C23" s="236">
        <v>0</v>
      </c>
      <c r="E23" s="25" t="s">
        <v>74</v>
      </c>
      <c r="F23" s="13">
        <f>+'Allocation Factors'!$G$21</f>
        <v>3.54809369866841E-2</v>
      </c>
      <c r="H23" s="7">
        <f t="shared" si="0"/>
        <v>0</v>
      </c>
      <c r="J23" s="13"/>
    </row>
    <row r="24" spans="1:10" x14ac:dyDescent="0.25">
      <c r="A24" s="71" t="s">
        <v>1049</v>
      </c>
      <c r="B24" s="71"/>
      <c r="C24" s="236">
        <v>0</v>
      </c>
      <c r="E24" s="25" t="s">
        <v>74</v>
      </c>
      <c r="F24" s="13">
        <f>+'Allocation Factors'!$G$21</f>
        <v>3.54809369866841E-2</v>
      </c>
      <c r="H24" s="7">
        <f t="shared" si="0"/>
        <v>0</v>
      </c>
      <c r="J24" s="13"/>
    </row>
    <row r="25" spans="1:10" x14ac:dyDescent="0.25">
      <c r="A25" s="71" t="s">
        <v>371</v>
      </c>
      <c r="B25" s="71"/>
      <c r="C25" s="236">
        <v>0</v>
      </c>
      <c r="E25" s="25" t="s">
        <v>74</v>
      </c>
      <c r="F25" s="13">
        <f>+'Allocation Factors'!$G$21</f>
        <v>3.54809369866841E-2</v>
      </c>
      <c r="H25" s="7">
        <f t="shared" si="0"/>
        <v>0</v>
      </c>
      <c r="J25" s="13"/>
    </row>
    <row r="26" spans="1:10" x14ac:dyDescent="0.25">
      <c r="A26" s="71" t="s">
        <v>1099</v>
      </c>
      <c r="B26" s="71"/>
      <c r="C26" s="236">
        <v>120679.24</v>
      </c>
      <c r="E26" s="25" t="s">
        <v>74</v>
      </c>
      <c r="F26" s="13">
        <f>+'Allocation Factors'!$G$21</f>
        <v>3.54809369866841E-2</v>
      </c>
      <c r="H26" s="7">
        <f t="shared" si="0"/>
        <v>4281.8125100409279</v>
      </c>
      <c r="J26" s="13"/>
    </row>
    <row r="27" spans="1:10" x14ac:dyDescent="0.25">
      <c r="A27" s="71" t="s">
        <v>1119</v>
      </c>
      <c r="B27" s="71"/>
      <c r="C27" s="236">
        <v>34208</v>
      </c>
      <c r="E27" s="25" t="s">
        <v>140</v>
      </c>
      <c r="F27" s="237">
        <v>0</v>
      </c>
      <c r="G27" s="26"/>
      <c r="H27" s="7">
        <f t="shared" si="0"/>
        <v>0</v>
      </c>
      <c r="J27" s="13"/>
    </row>
    <row r="28" spans="1:10" x14ac:dyDescent="0.25">
      <c r="A28" s="71" t="s">
        <v>1242</v>
      </c>
      <c r="B28" s="71"/>
      <c r="C28" s="236">
        <v>432009</v>
      </c>
      <c r="E28" s="25" t="s">
        <v>74</v>
      </c>
      <c r="F28" s="13">
        <f>+'Allocation Factors'!$G$21</f>
        <v>3.54809369866841E-2</v>
      </c>
      <c r="G28" s="26"/>
      <c r="H28" s="7">
        <f t="shared" si="0"/>
        <v>15328.084106680411</v>
      </c>
      <c r="I28" s="259"/>
      <c r="J28" s="13"/>
    </row>
    <row r="29" spans="1:10" x14ac:dyDescent="0.25">
      <c r="A29" s="71" t="s">
        <v>1001</v>
      </c>
      <c r="B29" s="71"/>
      <c r="C29" s="236">
        <v>0</v>
      </c>
      <c r="E29" s="25" t="s">
        <v>73</v>
      </c>
      <c r="F29" s="13">
        <f>+'Allocation Factors'!$G$13</f>
        <v>0.91713571027193685</v>
      </c>
      <c r="G29" s="26"/>
      <c r="H29" s="7">
        <f t="shared" ref="H29" si="1">$C29*F29</f>
        <v>0</v>
      </c>
      <c r="J29" s="13"/>
    </row>
    <row r="30" spans="1:10" x14ac:dyDescent="0.25">
      <c r="A30" s="71" t="s">
        <v>1001</v>
      </c>
      <c r="B30" s="71"/>
      <c r="C30" s="236">
        <v>0</v>
      </c>
      <c r="E30" s="25" t="s">
        <v>73</v>
      </c>
      <c r="F30" s="13">
        <f>+'Allocation Factors'!$G$13</f>
        <v>0.91713571027193685</v>
      </c>
      <c r="G30" s="26"/>
      <c r="H30" s="7">
        <f t="shared" ref="H30:H31" si="2">$C30*F30</f>
        <v>0</v>
      </c>
      <c r="J30" s="13"/>
    </row>
    <row r="31" spans="1:10" x14ac:dyDescent="0.25">
      <c r="A31" s="71" t="s">
        <v>1351</v>
      </c>
      <c r="B31" s="71"/>
      <c r="C31" s="236">
        <v>1044369</v>
      </c>
      <c r="E31" s="25" t="s">
        <v>74</v>
      </c>
      <c r="F31" s="13">
        <f>+'Allocation Factors'!$G$21</f>
        <v>3.54809369866841E-2</v>
      </c>
      <c r="G31" s="26"/>
      <c r="H31" s="7">
        <f t="shared" si="2"/>
        <v>37055.190679846288</v>
      </c>
      <c r="J31" s="13"/>
    </row>
    <row r="32" spans="1:10" x14ac:dyDescent="0.25">
      <c r="A32" s="71" t="s">
        <v>1133</v>
      </c>
      <c r="B32" s="71"/>
      <c r="C32" s="236">
        <v>115544</v>
      </c>
      <c r="E32" s="25" t="s">
        <v>73</v>
      </c>
      <c r="F32" s="13">
        <f>+'Allocation Factors'!$G$13</f>
        <v>0.91713571027193685</v>
      </c>
      <c r="H32" s="7">
        <f t="shared" si="0"/>
        <v>105969.52850766067</v>
      </c>
      <c r="J32" s="13"/>
    </row>
    <row r="33" spans="1:10" x14ac:dyDescent="0.25">
      <c r="A33" s="71" t="s">
        <v>1168</v>
      </c>
      <c r="B33" s="71"/>
      <c r="C33" s="236">
        <v>0</v>
      </c>
      <c r="E33" s="25" t="s">
        <v>74</v>
      </c>
      <c r="F33" s="13">
        <f>+'Allocation Factors'!$G$21</f>
        <v>3.54809369866841E-2</v>
      </c>
      <c r="H33" s="7">
        <f t="shared" si="0"/>
        <v>0</v>
      </c>
      <c r="J33" s="13"/>
    </row>
    <row r="34" spans="1:10" x14ac:dyDescent="0.25">
      <c r="A34" s="71" t="s">
        <v>399</v>
      </c>
      <c r="B34" s="71"/>
      <c r="C34" s="236">
        <v>0</v>
      </c>
      <c r="E34" s="25" t="s">
        <v>74</v>
      </c>
      <c r="F34" s="13">
        <f>+'Allocation Factors'!$G$21</f>
        <v>3.54809369866841E-2</v>
      </c>
      <c r="G34" s="26"/>
      <c r="H34" s="7">
        <f t="shared" si="0"/>
        <v>0</v>
      </c>
      <c r="J34" s="13"/>
    </row>
    <row r="35" spans="1:10" x14ac:dyDescent="0.25">
      <c r="A35" s="71" t="s">
        <v>1180</v>
      </c>
      <c r="B35" s="71"/>
      <c r="C35" s="236">
        <v>0</v>
      </c>
      <c r="E35" s="25" t="s">
        <v>140</v>
      </c>
      <c r="F35" s="237">
        <v>0</v>
      </c>
      <c r="G35" s="26"/>
      <c r="H35" s="7">
        <f t="shared" si="0"/>
        <v>0</v>
      </c>
      <c r="J35" s="13"/>
    </row>
    <row r="36" spans="1:10" x14ac:dyDescent="0.25">
      <c r="A36" s="71" t="s">
        <v>1257</v>
      </c>
      <c r="B36" s="71"/>
      <c r="C36" s="236">
        <v>0</v>
      </c>
      <c r="E36" s="25" t="s">
        <v>140</v>
      </c>
      <c r="F36" s="237">
        <v>0</v>
      </c>
      <c r="G36" s="26"/>
      <c r="H36" s="7">
        <f t="shared" si="0"/>
        <v>0</v>
      </c>
      <c r="J36" s="13"/>
    </row>
    <row r="37" spans="1:10" x14ac:dyDescent="0.25">
      <c r="A37" s="71" t="s">
        <v>1180</v>
      </c>
      <c r="B37" s="71"/>
      <c r="C37" s="236">
        <v>0</v>
      </c>
      <c r="E37" s="25" t="s">
        <v>140</v>
      </c>
      <c r="F37" s="237">
        <v>0</v>
      </c>
      <c r="G37" s="26"/>
      <c r="H37" s="7">
        <f t="shared" si="0"/>
        <v>0</v>
      </c>
      <c r="J37" s="13"/>
    </row>
    <row r="38" spans="1:10" x14ac:dyDescent="0.25">
      <c r="A38" s="71" t="s">
        <v>1180</v>
      </c>
      <c r="B38" s="71"/>
      <c r="C38" s="236">
        <v>0</v>
      </c>
      <c r="E38" s="25" t="s">
        <v>140</v>
      </c>
      <c r="F38" s="237">
        <v>0</v>
      </c>
      <c r="G38" s="26"/>
      <c r="H38" s="7">
        <f t="shared" si="0"/>
        <v>0</v>
      </c>
      <c r="J38" s="13"/>
    </row>
    <row r="39" spans="1:10" x14ac:dyDescent="0.25">
      <c r="A39" s="71" t="s">
        <v>1180</v>
      </c>
      <c r="B39" s="71"/>
      <c r="C39" s="236">
        <v>0</v>
      </c>
      <c r="E39" s="25" t="s">
        <v>140</v>
      </c>
      <c r="F39" s="237">
        <v>0</v>
      </c>
      <c r="G39" s="26"/>
      <c r="H39" s="7">
        <f t="shared" si="0"/>
        <v>0</v>
      </c>
      <c r="J39" s="13"/>
    </row>
    <row r="40" spans="1:10" x14ac:dyDescent="0.25">
      <c r="A40" s="71" t="s">
        <v>1181</v>
      </c>
      <c r="B40" s="71"/>
      <c r="C40" s="236">
        <v>0</v>
      </c>
      <c r="E40" s="25" t="s">
        <v>140</v>
      </c>
      <c r="F40" s="237">
        <v>0</v>
      </c>
      <c r="G40" s="26"/>
      <c r="H40" s="7">
        <f t="shared" si="0"/>
        <v>0</v>
      </c>
      <c r="J40" s="13"/>
    </row>
    <row r="41" spans="1:10" x14ac:dyDescent="0.25">
      <c r="A41" s="71" t="s">
        <v>1181</v>
      </c>
      <c r="B41" s="71"/>
      <c r="C41" s="236">
        <v>0</v>
      </c>
      <c r="E41" s="25" t="s">
        <v>140</v>
      </c>
      <c r="F41" s="237">
        <v>0</v>
      </c>
      <c r="G41" s="26"/>
      <c r="H41" s="7">
        <f t="shared" si="0"/>
        <v>0</v>
      </c>
      <c r="J41" s="13"/>
    </row>
    <row r="42" spans="1:10" x14ac:dyDescent="0.25">
      <c r="A42" s="71" t="s">
        <v>1181</v>
      </c>
      <c r="B42" s="71"/>
      <c r="C42" s="236">
        <v>0</v>
      </c>
      <c r="E42" s="25" t="s">
        <v>140</v>
      </c>
      <c r="F42" s="237">
        <v>0</v>
      </c>
      <c r="G42" s="26"/>
      <c r="H42" s="7">
        <f t="shared" si="0"/>
        <v>0</v>
      </c>
      <c r="J42" s="13"/>
    </row>
    <row r="43" spans="1:10" x14ac:dyDescent="0.25">
      <c r="A43" s="71" t="s">
        <v>1182</v>
      </c>
      <c r="B43" s="71"/>
      <c r="C43" s="236">
        <v>52683</v>
      </c>
      <c r="E43" s="25" t="s">
        <v>140</v>
      </c>
      <c r="F43" s="237">
        <v>0</v>
      </c>
      <c r="G43" s="26"/>
      <c r="H43" s="7">
        <f t="shared" si="0"/>
        <v>0</v>
      </c>
      <c r="J43" s="13"/>
    </row>
    <row r="44" spans="1:10" x14ac:dyDescent="0.25">
      <c r="A44" s="71" t="s">
        <v>1183</v>
      </c>
      <c r="B44" s="71"/>
      <c r="C44" s="236">
        <v>0</v>
      </c>
      <c r="E44" s="25" t="s">
        <v>140</v>
      </c>
      <c r="F44" s="237">
        <v>0</v>
      </c>
      <c r="G44" s="26"/>
      <c r="H44" s="7">
        <f t="shared" si="0"/>
        <v>0</v>
      </c>
      <c r="J44" s="13"/>
    </row>
    <row r="45" spans="1:10" x14ac:dyDescent="0.25">
      <c r="A45" s="71" t="s">
        <v>1183</v>
      </c>
      <c r="B45" s="71"/>
      <c r="C45" s="236">
        <v>0</v>
      </c>
      <c r="E45" s="25" t="s">
        <v>140</v>
      </c>
      <c r="F45" s="237">
        <v>0</v>
      </c>
      <c r="G45" s="26"/>
      <c r="H45" s="7">
        <f t="shared" si="0"/>
        <v>0</v>
      </c>
      <c r="J45" s="13"/>
    </row>
    <row r="46" spans="1:10" x14ac:dyDescent="0.25">
      <c r="A46" s="71" t="s">
        <v>1183</v>
      </c>
      <c r="B46" s="71"/>
      <c r="C46" s="236">
        <v>0</v>
      </c>
      <c r="E46" s="25" t="s">
        <v>140</v>
      </c>
      <c r="F46" s="237">
        <v>0</v>
      </c>
      <c r="G46" s="26"/>
      <c r="H46" s="7">
        <f t="shared" si="0"/>
        <v>0</v>
      </c>
      <c r="J46" s="13"/>
    </row>
    <row r="47" spans="1:10" x14ac:dyDescent="0.25">
      <c r="A47" s="71" t="s">
        <v>1183</v>
      </c>
      <c r="B47" s="71"/>
      <c r="C47" s="236">
        <v>0</v>
      </c>
      <c r="E47" s="25" t="s">
        <v>140</v>
      </c>
      <c r="F47" s="237">
        <v>0</v>
      </c>
      <c r="G47" s="26"/>
      <c r="H47" s="7">
        <f t="shared" si="0"/>
        <v>0</v>
      </c>
      <c r="J47" s="13"/>
    </row>
    <row r="48" spans="1:10" x14ac:dyDescent="0.25">
      <c r="A48" s="71" t="s">
        <v>358</v>
      </c>
      <c r="B48" s="71"/>
      <c r="C48" s="236">
        <v>0</v>
      </c>
      <c r="E48" s="25" t="s">
        <v>74</v>
      </c>
      <c r="F48" s="13">
        <f>+'Allocation Factors'!$G$21</f>
        <v>3.54809369866841E-2</v>
      </c>
      <c r="G48" s="26"/>
      <c r="H48" s="7">
        <f t="shared" si="0"/>
        <v>0</v>
      </c>
      <c r="J48" s="13"/>
    </row>
    <row r="49" spans="1:10" x14ac:dyDescent="0.25">
      <c r="A49" s="71" t="s">
        <v>346</v>
      </c>
      <c r="B49" s="71"/>
      <c r="C49" s="236">
        <v>0</v>
      </c>
      <c r="E49" s="25" t="s">
        <v>74</v>
      </c>
      <c r="F49" s="13">
        <f>+'Allocation Factors'!$G$21</f>
        <v>3.54809369866841E-2</v>
      </c>
      <c r="G49" s="26"/>
      <c r="H49" s="7">
        <f t="shared" si="0"/>
        <v>0</v>
      </c>
      <c r="J49" s="13"/>
    </row>
    <row r="50" spans="1:10" x14ac:dyDescent="0.25">
      <c r="A50" s="71" t="s">
        <v>364</v>
      </c>
      <c r="B50" s="71"/>
      <c r="C50" s="236">
        <v>0</v>
      </c>
      <c r="E50" s="25" t="s">
        <v>74</v>
      </c>
      <c r="F50" s="13">
        <f>+'Allocation Factors'!$G$21</f>
        <v>3.54809369866841E-2</v>
      </c>
      <c r="G50" s="26"/>
      <c r="H50" s="7">
        <f t="shared" si="0"/>
        <v>0</v>
      </c>
      <c r="J50" s="13"/>
    </row>
    <row r="51" spans="1:10" x14ac:dyDescent="0.25">
      <c r="A51" s="71" t="s">
        <v>359</v>
      </c>
      <c r="B51" s="71"/>
      <c r="C51" s="236">
        <v>0</v>
      </c>
      <c r="E51" s="25" t="s">
        <v>74</v>
      </c>
      <c r="F51" s="13">
        <f>+'Allocation Factors'!$G$21</f>
        <v>3.54809369866841E-2</v>
      </c>
      <c r="G51" s="26"/>
      <c r="H51" s="7">
        <f t="shared" si="0"/>
        <v>0</v>
      </c>
      <c r="J51" s="13"/>
    </row>
    <row r="52" spans="1:10" x14ac:dyDescent="0.25">
      <c r="A52" s="71" t="s">
        <v>357</v>
      </c>
      <c r="B52" s="71"/>
      <c r="C52" s="236">
        <v>0</v>
      </c>
      <c r="E52" s="25" t="s">
        <v>74</v>
      </c>
      <c r="F52" s="13">
        <f>+'Allocation Factors'!$G$21</f>
        <v>3.54809369866841E-2</v>
      </c>
      <c r="G52" s="26"/>
      <c r="H52" s="7">
        <f t="shared" si="0"/>
        <v>0</v>
      </c>
      <c r="J52" s="13"/>
    </row>
    <row r="53" spans="1:10" x14ac:dyDescent="0.25">
      <c r="A53" s="71" t="s">
        <v>367</v>
      </c>
      <c r="B53" s="71"/>
      <c r="C53" s="236">
        <v>0</v>
      </c>
      <c r="E53" s="25" t="s">
        <v>74</v>
      </c>
      <c r="F53" s="13">
        <f>+'Allocation Factors'!$G$21</f>
        <v>3.54809369866841E-2</v>
      </c>
      <c r="G53" s="26"/>
      <c r="H53" s="7">
        <f t="shared" si="0"/>
        <v>0</v>
      </c>
      <c r="J53" s="13"/>
    </row>
    <row r="54" spans="1:10" x14ac:dyDescent="0.25">
      <c r="A54" s="71" t="s">
        <v>1007</v>
      </c>
      <c r="B54" s="71"/>
      <c r="C54" s="236">
        <v>0</v>
      </c>
      <c r="E54" s="25" t="s">
        <v>73</v>
      </c>
      <c r="F54" s="13">
        <f>+'Allocation Factors'!$G$13</f>
        <v>0.91713571027193685</v>
      </c>
      <c r="G54" s="26"/>
      <c r="H54" s="7">
        <f t="shared" si="0"/>
        <v>0</v>
      </c>
      <c r="J54" s="13"/>
    </row>
    <row r="55" spans="1:10" x14ac:dyDescent="0.25">
      <c r="A55" s="71" t="s">
        <v>1110</v>
      </c>
      <c r="B55" s="71"/>
      <c r="C55" s="236">
        <v>0</v>
      </c>
      <c r="E55" s="25" t="s">
        <v>73</v>
      </c>
      <c r="F55" s="13">
        <f>+'Allocation Factors'!$G$13</f>
        <v>0.91713571027193685</v>
      </c>
      <c r="G55" s="26"/>
      <c r="H55" s="7">
        <f t="shared" si="0"/>
        <v>0</v>
      </c>
      <c r="J55" s="13"/>
    </row>
    <row r="56" spans="1:10" x14ac:dyDescent="0.25">
      <c r="A56" s="71" t="s">
        <v>1345</v>
      </c>
      <c r="B56" s="71"/>
      <c r="C56" s="236">
        <v>21741</v>
      </c>
      <c r="E56" s="25" t="s">
        <v>73</v>
      </c>
      <c r="F56" s="13">
        <f>+'Allocation Factors'!$G$13</f>
        <v>0.91713571027193685</v>
      </c>
      <c r="G56" s="26"/>
      <c r="H56" s="7">
        <f t="shared" si="0"/>
        <v>19939.447477022179</v>
      </c>
      <c r="J56" s="13"/>
    </row>
    <row r="57" spans="1:10" x14ac:dyDescent="0.25">
      <c r="A57" s="71" t="s">
        <v>379</v>
      </c>
      <c r="B57" s="71"/>
      <c r="C57" s="236">
        <v>60.12</v>
      </c>
      <c r="E57" s="25" t="s">
        <v>74</v>
      </c>
      <c r="F57" s="13">
        <f>+'Allocation Factors'!$G$21</f>
        <v>3.54809369866841E-2</v>
      </c>
      <c r="G57" s="26"/>
      <c r="H57" s="7">
        <f t="shared" si="0"/>
        <v>2.1331139316394481</v>
      </c>
      <c r="J57" s="13"/>
    </row>
    <row r="58" spans="1:10" x14ac:dyDescent="0.25">
      <c r="A58" s="71" t="s">
        <v>1184</v>
      </c>
      <c r="B58" s="71"/>
      <c r="C58" s="236">
        <v>0</v>
      </c>
      <c r="E58" s="25" t="s">
        <v>140</v>
      </c>
      <c r="F58" s="237">
        <v>0</v>
      </c>
      <c r="G58" s="26"/>
      <c r="H58" s="7">
        <f t="shared" si="0"/>
        <v>0</v>
      </c>
      <c r="J58" s="13"/>
    </row>
    <row r="59" spans="1:10" x14ac:dyDescent="0.25">
      <c r="A59" s="71" t="s">
        <v>1178</v>
      </c>
      <c r="B59" s="71"/>
      <c r="C59" s="236">
        <v>0</v>
      </c>
      <c r="E59" s="25" t="s">
        <v>140</v>
      </c>
      <c r="F59" s="237">
        <v>0</v>
      </c>
      <c r="G59" s="26"/>
      <c r="H59" s="7">
        <f t="shared" si="0"/>
        <v>0</v>
      </c>
      <c r="J59" s="13"/>
    </row>
    <row r="60" spans="1:10" x14ac:dyDescent="0.25">
      <c r="A60" s="71" t="s">
        <v>1054</v>
      </c>
      <c r="B60" s="71"/>
      <c r="C60" s="236">
        <v>0</v>
      </c>
      <c r="E60" s="25" t="s">
        <v>73</v>
      </c>
      <c r="F60" s="13">
        <f>+'Allocation Factors'!$G$13</f>
        <v>0.91713571027193685</v>
      </c>
      <c r="G60" s="26"/>
      <c r="H60" s="7">
        <f t="shared" si="0"/>
        <v>0</v>
      </c>
      <c r="J60" s="13"/>
    </row>
    <row r="61" spans="1:10" x14ac:dyDescent="0.25">
      <c r="A61" s="71" t="s">
        <v>1055</v>
      </c>
      <c r="B61" s="71"/>
      <c r="C61" s="236">
        <v>0</v>
      </c>
      <c r="E61" s="25" t="s">
        <v>73</v>
      </c>
      <c r="F61" s="13">
        <f>+'Allocation Factors'!$G$13</f>
        <v>0.91713571027193685</v>
      </c>
      <c r="G61" s="26"/>
      <c r="H61" s="7">
        <f t="shared" si="0"/>
        <v>0</v>
      </c>
      <c r="J61" s="13"/>
    </row>
    <row r="62" spans="1:10" x14ac:dyDescent="0.25">
      <c r="A62" s="71" t="s">
        <v>377</v>
      </c>
      <c r="B62" s="71"/>
      <c r="C62" s="236">
        <v>0</v>
      </c>
      <c r="E62" s="25" t="s">
        <v>74</v>
      </c>
      <c r="F62" s="13">
        <f>+'Allocation Factors'!$G$21</f>
        <v>3.54809369866841E-2</v>
      </c>
      <c r="G62" s="26"/>
      <c r="H62" s="7">
        <f t="shared" si="0"/>
        <v>0</v>
      </c>
      <c r="J62" s="13"/>
    </row>
    <row r="63" spans="1:10" x14ac:dyDescent="0.25">
      <c r="A63" s="71" t="s">
        <v>378</v>
      </c>
      <c r="B63" s="71"/>
      <c r="C63" s="236">
        <v>0</v>
      </c>
      <c r="E63" s="25" t="s">
        <v>74</v>
      </c>
      <c r="F63" s="13">
        <f>+'Allocation Factors'!$G$21</f>
        <v>3.54809369866841E-2</v>
      </c>
      <c r="G63" s="26"/>
      <c r="H63" s="7">
        <f t="shared" si="0"/>
        <v>0</v>
      </c>
      <c r="J63" s="13"/>
    </row>
    <row r="64" spans="1:10" x14ac:dyDescent="0.25">
      <c r="A64" s="71" t="s">
        <v>1102</v>
      </c>
      <c r="B64" s="71"/>
      <c r="C64" s="236">
        <v>0</v>
      </c>
      <c r="E64" s="25" t="s">
        <v>74</v>
      </c>
      <c r="F64" s="13">
        <f>+'Allocation Factors'!$G$21</f>
        <v>3.54809369866841E-2</v>
      </c>
      <c r="G64" s="26"/>
      <c r="H64" s="7">
        <f t="shared" si="0"/>
        <v>0</v>
      </c>
      <c r="J64" s="13"/>
    </row>
    <row r="65" spans="1:10" x14ac:dyDescent="0.25">
      <c r="A65" s="71" t="s">
        <v>1022</v>
      </c>
      <c r="B65" s="71"/>
      <c r="C65" s="236">
        <v>0</v>
      </c>
      <c r="E65" s="25" t="s">
        <v>74</v>
      </c>
      <c r="F65" s="13">
        <f>+'Allocation Factors'!$G$21</f>
        <v>3.54809369866841E-2</v>
      </c>
      <c r="G65" s="26"/>
      <c r="H65" s="7">
        <f t="shared" si="0"/>
        <v>0</v>
      </c>
      <c r="J65" s="13"/>
    </row>
    <row r="66" spans="1:10" x14ac:dyDescent="0.25">
      <c r="A66" s="71" t="s">
        <v>351</v>
      </c>
      <c r="B66" s="71"/>
      <c r="C66" s="236">
        <v>0</v>
      </c>
      <c r="E66" s="25" t="s">
        <v>73</v>
      </c>
      <c r="F66" s="13">
        <f>+'Allocation Factors'!$G$13</f>
        <v>0.91713571027193685</v>
      </c>
      <c r="G66" s="26"/>
      <c r="H66" s="7">
        <f t="shared" ref="H66:H115" si="3">$C66*F66</f>
        <v>0</v>
      </c>
      <c r="J66" s="13"/>
    </row>
    <row r="67" spans="1:10" x14ac:dyDescent="0.25">
      <c r="A67" s="71" t="s">
        <v>1346</v>
      </c>
      <c r="B67" s="71"/>
      <c r="C67" s="236">
        <v>685334</v>
      </c>
      <c r="E67" s="25" t="s">
        <v>73</v>
      </c>
      <c r="F67" s="13">
        <f>+'Allocation Factors'!$G$13</f>
        <v>0.91713571027193685</v>
      </c>
      <c r="G67" s="26"/>
      <c r="H67" s="7">
        <f t="shared" si="3"/>
        <v>628544.28486350761</v>
      </c>
      <c r="J67" s="13"/>
    </row>
    <row r="68" spans="1:10" x14ac:dyDescent="0.25">
      <c r="A68" s="86" t="s">
        <v>1120</v>
      </c>
      <c r="B68" s="71"/>
      <c r="C68" s="236">
        <v>11874</v>
      </c>
      <c r="E68" s="25" t="s">
        <v>73</v>
      </c>
      <c r="F68" s="13">
        <f>+'Allocation Factors'!$G$13</f>
        <v>0.91713571027193685</v>
      </c>
      <c r="G68" s="26"/>
      <c r="H68" s="7">
        <f t="shared" si="3"/>
        <v>10890.069423768979</v>
      </c>
      <c r="J68" s="13"/>
    </row>
    <row r="69" spans="1:10" x14ac:dyDescent="0.25">
      <c r="A69" s="71" t="s">
        <v>1312</v>
      </c>
      <c r="B69" s="71"/>
      <c r="C69" s="236">
        <v>84277.68</v>
      </c>
      <c r="E69" s="25" t="s">
        <v>73</v>
      </c>
      <c r="F69" s="13">
        <f>+'Allocation Factors'!$G$13</f>
        <v>0.91713571027193685</v>
      </c>
      <c r="G69" s="26"/>
      <c r="H69" s="7">
        <f t="shared" si="3"/>
        <v>77294.069906870995</v>
      </c>
      <c r="J69" s="13"/>
    </row>
    <row r="70" spans="1:10" x14ac:dyDescent="0.25">
      <c r="A70" s="71" t="s">
        <v>1121</v>
      </c>
      <c r="B70" s="71"/>
      <c r="C70" s="236">
        <v>0</v>
      </c>
      <c r="E70" s="25" t="s">
        <v>73</v>
      </c>
      <c r="F70" s="13">
        <f>+'Allocation Factors'!$G$13</f>
        <v>0.91713571027193685</v>
      </c>
      <c r="G70" s="26"/>
      <c r="H70" s="7">
        <f t="shared" si="3"/>
        <v>0</v>
      </c>
      <c r="J70" s="13"/>
    </row>
    <row r="71" spans="1:10" x14ac:dyDescent="0.25">
      <c r="A71" s="71" t="s">
        <v>355</v>
      </c>
      <c r="B71" s="71"/>
      <c r="C71" s="236">
        <v>0</v>
      </c>
      <c r="E71" s="25" t="s">
        <v>74</v>
      </c>
      <c r="F71" s="13">
        <f>+'Allocation Factors'!$G$21</f>
        <v>3.54809369866841E-2</v>
      </c>
      <c r="G71" s="26"/>
      <c r="H71" s="7">
        <f t="shared" si="3"/>
        <v>0</v>
      </c>
      <c r="J71" s="13"/>
    </row>
    <row r="72" spans="1:10" x14ac:dyDescent="0.25">
      <c r="A72" s="71" t="s">
        <v>355</v>
      </c>
      <c r="B72" s="71"/>
      <c r="C72" s="236">
        <v>0</v>
      </c>
      <c r="E72" s="25" t="s">
        <v>74</v>
      </c>
      <c r="F72" s="13">
        <f>+'Allocation Factors'!$G$21</f>
        <v>3.54809369866841E-2</v>
      </c>
      <c r="G72" s="26"/>
      <c r="H72" s="7">
        <f t="shared" si="3"/>
        <v>0</v>
      </c>
      <c r="J72" s="13"/>
    </row>
    <row r="73" spans="1:10" x14ac:dyDescent="0.25">
      <c r="A73" s="71" t="s">
        <v>356</v>
      </c>
      <c r="B73" s="71"/>
      <c r="C73" s="236">
        <v>0</v>
      </c>
      <c r="E73" s="25" t="s">
        <v>74</v>
      </c>
      <c r="F73" s="13">
        <f>+'Allocation Factors'!$G$21</f>
        <v>3.54809369866841E-2</v>
      </c>
      <c r="G73" s="26"/>
      <c r="H73" s="7">
        <f t="shared" si="3"/>
        <v>0</v>
      </c>
      <c r="J73" s="203"/>
    </row>
    <row r="74" spans="1:10" x14ac:dyDescent="0.25">
      <c r="A74" s="71" t="s">
        <v>368</v>
      </c>
      <c r="B74" s="71"/>
      <c r="C74" s="236">
        <v>0</v>
      </c>
      <c r="E74" s="25" t="s">
        <v>74</v>
      </c>
      <c r="F74" s="13">
        <f>+'Allocation Factors'!$G$21</f>
        <v>3.54809369866841E-2</v>
      </c>
      <c r="G74" s="26"/>
      <c r="H74" s="7">
        <f t="shared" si="3"/>
        <v>0</v>
      </c>
      <c r="J74" s="203"/>
    </row>
    <row r="75" spans="1:10" x14ac:dyDescent="0.25">
      <c r="A75" s="71" t="s">
        <v>363</v>
      </c>
      <c r="B75" s="71"/>
      <c r="C75" s="236">
        <v>0</v>
      </c>
      <c r="E75" s="25" t="s">
        <v>74</v>
      </c>
      <c r="F75" s="13">
        <f>+'Allocation Factors'!$G$21</f>
        <v>3.54809369866841E-2</v>
      </c>
      <c r="G75" s="26"/>
      <c r="H75" s="7">
        <f t="shared" si="3"/>
        <v>0</v>
      </c>
      <c r="J75" s="203"/>
    </row>
    <row r="76" spans="1:10" x14ac:dyDescent="0.25">
      <c r="A76" s="71" t="s">
        <v>366</v>
      </c>
      <c r="B76" s="71"/>
      <c r="C76" s="236">
        <v>0</v>
      </c>
      <c r="E76" s="25" t="s">
        <v>74</v>
      </c>
      <c r="F76" s="13">
        <f>+'Allocation Factors'!$G$21</f>
        <v>3.54809369866841E-2</v>
      </c>
      <c r="G76" s="26"/>
      <c r="H76" s="7">
        <f t="shared" si="3"/>
        <v>0</v>
      </c>
      <c r="J76" s="13"/>
    </row>
    <row r="77" spans="1:10" x14ac:dyDescent="0.25">
      <c r="A77" s="71" t="s">
        <v>1003</v>
      </c>
      <c r="B77" s="71"/>
      <c r="C77" s="236">
        <v>0</v>
      </c>
      <c r="E77" s="25" t="s">
        <v>74</v>
      </c>
      <c r="F77" s="13">
        <f>+'Allocation Factors'!$G$21</f>
        <v>3.54809369866841E-2</v>
      </c>
      <c r="G77" s="26"/>
      <c r="H77" s="7">
        <f t="shared" si="3"/>
        <v>0</v>
      </c>
      <c r="J77" s="13"/>
    </row>
    <row r="78" spans="1:10" x14ac:dyDescent="0.25">
      <c r="A78" s="71" t="s">
        <v>1187</v>
      </c>
      <c r="B78" s="71"/>
      <c r="C78" s="236">
        <v>71697</v>
      </c>
      <c r="E78" s="25" t="s">
        <v>405</v>
      </c>
      <c r="F78" s="13">
        <v>0</v>
      </c>
      <c r="G78" s="26"/>
      <c r="H78" s="7">
        <f t="shared" ref="H78" si="4">$C78*F78</f>
        <v>0</v>
      </c>
      <c r="J78" s="13"/>
    </row>
    <row r="79" spans="1:10" x14ac:dyDescent="0.25">
      <c r="A79" s="71" t="s">
        <v>375</v>
      </c>
      <c r="B79" s="71"/>
      <c r="C79" s="236">
        <v>0</v>
      </c>
      <c r="E79" s="25" t="s">
        <v>74</v>
      </c>
      <c r="F79" s="13">
        <f>+'Allocation Factors'!$G$21</f>
        <v>3.54809369866841E-2</v>
      </c>
      <c r="G79" s="26"/>
      <c r="H79" s="7">
        <f t="shared" si="3"/>
        <v>0</v>
      </c>
      <c r="J79" s="13"/>
    </row>
    <row r="80" spans="1:10" x14ac:dyDescent="0.25">
      <c r="A80" s="71" t="s">
        <v>376</v>
      </c>
      <c r="B80" s="71"/>
      <c r="C80" s="236">
        <v>0</v>
      </c>
      <c r="E80" s="25" t="s">
        <v>74</v>
      </c>
      <c r="F80" s="13">
        <f>+'Allocation Factors'!$G$21</f>
        <v>3.54809369866841E-2</v>
      </c>
      <c r="G80" s="26"/>
      <c r="H80" s="7">
        <f t="shared" si="3"/>
        <v>0</v>
      </c>
      <c r="J80" s="13"/>
    </row>
    <row r="81" spans="1:10" x14ac:dyDescent="0.25">
      <c r="A81" s="71" t="s">
        <v>372</v>
      </c>
      <c r="B81" s="71"/>
      <c r="C81" s="236">
        <v>0</v>
      </c>
      <c r="E81" s="25" t="s">
        <v>74</v>
      </c>
      <c r="F81" s="13">
        <f>+'Allocation Factors'!$G$21</f>
        <v>3.54809369866841E-2</v>
      </c>
      <c r="G81" s="26"/>
      <c r="H81" s="7">
        <f t="shared" si="3"/>
        <v>0</v>
      </c>
      <c r="J81" s="13"/>
    </row>
    <row r="82" spans="1:10" x14ac:dyDescent="0.25">
      <c r="A82" s="71" t="s">
        <v>352</v>
      </c>
      <c r="B82" s="71"/>
      <c r="C82" s="236">
        <v>0</v>
      </c>
      <c r="E82" s="25" t="s">
        <v>73</v>
      </c>
      <c r="F82" s="13">
        <f>+'Allocation Factors'!$G$13</f>
        <v>0.91713571027193685</v>
      </c>
      <c r="G82" s="26"/>
      <c r="H82" s="7">
        <f t="shared" si="3"/>
        <v>0</v>
      </c>
      <c r="J82" s="13"/>
    </row>
    <row r="83" spans="1:10" x14ac:dyDescent="0.25">
      <c r="A83" s="71" t="s">
        <v>1258</v>
      </c>
      <c r="B83" s="71"/>
      <c r="C83" s="236">
        <v>8268</v>
      </c>
      <c r="E83" s="25" t="s">
        <v>73</v>
      </c>
      <c r="F83" s="13">
        <f>+'Allocation Factors'!$G$13</f>
        <v>0.91713571027193685</v>
      </c>
      <c r="G83" s="26"/>
      <c r="H83" s="7">
        <f t="shared" ref="H83" si="5">$C83*F83</f>
        <v>7582.8780525283737</v>
      </c>
      <c r="J83" s="13"/>
    </row>
    <row r="84" spans="1:10" x14ac:dyDescent="0.25">
      <c r="A84" s="71" t="s">
        <v>1112</v>
      </c>
      <c r="B84" s="71"/>
      <c r="C84" s="236">
        <v>0</v>
      </c>
      <c r="E84" s="25" t="s">
        <v>140</v>
      </c>
      <c r="F84" s="237">
        <v>0</v>
      </c>
      <c r="G84" s="26"/>
      <c r="H84" s="7">
        <f t="shared" si="3"/>
        <v>0</v>
      </c>
      <c r="J84" s="13"/>
    </row>
    <row r="85" spans="1:10" x14ac:dyDescent="0.25">
      <c r="A85" s="71" t="s">
        <v>1008</v>
      </c>
      <c r="B85" s="71"/>
      <c r="C85" s="236">
        <v>0</v>
      </c>
      <c r="E85" s="25" t="s">
        <v>73</v>
      </c>
      <c r="F85" s="13">
        <f>+'Allocation Factors'!$G$13</f>
        <v>0.91713571027193685</v>
      </c>
      <c r="G85" s="26"/>
      <c r="H85" s="7">
        <f t="shared" si="3"/>
        <v>0</v>
      </c>
      <c r="J85" s="13"/>
    </row>
    <row r="86" spans="1:10" x14ac:dyDescent="0.25">
      <c r="A86" s="71" t="s">
        <v>1186</v>
      </c>
      <c r="B86" s="71"/>
      <c r="C86" s="236">
        <v>0</v>
      </c>
      <c r="E86" s="25" t="s">
        <v>140</v>
      </c>
      <c r="F86" s="237">
        <v>0</v>
      </c>
      <c r="G86" s="26"/>
      <c r="H86" s="7">
        <f t="shared" si="3"/>
        <v>0</v>
      </c>
      <c r="J86" s="13"/>
    </row>
    <row r="87" spans="1:10" x14ac:dyDescent="0.25">
      <c r="A87" s="71" t="s">
        <v>1311</v>
      </c>
      <c r="B87" s="71"/>
      <c r="C87" s="236">
        <f>611616.57+3418.74+20851.74</f>
        <v>635887.04999999993</v>
      </c>
      <c r="E87" s="25" t="s">
        <v>74</v>
      </c>
      <c r="F87" s="13">
        <f>+'Allocation Factors'!$G$21</f>
        <v>3.54809369866841E-2</v>
      </c>
      <c r="G87" s="26"/>
      <c r="H87" s="7">
        <f t="shared" si="3"/>
        <v>22561.868351698438</v>
      </c>
      <c r="J87" s="13"/>
    </row>
    <row r="88" spans="1:10" x14ac:dyDescent="0.25">
      <c r="A88" s="71" t="s">
        <v>1056</v>
      </c>
      <c r="B88" s="71"/>
      <c r="C88" s="236">
        <v>0</v>
      </c>
      <c r="E88" s="25" t="s">
        <v>73</v>
      </c>
      <c r="F88" s="13">
        <f>+'Allocation Factors'!$G$13</f>
        <v>0.91713571027193685</v>
      </c>
      <c r="G88" s="26"/>
      <c r="H88" s="7">
        <f t="shared" si="3"/>
        <v>0</v>
      </c>
      <c r="J88" s="13"/>
    </row>
    <row r="89" spans="1:10" x14ac:dyDescent="0.25">
      <c r="A89" s="71" t="s">
        <v>1051</v>
      </c>
      <c r="B89" s="71"/>
      <c r="C89" s="236">
        <v>1</v>
      </c>
      <c r="E89" s="25" t="s">
        <v>73</v>
      </c>
      <c r="F89" s="13">
        <f>+'Allocation Factors'!$G$13</f>
        <v>0.91713571027193685</v>
      </c>
      <c r="G89" s="26"/>
      <c r="H89" s="7">
        <f t="shared" si="3"/>
        <v>0.91713571027193685</v>
      </c>
      <c r="J89" s="13"/>
    </row>
    <row r="90" spans="1:10" x14ac:dyDescent="0.25">
      <c r="A90" s="71" t="s">
        <v>1051</v>
      </c>
      <c r="B90" s="71"/>
      <c r="C90" s="236">
        <v>1</v>
      </c>
      <c r="E90" s="25" t="s">
        <v>73</v>
      </c>
      <c r="F90" s="13">
        <f>+'Allocation Factors'!$G$13</f>
        <v>0.91713571027193685</v>
      </c>
      <c r="G90" s="26"/>
      <c r="H90" s="7">
        <f t="shared" si="3"/>
        <v>0.91713571027193685</v>
      </c>
      <c r="J90" s="13"/>
    </row>
    <row r="91" spans="1:10" x14ac:dyDescent="0.25">
      <c r="A91" s="71" t="s">
        <v>1122</v>
      </c>
      <c r="B91" s="71"/>
      <c r="C91" s="236">
        <v>1</v>
      </c>
      <c r="E91" s="25" t="s">
        <v>73</v>
      </c>
      <c r="F91" s="13">
        <f>+'Allocation Factors'!$G$13</f>
        <v>0.91713571027193685</v>
      </c>
      <c r="G91" s="26"/>
      <c r="H91" s="7">
        <f t="shared" si="3"/>
        <v>0.91713571027193685</v>
      </c>
      <c r="J91" s="13"/>
    </row>
    <row r="92" spans="1:10" x14ac:dyDescent="0.25">
      <c r="A92" s="71" t="s">
        <v>1032</v>
      </c>
      <c r="B92" s="71"/>
      <c r="C92" s="236">
        <v>0</v>
      </c>
      <c r="E92" s="25" t="s">
        <v>73</v>
      </c>
      <c r="F92" s="13">
        <f>+'Allocation Factors'!$G$13</f>
        <v>0.91713571027193685</v>
      </c>
      <c r="G92" s="26"/>
      <c r="H92" s="7">
        <f t="shared" si="3"/>
        <v>0</v>
      </c>
      <c r="J92" s="13"/>
    </row>
    <row r="93" spans="1:10" x14ac:dyDescent="0.25">
      <c r="A93" s="71" t="s">
        <v>1009</v>
      </c>
      <c r="B93" s="71"/>
      <c r="C93" s="236">
        <v>0</v>
      </c>
      <c r="E93" s="25" t="s">
        <v>405</v>
      </c>
      <c r="F93" s="237">
        <v>0</v>
      </c>
      <c r="G93" s="26"/>
      <c r="H93" s="7">
        <f t="shared" si="3"/>
        <v>0</v>
      </c>
      <c r="J93" s="13"/>
    </row>
    <row r="94" spans="1:10" x14ac:dyDescent="0.25">
      <c r="A94" s="71" t="s">
        <v>1131</v>
      </c>
      <c r="B94" s="71"/>
      <c r="C94" s="236">
        <v>0</v>
      </c>
      <c r="E94" s="25" t="s">
        <v>405</v>
      </c>
      <c r="F94" s="237">
        <v>0</v>
      </c>
      <c r="G94" s="26"/>
      <c r="H94" s="7">
        <f t="shared" si="3"/>
        <v>0</v>
      </c>
      <c r="J94" s="13"/>
    </row>
    <row r="95" spans="1:10" x14ac:dyDescent="0.25">
      <c r="A95" s="71" t="s">
        <v>1033</v>
      </c>
      <c r="B95" s="71"/>
      <c r="C95" s="236">
        <v>0</v>
      </c>
      <c r="E95" s="25" t="s">
        <v>74</v>
      </c>
      <c r="F95" s="13">
        <f>+'Allocation Factors'!$G$21</f>
        <v>3.54809369866841E-2</v>
      </c>
      <c r="G95" s="26"/>
      <c r="H95" s="7">
        <f t="shared" si="3"/>
        <v>0</v>
      </c>
      <c r="J95" s="13"/>
    </row>
    <row r="96" spans="1:10" x14ac:dyDescent="0.25">
      <c r="A96" s="71" t="s">
        <v>373</v>
      </c>
      <c r="B96" s="71"/>
      <c r="C96" s="236">
        <v>0</v>
      </c>
      <c r="E96" s="25" t="s">
        <v>74</v>
      </c>
      <c r="F96" s="13">
        <f>+'Allocation Factors'!$G$21</f>
        <v>3.54809369866841E-2</v>
      </c>
      <c r="G96" s="26"/>
      <c r="H96" s="7">
        <f t="shared" si="3"/>
        <v>0</v>
      </c>
      <c r="J96" s="13"/>
    </row>
    <row r="97" spans="1:10" x14ac:dyDescent="0.25">
      <c r="A97" s="71" t="s">
        <v>1188</v>
      </c>
      <c r="B97" s="71"/>
      <c r="C97" s="236">
        <f>61765+296+651+279</f>
        <v>62991</v>
      </c>
      <c r="E97" s="25" t="s">
        <v>405</v>
      </c>
      <c r="F97" s="237">
        <v>0</v>
      </c>
      <c r="G97" s="26"/>
      <c r="H97" s="7">
        <f t="shared" ref="H97" si="6">$C97*F97</f>
        <v>0</v>
      </c>
      <c r="J97" s="13"/>
    </row>
    <row r="98" spans="1:10" x14ac:dyDescent="0.25">
      <c r="A98" s="71" t="s">
        <v>1123</v>
      </c>
      <c r="B98" s="71"/>
      <c r="C98" s="236">
        <v>0</v>
      </c>
      <c r="E98" s="25" t="s">
        <v>73</v>
      </c>
      <c r="F98" s="13">
        <f>+'Allocation Factors'!$G$13</f>
        <v>0.91713571027193685</v>
      </c>
      <c r="G98" s="26"/>
      <c r="H98" s="7">
        <f t="shared" si="3"/>
        <v>0</v>
      </c>
      <c r="J98" s="13"/>
    </row>
    <row r="99" spans="1:10" x14ac:dyDescent="0.25">
      <c r="A99" s="71" t="s">
        <v>1107</v>
      </c>
      <c r="B99" s="71"/>
      <c r="C99" s="236">
        <v>0</v>
      </c>
      <c r="E99" s="25" t="s">
        <v>140</v>
      </c>
      <c r="F99" s="237">
        <v>0</v>
      </c>
      <c r="G99" s="26"/>
      <c r="H99" s="7">
        <f t="shared" si="3"/>
        <v>0</v>
      </c>
      <c r="J99" s="13"/>
    </row>
    <row r="100" spans="1:10" x14ac:dyDescent="0.25">
      <c r="A100" s="71" t="s">
        <v>354</v>
      </c>
      <c r="B100" s="71"/>
      <c r="C100" s="236">
        <v>0</v>
      </c>
      <c r="E100" s="25" t="s">
        <v>73</v>
      </c>
      <c r="F100" s="13">
        <f>+'Allocation Factors'!$G$13</f>
        <v>0.91713571027193685</v>
      </c>
      <c r="G100" s="26"/>
      <c r="H100" s="7">
        <f t="shared" si="3"/>
        <v>0</v>
      </c>
      <c r="J100" s="13"/>
    </row>
    <row r="101" spans="1:10" x14ac:dyDescent="0.25">
      <c r="A101" s="71" t="s">
        <v>1314</v>
      </c>
      <c r="B101" s="71"/>
      <c r="C101" s="236">
        <v>36439</v>
      </c>
      <c r="E101" s="25" t="s">
        <v>74</v>
      </c>
      <c r="F101" s="13">
        <f>+'Allocation Factors'!$G$21</f>
        <v>3.54809369866841E-2</v>
      </c>
      <c r="G101" s="26"/>
      <c r="H101" s="7">
        <f t="shared" ref="H101:H102" si="7">$C101*F101</f>
        <v>1292.889862857782</v>
      </c>
      <c r="J101" s="13"/>
    </row>
    <row r="102" spans="1:10" x14ac:dyDescent="0.25">
      <c r="A102" s="71" t="s">
        <v>1243</v>
      </c>
      <c r="B102" s="71"/>
      <c r="C102" s="236">
        <v>68999</v>
      </c>
      <c r="E102" s="25" t="s">
        <v>73</v>
      </c>
      <c r="F102" s="254">
        <f>+'Allocation Factors'!$G$13</f>
        <v>0.91713571027193685</v>
      </c>
      <c r="G102" s="26"/>
      <c r="H102" s="7">
        <f t="shared" si="7"/>
        <v>63281.44687305337</v>
      </c>
      <c r="J102" s="13"/>
    </row>
    <row r="103" spans="1:10" x14ac:dyDescent="0.25">
      <c r="A103" s="71" t="s">
        <v>365</v>
      </c>
      <c r="B103" s="71"/>
      <c r="C103" s="236">
        <v>0</v>
      </c>
      <c r="E103" s="25" t="s">
        <v>74</v>
      </c>
      <c r="F103" s="13">
        <f>+'Allocation Factors'!$G$21</f>
        <v>3.54809369866841E-2</v>
      </c>
      <c r="G103" s="26"/>
      <c r="H103" s="7">
        <f t="shared" si="3"/>
        <v>0</v>
      </c>
      <c r="J103" s="13"/>
    </row>
    <row r="104" spans="1:10" x14ac:dyDescent="0.25">
      <c r="A104" s="71" t="s">
        <v>1023</v>
      </c>
      <c r="B104" s="71"/>
      <c r="C104" s="236">
        <v>0</v>
      </c>
      <c r="E104" s="25" t="s">
        <v>73</v>
      </c>
      <c r="F104" s="13">
        <f>+'Allocation Factors'!$G$13</f>
        <v>0.91713571027193685</v>
      </c>
      <c r="G104" s="26"/>
      <c r="H104" s="7">
        <f t="shared" si="3"/>
        <v>0</v>
      </c>
      <c r="J104" s="13"/>
    </row>
    <row r="105" spans="1:10" x14ac:dyDescent="0.25">
      <c r="A105" s="71" t="s">
        <v>1023</v>
      </c>
      <c r="B105" s="71"/>
      <c r="C105" s="236">
        <v>0</v>
      </c>
      <c r="E105" s="25" t="s">
        <v>73</v>
      </c>
      <c r="F105" s="13">
        <f>+'Allocation Factors'!$G$13</f>
        <v>0.91713571027193685</v>
      </c>
      <c r="G105" s="26"/>
      <c r="H105" s="7">
        <f t="shared" si="3"/>
        <v>0</v>
      </c>
      <c r="J105" s="13"/>
    </row>
    <row r="106" spans="1:10" x14ac:dyDescent="0.25">
      <c r="A106" s="71" t="s">
        <v>1034</v>
      </c>
      <c r="B106" s="71"/>
      <c r="C106" s="236">
        <v>0</v>
      </c>
      <c r="E106" s="25" t="s">
        <v>73</v>
      </c>
      <c r="F106" s="13">
        <f>+'Allocation Factors'!$G$13</f>
        <v>0.91713571027193685</v>
      </c>
      <c r="G106" s="26"/>
      <c r="H106" s="7">
        <f t="shared" si="3"/>
        <v>0</v>
      </c>
      <c r="J106" s="13"/>
    </row>
    <row r="107" spans="1:10" x14ac:dyDescent="0.25">
      <c r="A107" s="71" t="s">
        <v>1034</v>
      </c>
      <c r="B107" s="71"/>
      <c r="C107" s="236">
        <v>0</v>
      </c>
      <c r="E107" s="25" t="s">
        <v>73</v>
      </c>
      <c r="F107" s="13">
        <f>+'Allocation Factors'!$G$13</f>
        <v>0.91713571027193685</v>
      </c>
      <c r="G107" s="26"/>
      <c r="H107" s="7">
        <f t="shared" si="3"/>
        <v>0</v>
      </c>
      <c r="J107" s="13"/>
    </row>
    <row r="108" spans="1:10" x14ac:dyDescent="0.25">
      <c r="A108" s="71" t="s">
        <v>1010</v>
      </c>
      <c r="B108" s="71"/>
      <c r="C108" s="236">
        <v>0</v>
      </c>
      <c r="E108" s="25" t="s">
        <v>73</v>
      </c>
      <c r="F108" s="13">
        <f>+'Allocation Factors'!$G$13</f>
        <v>0.91713571027193685</v>
      </c>
      <c r="G108" s="26"/>
      <c r="H108" s="7">
        <f t="shared" si="3"/>
        <v>0</v>
      </c>
      <c r="J108" s="13"/>
    </row>
    <row r="109" spans="1:10" x14ac:dyDescent="0.25">
      <c r="A109" s="71" t="s">
        <v>1057</v>
      </c>
      <c r="B109" s="71"/>
      <c r="C109" s="236">
        <v>0</v>
      </c>
      <c r="E109" s="25" t="s">
        <v>73</v>
      </c>
      <c r="F109" s="13">
        <f>+'Allocation Factors'!$G$13</f>
        <v>0.91713571027193685</v>
      </c>
      <c r="G109" s="26"/>
      <c r="H109" s="7">
        <f t="shared" si="3"/>
        <v>0</v>
      </c>
      <c r="J109" s="13"/>
    </row>
    <row r="110" spans="1:10" x14ac:dyDescent="0.25">
      <c r="A110" s="71" t="s">
        <v>1006</v>
      </c>
      <c r="B110" s="71"/>
      <c r="C110" s="236">
        <v>0</v>
      </c>
      <c r="E110" s="25" t="s">
        <v>73</v>
      </c>
      <c r="F110" s="13">
        <f>+'Allocation Factors'!$G$13</f>
        <v>0.91713571027193685</v>
      </c>
      <c r="G110" s="26"/>
      <c r="H110" s="7">
        <f t="shared" si="3"/>
        <v>0</v>
      </c>
      <c r="J110" s="13"/>
    </row>
    <row r="111" spans="1:10" x14ac:dyDescent="0.25">
      <c r="A111" s="71" t="s">
        <v>349</v>
      </c>
      <c r="B111" s="71"/>
      <c r="C111" s="236">
        <v>0</v>
      </c>
      <c r="E111" s="25" t="s">
        <v>73</v>
      </c>
      <c r="F111" s="13">
        <f>+'Allocation Factors'!$G$13</f>
        <v>0.91713571027193685</v>
      </c>
      <c r="G111" s="26"/>
      <c r="H111" s="7">
        <f t="shared" si="3"/>
        <v>0</v>
      </c>
      <c r="J111" s="13"/>
    </row>
    <row r="112" spans="1:10" x14ac:dyDescent="0.25">
      <c r="A112" s="71" t="s">
        <v>370</v>
      </c>
      <c r="B112" s="71"/>
      <c r="C112" s="236">
        <v>0</v>
      </c>
      <c r="E112" s="25" t="s">
        <v>74</v>
      </c>
      <c r="F112" s="13">
        <f>+'Allocation Factors'!$G$21</f>
        <v>3.54809369866841E-2</v>
      </c>
      <c r="G112" s="26"/>
      <c r="H112" s="7">
        <f t="shared" si="3"/>
        <v>0</v>
      </c>
      <c r="J112" s="13"/>
    </row>
    <row r="113" spans="1:10" x14ac:dyDescent="0.25">
      <c r="A113" s="71" t="s">
        <v>374</v>
      </c>
      <c r="B113" s="71"/>
      <c r="C113" s="236">
        <v>0</v>
      </c>
      <c r="E113" s="25" t="s">
        <v>140</v>
      </c>
      <c r="F113" s="237">
        <v>0</v>
      </c>
      <c r="G113" s="26"/>
      <c r="H113" s="7">
        <f t="shared" si="3"/>
        <v>0</v>
      </c>
      <c r="J113" s="13"/>
    </row>
    <row r="114" spans="1:10" x14ac:dyDescent="0.25">
      <c r="A114" s="71" t="s">
        <v>360</v>
      </c>
      <c r="B114" s="71"/>
      <c r="C114" s="236">
        <v>0</v>
      </c>
      <c r="E114" s="25" t="s">
        <v>74</v>
      </c>
      <c r="F114" s="13">
        <f>+'Allocation Factors'!$G$21</f>
        <v>3.54809369866841E-2</v>
      </c>
      <c r="G114" s="26"/>
      <c r="H114" s="7">
        <f t="shared" si="3"/>
        <v>0</v>
      </c>
      <c r="J114" s="13"/>
    </row>
    <row r="115" spans="1:10" x14ac:dyDescent="0.25">
      <c r="A115" s="71" t="s">
        <v>1011</v>
      </c>
      <c r="B115" s="71"/>
      <c r="C115" s="236">
        <v>127338</v>
      </c>
      <c r="E115" s="25" t="s">
        <v>74</v>
      </c>
      <c r="F115" s="13">
        <f>+'Allocation Factors'!$G$21</f>
        <v>3.54809369866841E-2</v>
      </c>
      <c r="G115" s="26"/>
      <c r="H115" s="7">
        <f t="shared" si="3"/>
        <v>4518.0715540103802</v>
      </c>
      <c r="J115" s="13"/>
    </row>
    <row r="116" spans="1:10" x14ac:dyDescent="0.25">
      <c r="A116" s="152"/>
      <c r="B116" s="152"/>
      <c r="C116" s="83"/>
      <c r="F116" s="13"/>
      <c r="G116" s="26"/>
      <c r="H116" s="7"/>
    </row>
    <row r="117" spans="1:10" s="42" customFormat="1" x14ac:dyDescent="0.25">
      <c r="A117" s="72" t="s">
        <v>408</v>
      </c>
      <c r="C117" s="114">
        <f>SUM(C10:C116)</f>
        <v>52622957</v>
      </c>
      <c r="H117" s="114">
        <f>SUM(H10:H116)</f>
        <v>998544.52669060859</v>
      </c>
      <c r="I117" s="218"/>
    </row>
    <row r="119" spans="1:10" x14ac:dyDescent="0.25">
      <c r="C119" s="26"/>
      <c r="D119" s="26"/>
      <c r="F119" s="13"/>
      <c r="G119" s="26"/>
      <c r="H119" s="26"/>
    </row>
    <row r="121" spans="1:10" x14ac:dyDescent="0.25">
      <c r="C121" s="29"/>
    </row>
    <row r="148" spans="2:2" x14ac:dyDescent="0.25">
      <c r="B148" s="193"/>
    </row>
    <row r="149" spans="2:2" x14ac:dyDescent="0.25">
      <c r="B149" s="194"/>
    </row>
    <row r="150" spans="2:2" x14ac:dyDescent="0.25">
      <c r="B150" s="193"/>
    </row>
    <row r="151" spans="2:2" x14ac:dyDescent="0.25">
      <c r="B151" s="194"/>
    </row>
    <row r="152" spans="2:2" x14ac:dyDescent="0.25">
      <c r="B152" s="194"/>
    </row>
    <row r="153" spans="2:2" x14ac:dyDescent="0.25">
      <c r="B153" s="194"/>
    </row>
  </sheetData>
  <sortState ref="A10:H58">
    <sortCondition ref="A10:A58"/>
  </sortState>
  <customSheetViews>
    <customSheetView guid="{589A2A1C-99B3-4A22-A52E-EECEEAD60ADB}" scale="80" showPageBreaks="1" fitToPage="1" printArea="1">
      <selection activeCell="C31" sqref="C31"/>
      <pageMargins left="0.7" right="0.7" top="0.35" bottom="0.35" header="0.3" footer="0.25"/>
      <pageSetup scale="46" orientation="portrait" r:id="rId1"/>
      <headerFooter>
        <oddFooter>&amp;L&amp;Z&amp;F</oddFooter>
      </headerFooter>
    </customSheetView>
    <customSheetView guid="{C0F5889E-F852-4CB9-B477-759ADBCFF6D5}" scale="80" showPageBreaks="1" fitToPage="1" printArea="1">
      <selection sqref="A1:G1"/>
      <pageMargins left="0.7" right="0.7" top="0.35" bottom="0.35" header="0.3" footer="0.25"/>
      <pageSetup scale="46" orientation="portrait" r:id="rId2"/>
      <headerFooter>
        <oddFooter>&amp;L&amp;Z&amp;F</oddFooter>
      </headerFooter>
    </customSheetView>
  </customSheetViews>
  <mergeCells count="7">
    <mergeCell ref="E9:F9"/>
    <mergeCell ref="A5:H5"/>
    <mergeCell ref="E8:F8"/>
    <mergeCell ref="A1:G1"/>
    <mergeCell ref="A2:G2"/>
    <mergeCell ref="A3:G3"/>
    <mergeCell ref="A4:G4"/>
  </mergeCells>
  <pageMargins left="0.7" right="0.7" top="0.35" bottom="0.35" header="0.3" footer="0.25"/>
  <pageSetup scale="46" orientation="portrait" r:id="rId3"/>
  <headerFooter>
    <oddFooter>&amp;L&amp;Z&amp;F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100" workbookViewId="0">
      <selection sqref="A1:G1"/>
    </sheetView>
  </sheetViews>
  <sheetFormatPr defaultRowHeight="15" x14ac:dyDescent="0.25"/>
  <cols>
    <col min="1" max="1" width="6" style="25" customWidth="1"/>
    <col min="2" max="2" width="11.5703125" style="25" customWidth="1"/>
    <col min="3" max="3" width="11.140625" style="25" bestFit="1" customWidth="1"/>
    <col min="4" max="5" width="9.140625" style="25"/>
    <col min="6" max="6" width="13" style="25" customWidth="1"/>
    <col min="7" max="7" width="9.140625" style="25"/>
    <col min="8" max="9" width="18.42578125" style="25" bestFit="1" customWidth="1"/>
    <col min="10" max="16384" width="9.140625" style="25"/>
  </cols>
  <sheetData>
    <row r="1" spans="1:10" x14ac:dyDescent="0.25">
      <c r="A1" s="329" t="s">
        <v>0</v>
      </c>
      <c r="B1" s="329"/>
      <c r="C1" s="329"/>
      <c r="D1" s="329"/>
      <c r="E1" s="329"/>
      <c r="F1" s="329"/>
      <c r="G1" s="329"/>
      <c r="H1" s="196" t="s">
        <v>706</v>
      </c>
      <c r="J1" s="86"/>
    </row>
    <row r="2" spans="1:10" x14ac:dyDescent="0.25">
      <c r="A2" s="119"/>
      <c r="B2" s="119"/>
      <c r="C2" s="119"/>
      <c r="D2" s="119"/>
      <c r="E2" s="119"/>
      <c r="F2" s="119"/>
      <c r="G2" s="119"/>
      <c r="H2" s="196" t="s">
        <v>598</v>
      </c>
    </row>
    <row r="3" spans="1:10" x14ac:dyDescent="0.25">
      <c r="A3" s="329" t="s">
        <v>599</v>
      </c>
      <c r="B3" s="329"/>
      <c r="C3" s="329"/>
      <c r="D3" s="329"/>
      <c r="E3" s="329"/>
      <c r="F3" s="329"/>
      <c r="G3" s="329"/>
      <c r="H3" s="195"/>
      <c r="I3" s="38"/>
    </row>
    <row r="4" spans="1:10" x14ac:dyDescent="0.25">
      <c r="A4" s="337" t="s">
        <v>1319</v>
      </c>
      <c r="B4" s="337"/>
      <c r="C4" s="337"/>
      <c r="D4" s="337"/>
      <c r="E4" s="337"/>
      <c r="F4" s="337"/>
      <c r="G4" s="337"/>
      <c r="H4" s="290"/>
    </row>
    <row r="5" spans="1:10" x14ac:dyDescent="0.25">
      <c r="A5" s="221"/>
      <c r="B5" s="221"/>
      <c r="C5" s="221"/>
      <c r="D5" s="221"/>
      <c r="E5" s="221"/>
      <c r="F5" s="221"/>
      <c r="G5" s="221"/>
      <c r="H5" s="221"/>
    </row>
    <row r="6" spans="1:10" ht="30" x14ac:dyDescent="0.25">
      <c r="A6" s="11"/>
      <c r="B6" s="49" t="s">
        <v>600</v>
      </c>
      <c r="C6" s="119" t="s">
        <v>601</v>
      </c>
      <c r="D6" s="119"/>
      <c r="E6" s="119"/>
      <c r="F6" s="119"/>
      <c r="G6" s="119"/>
      <c r="H6" s="290" t="s">
        <v>602</v>
      </c>
    </row>
    <row r="7" spans="1:10" x14ac:dyDescent="0.25">
      <c r="A7" s="25">
        <v>1</v>
      </c>
      <c r="B7" s="291">
        <v>350</v>
      </c>
      <c r="C7" s="38" t="s">
        <v>603</v>
      </c>
      <c r="D7" s="38"/>
      <c r="E7" s="38"/>
      <c r="F7" s="38"/>
      <c r="G7" s="38"/>
      <c r="H7" s="231">
        <v>1.2999999999999999E-2</v>
      </c>
    </row>
    <row r="8" spans="1:10" x14ac:dyDescent="0.25">
      <c r="A8" s="25">
        <v>2</v>
      </c>
      <c r="B8" s="291" t="s">
        <v>1134</v>
      </c>
      <c r="C8" s="38" t="s">
        <v>604</v>
      </c>
      <c r="D8" s="38"/>
      <c r="E8" s="38"/>
      <c r="F8" s="38"/>
      <c r="G8" s="38"/>
      <c r="H8" s="231">
        <v>2.12E-2</v>
      </c>
    </row>
    <row r="9" spans="1:10" x14ac:dyDescent="0.25">
      <c r="A9" s="25">
        <v>3</v>
      </c>
      <c r="B9" s="291">
        <v>389</v>
      </c>
      <c r="C9" s="38" t="s">
        <v>605</v>
      </c>
      <c r="D9" s="38"/>
      <c r="E9" s="38"/>
      <c r="F9" s="38"/>
      <c r="G9" s="38"/>
      <c r="H9" s="231">
        <v>1.5299999999999999E-2</v>
      </c>
    </row>
    <row r="10" spans="1:10" x14ac:dyDescent="0.25">
      <c r="A10" s="25">
        <v>4</v>
      </c>
      <c r="B10" s="291">
        <v>390</v>
      </c>
      <c r="C10" s="38" t="s">
        <v>1129</v>
      </c>
      <c r="D10" s="38"/>
      <c r="E10" s="38"/>
      <c r="F10" s="38"/>
      <c r="G10" s="38"/>
      <c r="H10" s="231">
        <v>2.9600000000000001E-2</v>
      </c>
    </row>
    <row r="11" spans="1:10" x14ac:dyDescent="0.25">
      <c r="A11" s="25">
        <v>5</v>
      </c>
      <c r="B11" s="291" t="s">
        <v>1135</v>
      </c>
      <c r="C11" s="38" t="s">
        <v>1130</v>
      </c>
      <c r="D11" s="38"/>
      <c r="E11" s="38"/>
      <c r="F11" s="38"/>
      <c r="G11" s="38"/>
      <c r="H11" s="231">
        <v>0.12939999999999999</v>
      </c>
    </row>
    <row r="12" spans="1:10" x14ac:dyDescent="0.25">
      <c r="A12" s="25">
        <v>6</v>
      </c>
      <c r="B12" s="291">
        <v>391.1</v>
      </c>
      <c r="C12" s="38" t="s">
        <v>606</v>
      </c>
      <c r="D12" s="38"/>
      <c r="E12" s="38"/>
      <c r="F12" s="38"/>
      <c r="G12" s="38"/>
      <c r="H12" s="231">
        <v>0.36799999999999999</v>
      </c>
    </row>
    <row r="13" spans="1:10" x14ac:dyDescent="0.25">
      <c r="A13" s="25">
        <v>7</v>
      </c>
      <c r="B13" s="291">
        <v>392</v>
      </c>
      <c r="C13" s="38" t="s">
        <v>1136</v>
      </c>
      <c r="D13" s="38"/>
      <c r="E13" s="38"/>
      <c r="F13" s="38"/>
      <c r="G13" s="38"/>
      <c r="H13" s="231">
        <v>0.17469999999999999</v>
      </c>
    </row>
    <row r="14" spans="1:10" x14ac:dyDescent="0.25">
      <c r="A14" s="25">
        <v>8</v>
      </c>
      <c r="B14" s="291">
        <v>392</v>
      </c>
      <c r="C14" s="38" t="s">
        <v>1137</v>
      </c>
      <c r="D14" s="38"/>
      <c r="E14" s="38"/>
      <c r="F14" s="38"/>
      <c r="G14" s="38"/>
      <c r="H14" s="231">
        <v>0.2046</v>
      </c>
    </row>
    <row r="15" spans="1:10" x14ac:dyDescent="0.25">
      <c r="A15" s="25">
        <v>9</v>
      </c>
      <c r="B15" s="291">
        <v>392</v>
      </c>
      <c r="C15" s="38" t="s">
        <v>1138</v>
      </c>
      <c r="D15" s="38"/>
      <c r="E15" s="38"/>
      <c r="F15" s="38"/>
      <c r="G15" s="38"/>
      <c r="H15" s="231">
        <v>0.21190000000000001</v>
      </c>
    </row>
    <row r="16" spans="1:10" x14ac:dyDescent="0.25">
      <c r="A16" s="25">
        <v>10</v>
      </c>
      <c r="B16" s="291">
        <v>392</v>
      </c>
      <c r="C16" s="38" t="s">
        <v>1139</v>
      </c>
      <c r="D16" s="38"/>
      <c r="E16" s="38"/>
      <c r="F16" s="38"/>
      <c r="G16" s="38"/>
      <c r="H16" s="231">
        <v>0.14710000000000001</v>
      </c>
    </row>
    <row r="17" spans="1:8" x14ac:dyDescent="0.25">
      <c r="A17" s="25">
        <v>11</v>
      </c>
      <c r="B17" s="291">
        <v>392</v>
      </c>
      <c r="C17" s="38" t="s">
        <v>1140</v>
      </c>
      <c r="D17" s="38"/>
      <c r="E17" s="38"/>
      <c r="F17" s="38"/>
      <c r="G17" s="38"/>
      <c r="H17" s="231">
        <v>0.2482</v>
      </c>
    </row>
    <row r="18" spans="1:8" x14ac:dyDescent="0.25">
      <c r="A18" s="25">
        <v>12</v>
      </c>
      <c r="B18" s="291">
        <v>392</v>
      </c>
      <c r="C18" s="38" t="s">
        <v>1141</v>
      </c>
      <c r="D18" s="38"/>
      <c r="E18" s="38"/>
      <c r="F18" s="38"/>
      <c r="G18" s="38"/>
      <c r="H18" s="231">
        <v>0.14660000000000001</v>
      </c>
    </row>
    <row r="19" spans="1:8" x14ac:dyDescent="0.25">
      <c r="A19" s="25">
        <v>13</v>
      </c>
      <c r="B19" s="291">
        <v>392</v>
      </c>
      <c r="C19" s="38" t="s">
        <v>1142</v>
      </c>
      <c r="D19" s="38"/>
      <c r="E19" s="38"/>
      <c r="F19" s="38"/>
      <c r="G19" s="38"/>
      <c r="H19" s="231">
        <v>0.109</v>
      </c>
    </row>
    <row r="20" spans="1:8" x14ac:dyDescent="0.25">
      <c r="A20" s="25">
        <v>14</v>
      </c>
      <c r="B20" s="291">
        <v>392</v>
      </c>
      <c r="C20" s="38" t="s">
        <v>1143</v>
      </c>
      <c r="D20" s="38"/>
      <c r="E20" s="38"/>
      <c r="F20" s="38"/>
      <c r="G20" s="38"/>
      <c r="H20" s="231">
        <v>7.1999999999999995E-2</v>
      </c>
    </row>
    <row r="21" spans="1:8" x14ac:dyDescent="0.25">
      <c r="A21" s="25">
        <v>15</v>
      </c>
      <c r="B21" s="291">
        <v>396</v>
      </c>
      <c r="C21" s="38" t="s">
        <v>1144</v>
      </c>
      <c r="D21" s="38"/>
      <c r="E21" s="38"/>
      <c r="F21" s="38"/>
      <c r="G21" s="38"/>
      <c r="H21" s="231">
        <v>0.1368</v>
      </c>
    </row>
    <row r="22" spans="1:8" x14ac:dyDescent="0.25">
      <c r="A22" s="25">
        <v>16</v>
      </c>
      <c r="B22" s="291">
        <v>396</v>
      </c>
      <c r="C22" s="38" t="s">
        <v>1145</v>
      </c>
      <c r="D22" s="38"/>
      <c r="E22" s="38"/>
      <c r="F22" s="38"/>
      <c r="G22" s="38"/>
      <c r="H22" s="231">
        <v>0.1789</v>
      </c>
    </row>
    <row r="23" spans="1:8" x14ac:dyDescent="0.25">
      <c r="A23" s="25">
        <v>17</v>
      </c>
      <c r="B23" s="291">
        <v>396</v>
      </c>
      <c r="C23" s="38" t="s">
        <v>1146</v>
      </c>
      <c r="D23" s="38"/>
      <c r="E23" s="38"/>
      <c r="F23" s="38"/>
      <c r="G23" s="38"/>
      <c r="H23" s="231">
        <v>0.1411</v>
      </c>
    </row>
    <row r="24" spans="1:8" x14ac:dyDescent="0.25">
      <c r="A24" s="25">
        <v>18</v>
      </c>
      <c r="B24" s="291">
        <v>396</v>
      </c>
      <c r="C24" s="38" t="s">
        <v>1147</v>
      </c>
      <c r="D24" s="38"/>
      <c r="E24" s="38"/>
      <c r="F24" s="38"/>
      <c r="G24" s="38"/>
      <c r="H24" s="231">
        <v>0.10290000000000001</v>
      </c>
    </row>
    <row r="25" spans="1:8" x14ac:dyDescent="0.25">
      <c r="A25" s="25">
        <v>19</v>
      </c>
      <c r="B25" s="291">
        <v>396</v>
      </c>
      <c r="C25" s="38" t="s">
        <v>1148</v>
      </c>
      <c r="D25" s="38"/>
      <c r="E25" s="38"/>
      <c r="F25" s="38"/>
      <c r="G25" s="38"/>
      <c r="H25" s="231">
        <v>9.9299999999999999E-2</v>
      </c>
    </row>
    <row r="26" spans="1:8" x14ac:dyDescent="0.25">
      <c r="A26" s="25">
        <v>20</v>
      </c>
      <c r="B26" s="291">
        <v>396</v>
      </c>
      <c r="C26" s="38" t="s">
        <v>1143</v>
      </c>
      <c r="D26" s="38"/>
      <c r="E26" s="38"/>
      <c r="F26" s="38"/>
      <c r="G26" s="38"/>
      <c r="H26" s="231">
        <v>0.1071</v>
      </c>
    </row>
    <row r="27" spans="1:8" x14ac:dyDescent="0.25">
      <c r="A27" s="25">
        <v>21</v>
      </c>
      <c r="B27" s="291">
        <v>396</v>
      </c>
      <c r="C27" s="38" t="s">
        <v>1149</v>
      </c>
      <c r="D27" s="38"/>
      <c r="E27" s="38"/>
      <c r="F27" s="38"/>
      <c r="G27" s="38"/>
      <c r="H27" s="231">
        <v>0.1048</v>
      </c>
    </row>
    <row r="28" spans="1:8" ht="15.75" customHeight="1" x14ac:dyDescent="0.25">
      <c r="A28" s="25">
        <v>22</v>
      </c>
      <c r="B28" s="291">
        <v>396</v>
      </c>
      <c r="C28" s="38" t="s">
        <v>607</v>
      </c>
      <c r="D28" s="38"/>
      <c r="E28" s="38"/>
      <c r="F28" s="38"/>
      <c r="G28" s="38"/>
      <c r="H28" s="231">
        <v>8.2900000000000001E-2</v>
      </c>
    </row>
  </sheetData>
  <customSheetViews>
    <customSheetView guid="{589A2A1C-99B3-4A22-A52E-EECEEAD60ADB}" fitToPage="1">
      <selection activeCell="H28" sqref="H28"/>
      <pageMargins left="0.7" right="0.7" top="0.75" bottom="0.75" header="0.3" footer="0.3"/>
      <pageSetup orientation="portrait" r:id="rId1"/>
      <headerFooter>
        <oddFooter>&amp;L&amp;Z&amp;F</oddFooter>
      </headerFooter>
    </customSheetView>
    <customSheetView guid="{C0F5889E-F852-4CB9-B477-759ADBCFF6D5}" fitToPage="1">
      <selection activeCell="H28" sqref="H28"/>
      <pageMargins left="0.7" right="0.7" top="0.75" bottom="0.75" header="0.3" footer="0.3"/>
      <pageSetup orientation="portrait" r:id="rId2"/>
      <headerFooter>
        <oddFooter>&amp;L&amp;Z&amp;F</oddFooter>
      </headerFooter>
    </customSheetView>
  </customSheetViews>
  <mergeCells count="3">
    <mergeCell ref="A1:G1"/>
    <mergeCell ref="A3:G3"/>
    <mergeCell ref="A4:G4"/>
  </mergeCells>
  <pageMargins left="0.7" right="0.7" top="0.75" bottom="0.75" header="0.3" footer="0.3"/>
  <pageSetup orientation="portrait" r:id="rId3"/>
  <headerFooter>
    <oddFooter>&amp;L&amp;Z&amp;F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6"/>
  <sheetViews>
    <sheetView zoomScale="90" zoomScaleNormal="90" workbookViewId="0">
      <pane xSplit="3" ySplit="4" topLeftCell="D5" activePane="bottomRight" state="frozen"/>
      <selection pane="topRight" activeCell="D1" sqref="D1"/>
      <selection pane="bottomLeft" activeCell="A5" sqref="A5"/>
      <selection pane="bottomRight" sqref="A1:H1"/>
    </sheetView>
  </sheetViews>
  <sheetFormatPr defaultRowHeight="15" x14ac:dyDescent="0.25"/>
  <cols>
    <col min="1" max="1" width="3" style="25" bestFit="1" customWidth="1"/>
    <col min="2" max="2" width="35.7109375" style="25" customWidth="1"/>
    <col min="3" max="4" width="15.42578125" style="25" bestFit="1" customWidth="1"/>
    <col min="5" max="5" width="7" style="25" customWidth="1"/>
    <col min="6" max="6" width="13" style="25" customWidth="1"/>
    <col min="7" max="7" width="10.42578125" style="25" customWidth="1"/>
    <col min="8" max="8" width="10.7109375" style="25" customWidth="1"/>
    <col min="9" max="9" width="16.42578125" style="25" customWidth="1"/>
    <col min="10" max="10" width="11.85546875" style="25" customWidth="1"/>
    <col min="11" max="11" width="11.28515625" style="25" customWidth="1"/>
    <col min="12" max="12" width="11.85546875" style="25" customWidth="1"/>
    <col min="13" max="13" width="11.28515625" style="25" customWidth="1"/>
    <col min="14" max="14" width="10.42578125" style="25" customWidth="1"/>
    <col min="15" max="15" width="11.85546875" style="25" customWidth="1"/>
    <col min="16" max="16" width="9.140625" style="25" customWidth="1"/>
    <col min="17" max="17" width="10.42578125" style="25" customWidth="1"/>
    <col min="18" max="18" width="11.85546875" style="25" customWidth="1"/>
    <col min="19" max="19" width="11.28515625" style="25" customWidth="1"/>
    <col min="20" max="20" width="11.85546875" style="25" customWidth="1"/>
    <col min="21" max="21" width="8.42578125" style="25" customWidth="1"/>
    <col min="22" max="22" width="11.28515625" style="25" customWidth="1"/>
    <col min="23" max="23" width="11.85546875" style="25" customWidth="1"/>
    <col min="24" max="25" width="9.140625" style="25"/>
    <col min="26" max="26" width="10.7109375" style="25" bestFit="1" customWidth="1"/>
    <col min="27" max="27" width="9.140625" style="25"/>
    <col min="28" max="28" width="10" style="25" bestFit="1" customWidth="1"/>
    <col min="29" max="29" width="10.7109375" style="25" bestFit="1" customWidth="1"/>
    <col min="30" max="32" width="9.140625" style="25"/>
    <col min="33" max="33" width="11.85546875" style="25" customWidth="1"/>
    <col min="34" max="34" width="10.7109375" style="25" bestFit="1" customWidth="1"/>
    <col min="35" max="35" width="10" style="25" bestFit="1" customWidth="1"/>
    <col min="36" max="36" width="10.7109375" style="25" bestFit="1" customWidth="1"/>
    <col min="37" max="37" width="11.5703125" style="25" customWidth="1"/>
    <col min="38" max="38" width="12.85546875" style="25" bestFit="1" customWidth="1"/>
    <col min="39" max="40" width="11.5703125" style="25" customWidth="1"/>
    <col min="41" max="41" width="10.140625" style="25" bestFit="1" customWidth="1"/>
    <col min="42" max="42" width="11.28515625" style="25" bestFit="1" customWidth="1"/>
    <col min="43" max="43" width="12.28515625" style="25" customWidth="1"/>
    <col min="44" max="44" width="11.28515625" style="25" bestFit="1" customWidth="1"/>
    <col min="45" max="16384" width="9.140625" style="25"/>
  </cols>
  <sheetData>
    <row r="1" spans="1:45" x14ac:dyDescent="0.25">
      <c r="A1" s="331" t="s">
        <v>0</v>
      </c>
      <c r="B1" s="331"/>
      <c r="C1" s="331"/>
      <c r="D1" s="331"/>
      <c r="E1" s="331"/>
      <c r="F1" s="331"/>
      <c r="G1" s="331"/>
      <c r="H1" s="331"/>
      <c r="I1" s="198" t="s">
        <v>706</v>
      </c>
      <c r="AO1" s="272"/>
      <c r="AP1" s="272"/>
      <c r="AQ1" s="272"/>
      <c r="AR1" s="272"/>
    </row>
    <row r="2" spans="1:45" x14ac:dyDescent="0.25">
      <c r="A2" s="331" t="s">
        <v>609</v>
      </c>
      <c r="B2" s="331"/>
      <c r="C2" s="331"/>
      <c r="D2" s="331"/>
      <c r="E2" s="331"/>
      <c r="F2" s="331"/>
      <c r="G2" s="331"/>
      <c r="H2" s="331"/>
      <c r="I2" s="198" t="s">
        <v>608</v>
      </c>
      <c r="AO2" s="272"/>
      <c r="AP2" s="272"/>
      <c r="AQ2" s="30"/>
      <c r="AR2" s="30"/>
      <c r="AS2" s="30"/>
    </row>
    <row r="3" spans="1:45" x14ac:dyDescent="0.25">
      <c r="A3" s="331" t="s">
        <v>975</v>
      </c>
      <c r="B3" s="331"/>
      <c r="C3" s="331"/>
      <c r="D3" s="331"/>
      <c r="E3" s="331"/>
      <c r="F3" s="331"/>
      <c r="G3" s="331"/>
      <c r="H3" s="331"/>
      <c r="I3" s="253"/>
    </row>
    <row r="4" spans="1:45" x14ac:dyDescent="0.25">
      <c r="A4" s="331"/>
      <c r="B4" s="331"/>
      <c r="C4" s="331"/>
      <c r="D4" s="331"/>
      <c r="E4" s="331"/>
      <c r="F4" s="331"/>
      <c r="G4" s="331"/>
      <c r="H4" s="331"/>
      <c r="I4" s="234"/>
    </row>
    <row r="5" spans="1:45" x14ac:dyDescent="0.25">
      <c r="H5" s="198"/>
      <c r="I5" s="234"/>
    </row>
    <row r="6" spans="1:45" x14ac:dyDescent="0.25">
      <c r="B6" s="60"/>
      <c r="F6" s="178">
        <v>39813</v>
      </c>
      <c r="H6" s="178">
        <v>40178</v>
      </c>
    </row>
    <row r="7" spans="1:45" x14ac:dyDescent="0.25">
      <c r="B7" s="132"/>
      <c r="C7" s="133"/>
      <c r="D7" s="133"/>
      <c r="E7" s="133"/>
      <c r="F7" s="133" t="s">
        <v>612</v>
      </c>
      <c r="G7" s="133"/>
      <c r="H7" s="133" t="s">
        <v>613</v>
      </c>
      <c r="I7" s="134" t="s">
        <v>614</v>
      </c>
      <c r="J7" s="133"/>
      <c r="K7" s="133"/>
      <c r="L7" s="133"/>
      <c r="M7" s="133"/>
      <c r="N7" s="134" t="s">
        <v>614</v>
      </c>
      <c r="O7" s="133"/>
      <c r="P7" s="133"/>
      <c r="Q7" s="134" t="s">
        <v>614</v>
      </c>
      <c r="R7" s="133"/>
      <c r="S7" s="133"/>
      <c r="T7" s="133"/>
      <c r="U7" s="133"/>
      <c r="V7" s="135"/>
      <c r="W7" s="135"/>
      <c r="AF7" s="104" t="s">
        <v>613</v>
      </c>
    </row>
    <row r="8" spans="1:45" x14ac:dyDescent="0.25">
      <c r="B8" s="135"/>
      <c r="C8" s="133"/>
      <c r="D8" s="133"/>
      <c r="E8" s="133"/>
      <c r="F8" s="134" t="s">
        <v>615</v>
      </c>
      <c r="G8" s="134" t="s">
        <v>612</v>
      </c>
      <c r="H8" s="134" t="s">
        <v>612</v>
      </c>
      <c r="I8" s="134" t="s">
        <v>616</v>
      </c>
      <c r="J8" s="133"/>
      <c r="K8" s="134" t="s">
        <v>617</v>
      </c>
      <c r="L8" s="133"/>
      <c r="M8" s="134" t="s">
        <v>617</v>
      </c>
      <c r="N8" s="133" t="s">
        <v>616</v>
      </c>
      <c r="O8" s="134"/>
      <c r="P8" s="134" t="s">
        <v>612</v>
      </c>
      <c r="Q8" s="133" t="s">
        <v>616</v>
      </c>
      <c r="R8" s="133"/>
      <c r="S8" s="134" t="s">
        <v>617</v>
      </c>
      <c r="T8" s="133"/>
      <c r="U8" s="134" t="s">
        <v>612</v>
      </c>
      <c r="V8" s="134" t="s">
        <v>617</v>
      </c>
      <c r="W8" s="133"/>
      <c r="X8" s="103" t="s">
        <v>612</v>
      </c>
      <c r="Y8" s="103" t="s">
        <v>617</v>
      </c>
      <c r="Z8" s="104"/>
      <c r="AA8" s="103" t="s">
        <v>612</v>
      </c>
      <c r="AB8" s="103" t="s">
        <v>617</v>
      </c>
      <c r="AC8" s="104"/>
      <c r="AD8" s="103" t="s">
        <v>612</v>
      </c>
      <c r="AE8" s="103" t="s">
        <v>612</v>
      </c>
      <c r="AF8" s="103" t="s">
        <v>612</v>
      </c>
      <c r="AG8" s="103" t="s">
        <v>617</v>
      </c>
      <c r="AH8" s="104"/>
      <c r="AI8" s="103" t="s">
        <v>617</v>
      </c>
      <c r="AJ8" s="104"/>
      <c r="AK8" s="309" t="s">
        <v>617</v>
      </c>
      <c r="AL8" s="310"/>
      <c r="AM8" s="309" t="s">
        <v>617</v>
      </c>
      <c r="AN8" s="310"/>
      <c r="AO8" s="309" t="s">
        <v>617</v>
      </c>
      <c r="AP8" s="310"/>
      <c r="AQ8" s="309" t="s">
        <v>617</v>
      </c>
      <c r="AR8" s="310"/>
    </row>
    <row r="9" spans="1:45" x14ac:dyDescent="0.25">
      <c r="B9" s="135"/>
      <c r="C9" s="133"/>
      <c r="D9" s="133"/>
      <c r="E9" s="136" t="s">
        <v>618</v>
      </c>
      <c r="F9" s="134" t="s">
        <v>619</v>
      </c>
      <c r="G9" s="134" t="s">
        <v>620</v>
      </c>
      <c r="H9" s="134" t="s">
        <v>620</v>
      </c>
      <c r="I9" s="134" t="s">
        <v>619</v>
      </c>
      <c r="J9" s="134" t="s">
        <v>621</v>
      </c>
      <c r="K9" s="134" t="s">
        <v>622</v>
      </c>
      <c r="L9" s="134" t="s">
        <v>621</v>
      </c>
      <c r="M9" s="134" t="s">
        <v>622</v>
      </c>
      <c r="N9" s="79">
        <f>L11</f>
        <v>33603</v>
      </c>
      <c r="O9" s="134" t="s">
        <v>621</v>
      </c>
      <c r="P9" s="134" t="s">
        <v>620</v>
      </c>
      <c r="Q9" s="79">
        <f>O11</f>
        <v>38352</v>
      </c>
      <c r="R9" s="134" t="s">
        <v>621</v>
      </c>
      <c r="S9" s="134" t="s">
        <v>622</v>
      </c>
      <c r="T9" s="134" t="s">
        <v>621</v>
      </c>
      <c r="U9" s="134" t="s">
        <v>620</v>
      </c>
      <c r="V9" s="134" t="s">
        <v>622</v>
      </c>
      <c r="W9" s="134" t="s">
        <v>621</v>
      </c>
      <c r="X9" s="103" t="s">
        <v>620</v>
      </c>
      <c r="Y9" s="103" t="s">
        <v>622</v>
      </c>
      <c r="Z9" s="103" t="s">
        <v>621</v>
      </c>
      <c r="AA9" s="103" t="s">
        <v>620</v>
      </c>
      <c r="AB9" s="103" t="s">
        <v>622</v>
      </c>
      <c r="AC9" s="103" t="s">
        <v>621</v>
      </c>
      <c r="AD9" s="103" t="s">
        <v>620</v>
      </c>
      <c r="AE9" s="103" t="s">
        <v>620</v>
      </c>
      <c r="AF9" s="103" t="s">
        <v>620</v>
      </c>
      <c r="AG9" s="103" t="s">
        <v>622</v>
      </c>
      <c r="AH9" s="103" t="s">
        <v>621</v>
      </c>
      <c r="AI9" s="103" t="s">
        <v>622</v>
      </c>
      <c r="AJ9" s="103" t="s">
        <v>621</v>
      </c>
      <c r="AK9" s="309" t="s">
        <v>622</v>
      </c>
      <c r="AL9" s="309" t="s">
        <v>621</v>
      </c>
      <c r="AM9" s="309" t="s">
        <v>622</v>
      </c>
      <c r="AN9" s="309" t="s">
        <v>621</v>
      </c>
      <c r="AO9" s="309" t="s">
        <v>622</v>
      </c>
      <c r="AP9" s="309" t="s">
        <v>621</v>
      </c>
      <c r="AQ9" s="309" t="s">
        <v>622</v>
      </c>
      <c r="AR9" s="309" t="s">
        <v>621</v>
      </c>
    </row>
    <row r="10" spans="1:45" x14ac:dyDescent="0.25">
      <c r="B10" s="135"/>
      <c r="C10" s="136"/>
      <c r="D10" s="136"/>
      <c r="E10" s="136" t="s">
        <v>623</v>
      </c>
      <c r="F10" s="136" t="s">
        <v>624</v>
      </c>
      <c r="G10" s="134" t="s">
        <v>625</v>
      </c>
      <c r="H10" s="134" t="s">
        <v>626</v>
      </c>
      <c r="I10" s="134" t="s">
        <v>627</v>
      </c>
      <c r="J10" s="134" t="s">
        <v>612</v>
      </c>
      <c r="K10" s="133" t="s">
        <v>626</v>
      </c>
      <c r="L10" s="134" t="s">
        <v>612</v>
      </c>
      <c r="M10" s="134" t="s">
        <v>628</v>
      </c>
      <c r="N10" s="134" t="s">
        <v>627</v>
      </c>
      <c r="O10" s="134" t="s">
        <v>612</v>
      </c>
      <c r="P10" s="134" t="s">
        <v>625</v>
      </c>
      <c r="Q10" s="134" t="s">
        <v>627</v>
      </c>
      <c r="R10" s="134" t="s">
        <v>612</v>
      </c>
      <c r="S10" s="133" t="s">
        <v>626</v>
      </c>
      <c r="T10" s="134" t="s">
        <v>612</v>
      </c>
      <c r="U10" s="134" t="s">
        <v>625</v>
      </c>
      <c r="V10" s="133" t="s">
        <v>626</v>
      </c>
      <c r="W10" s="134" t="s">
        <v>612</v>
      </c>
      <c r="X10" s="103" t="s">
        <v>625</v>
      </c>
      <c r="Y10" s="104" t="s">
        <v>626</v>
      </c>
      <c r="Z10" s="103" t="s">
        <v>612</v>
      </c>
      <c r="AA10" s="103" t="s">
        <v>625</v>
      </c>
      <c r="AB10" s="104" t="s">
        <v>626</v>
      </c>
      <c r="AC10" s="103" t="s">
        <v>612</v>
      </c>
      <c r="AD10" s="103" t="s">
        <v>625</v>
      </c>
      <c r="AE10" s="103" t="s">
        <v>625</v>
      </c>
      <c r="AF10" s="103" t="s">
        <v>626</v>
      </c>
      <c r="AG10" s="104" t="s">
        <v>626</v>
      </c>
      <c r="AH10" s="103" t="s">
        <v>612</v>
      </c>
      <c r="AI10" s="104" t="s">
        <v>626</v>
      </c>
      <c r="AJ10" s="103" t="s">
        <v>612</v>
      </c>
      <c r="AK10" s="310" t="s">
        <v>626</v>
      </c>
      <c r="AL10" s="309" t="s">
        <v>612</v>
      </c>
      <c r="AM10" s="310" t="s">
        <v>626</v>
      </c>
      <c r="AN10" s="309" t="s">
        <v>612</v>
      </c>
      <c r="AO10" s="310" t="s">
        <v>626</v>
      </c>
      <c r="AP10" s="309" t="s">
        <v>612</v>
      </c>
      <c r="AQ10" s="310" t="s">
        <v>626</v>
      </c>
      <c r="AR10" s="309" t="s">
        <v>612</v>
      </c>
    </row>
    <row r="11" spans="1:45" ht="25.5" x14ac:dyDescent="0.25">
      <c r="B11" s="137" t="s">
        <v>601</v>
      </c>
      <c r="C11" s="138" t="s">
        <v>654</v>
      </c>
      <c r="D11" s="138" t="s">
        <v>655</v>
      </c>
      <c r="E11" s="139" t="s">
        <v>629</v>
      </c>
      <c r="F11" s="140">
        <f>DATE(91,11,12)</f>
        <v>33554</v>
      </c>
      <c r="G11" s="140">
        <f>DATE(91,11,13)</f>
        <v>33555</v>
      </c>
      <c r="H11" s="140">
        <f>DATE(91,12,31)</f>
        <v>33603</v>
      </c>
      <c r="I11" s="140">
        <f>DATE(90,12,31)</f>
        <v>33238</v>
      </c>
      <c r="J11" s="140">
        <f>I11</f>
        <v>33238</v>
      </c>
      <c r="K11" s="140">
        <f>DATE(91,12,31)</f>
        <v>33603</v>
      </c>
      <c r="L11" s="140">
        <f>K11</f>
        <v>33603</v>
      </c>
      <c r="M11" s="140">
        <f>L11+1</f>
        <v>33604</v>
      </c>
      <c r="N11" s="140">
        <f>DATE(2004,12,31)</f>
        <v>38352</v>
      </c>
      <c r="O11" s="140">
        <f>DATE(2004,12,31)</f>
        <v>38352</v>
      </c>
      <c r="P11" s="140">
        <f>DATE(2005,1,1)</f>
        <v>38353</v>
      </c>
      <c r="Q11" s="140">
        <f>T11-366</f>
        <v>39447</v>
      </c>
      <c r="R11" s="140">
        <f>Q11</f>
        <v>39447</v>
      </c>
      <c r="S11" s="140">
        <f>T11</f>
        <v>39813</v>
      </c>
      <c r="T11" s="140">
        <f>DATE(2008,12,31)</f>
        <v>39813</v>
      </c>
      <c r="U11" s="140">
        <f>DATE(2009,1,1)</f>
        <v>39814</v>
      </c>
      <c r="V11" s="140">
        <f>W11</f>
        <v>40178</v>
      </c>
      <c r="W11" s="140">
        <f>DATE(2009,12,31)</f>
        <v>40178</v>
      </c>
      <c r="X11" s="105">
        <f>DATE(2010,1,1)</f>
        <v>40179</v>
      </c>
      <c r="Y11" s="105">
        <f>DATE(2010,12,31)</f>
        <v>40543</v>
      </c>
      <c r="Z11" s="105">
        <f>DATE(2010,12,31)</f>
        <v>40543</v>
      </c>
      <c r="AA11" s="105">
        <f>DATE(2011,1,1)</f>
        <v>40544</v>
      </c>
      <c r="AB11" s="105">
        <f>DATE(2011,12,31)</f>
        <v>40908</v>
      </c>
      <c r="AC11" s="105">
        <f>DATE(2011,12,31)</f>
        <v>40908</v>
      </c>
      <c r="AD11" s="105">
        <f>DATE(2012,1,1)</f>
        <v>40909</v>
      </c>
      <c r="AE11" s="105">
        <v>41000</v>
      </c>
      <c r="AF11" s="105"/>
      <c r="AG11" s="105">
        <f>DATE(2012,12,31)</f>
        <v>41274</v>
      </c>
      <c r="AH11" s="105">
        <f>DATE(2012,12,31)</f>
        <v>41274</v>
      </c>
      <c r="AI11" s="105">
        <f>DATE(2013,12,31)</f>
        <v>41639</v>
      </c>
      <c r="AJ11" s="105">
        <f>DATE(2013,12,31)</f>
        <v>41639</v>
      </c>
      <c r="AK11" s="311">
        <f>+AL11</f>
        <v>42004</v>
      </c>
      <c r="AL11" s="312">
        <v>42004</v>
      </c>
      <c r="AM11" s="311">
        <f>+AN11</f>
        <v>42369</v>
      </c>
      <c r="AN11" s="312">
        <v>42369</v>
      </c>
      <c r="AO11" s="311">
        <f>+AP11</f>
        <v>42735</v>
      </c>
      <c r="AP11" s="312">
        <v>42735</v>
      </c>
      <c r="AQ11" s="311">
        <v>43100</v>
      </c>
      <c r="AR11" s="312">
        <v>43100</v>
      </c>
    </row>
    <row r="12" spans="1:45" x14ac:dyDescent="0.25">
      <c r="B12" s="135"/>
      <c r="C12" s="135"/>
      <c r="D12" s="135"/>
      <c r="E12" s="135"/>
      <c r="F12" s="135"/>
      <c r="G12" s="135"/>
      <c r="H12" s="135"/>
      <c r="I12" s="135"/>
      <c r="J12" s="141" t="s">
        <v>630</v>
      </c>
      <c r="K12" s="141" t="s">
        <v>631</v>
      </c>
      <c r="L12" s="141" t="s">
        <v>632</v>
      </c>
      <c r="M12" s="141" t="s">
        <v>633</v>
      </c>
      <c r="N12" s="141"/>
      <c r="O12" s="141" t="s">
        <v>634</v>
      </c>
      <c r="P12" s="135"/>
      <c r="Q12" s="141"/>
      <c r="R12" s="141" t="s">
        <v>641</v>
      </c>
      <c r="S12" s="142" t="s">
        <v>642</v>
      </c>
      <c r="T12" s="141" t="s">
        <v>643</v>
      </c>
      <c r="U12" s="135"/>
      <c r="V12" s="142" t="s">
        <v>644</v>
      </c>
      <c r="W12" s="141" t="s">
        <v>645</v>
      </c>
      <c r="X12" s="106"/>
      <c r="Y12" s="107" t="s">
        <v>915</v>
      </c>
      <c r="Z12" s="108" t="s">
        <v>916</v>
      </c>
      <c r="AA12" s="106"/>
      <c r="AB12" s="107" t="s">
        <v>1013</v>
      </c>
      <c r="AC12" s="108" t="s">
        <v>1014</v>
      </c>
      <c r="AD12" s="106"/>
      <c r="AE12" s="106"/>
      <c r="AF12" s="106"/>
      <c r="AG12" s="104" t="s">
        <v>1115</v>
      </c>
      <c r="AH12" s="108" t="s">
        <v>1116</v>
      </c>
      <c r="AK12" s="313" t="s">
        <v>1245</v>
      </c>
      <c r="AL12" s="313" t="s">
        <v>1244</v>
      </c>
      <c r="AM12" s="313" t="s">
        <v>1262</v>
      </c>
      <c r="AN12" s="313" t="s">
        <v>1263</v>
      </c>
      <c r="AO12" s="313" t="s">
        <v>1310</v>
      </c>
      <c r="AP12" s="313" t="s">
        <v>1316</v>
      </c>
      <c r="AQ12" s="313" t="s">
        <v>1343</v>
      </c>
      <c r="AR12" s="313" t="s">
        <v>1344</v>
      </c>
    </row>
    <row r="13" spans="1:45" x14ac:dyDescent="0.25">
      <c r="B13" s="135"/>
      <c r="C13" s="135"/>
      <c r="D13" s="135"/>
      <c r="E13" s="135"/>
      <c r="F13" s="135"/>
      <c r="G13" s="135"/>
      <c r="H13" s="135"/>
      <c r="I13" s="135"/>
      <c r="J13" s="135"/>
      <c r="K13" s="135"/>
      <c r="L13" s="135"/>
      <c r="M13" s="135"/>
      <c r="N13" s="135"/>
      <c r="O13" s="135"/>
      <c r="P13" s="135"/>
      <c r="Q13" s="135"/>
      <c r="R13" s="135"/>
      <c r="S13" s="135"/>
      <c r="T13" s="135"/>
      <c r="U13" s="135"/>
      <c r="V13" s="135"/>
      <c r="W13" s="135"/>
      <c r="X13" s="106"/>
      <c r="Y13" s="106"/>
      <c r="Z13" s="106"/>
      <c r="AD13" s="106"/>
      <c r="AE13" s="106"/>
      <c r="AF13" s="106"/>
      <c r="AG13" s="106"/>
      <c r="AH13" s="106"/>
      <c r="AK13" s="313"/>
      <c r="AL13" s="313"/>
      <c r="AM13" s="313"/>
      <c r="AN13" s="313"/>
    </row>
    <row r="14" spans="1:45" x14ac:dyDescent="0.25">
      <c r="B14" s="132" t="s">
        <v>635</v>
      </c>
      <c r="C14" s="135"/>
      <c r="D14" s="135"/>
      <c r="E14" s="135"/>
      <c r="F14" s="135"/>
      <c r="G14" s="135"/>
      <c r="H14" s="135"/>
      <c r="I14" s="135"/>
      <c r="J14" s="135"/>
      <c r="K14" s="135"/>
      <c r="L14" s="135"/>
      <c r="M14" s="135"/>
      <c r="N14" s="135"/>
      <c r="O14" s="135"/>
      <c r="P14" s="135"/>
      <c r="Q14" s="135"/>
      <c r="R14" s="135"/>
      <c r="S14" s="135"/>
      <c r="T14" s="135"/>
      <c r="U14" s="135"/>
      <c r="V14" s="135"/>
      <c r="W14" s="135"/>
      <c r="X14" s="106"/>
      <c r="Y14" s="106"/>
      <c r="Z14" s="106"/>
      <c r="AD14" s="106"/>
      <c r="AE14" s="106"/>
      <c r="AF14" s="106"/>
      <c r="AG14" s="106"/>
      <c r="AH14" s="106"/>
    </row>
    <row r="15" spans="1:45" x14ac:dyDescent="0.25">
      <c r="B15" s="132" t="s">
        <v>636</v>
      </c>
      <c r="C15" s="242">
        <v>5954751</v>
      </c>
      <c r="D15" s="143">
        <f>DATE(81,12,1)</f>
        <v>29921</v>
      </c>
      <c r="E15" s="144">
        <f>ROUND(1/12,3)</f>
        <v>8.3000000000000004E-2</v>
      </c>
      <c r="F15" s="243">
        <v>3.5700000000000003E-2</v>
      </c>
      <c r="G15" s="243">
        <v>3.09E-2</v>
      </c>
      <c r="H15" s="145">
        <f>(ROUND(F15*(10/12+(12/30*1/12)),3)+ROUND(G15*((18/30*1/12)+1/12),3))</f>
        <v>3.5000000000000003E-2</v>
      </c>
      <c r="I15" s="244">
        <v>9.0830000000000002</v>
      </c>
      <c r="J15" s="146">
        <f>I15*F15*C15</f>
        <v>1930906.0189881001</v>
      </c>
      <c r="K15" s="146">
        <f>H15*C15</f>
        <v>208416.28500000003</v>
      </c>
      <c r="L15" s="146">
        <f>SUM(J15:K15)</f>
        <v>2139322.3039881</v>
      </c>
      <c r="M15" s="146">
        <f>C15*G15</f>
        <v>184001.80590000001</v>
      </c>
      <c r="N15" s="244">
        <v>13</v>
      </c>
      <c r="O15" s="146">
        <f>L15+(M15*N15)</f>
        <v>4531345.7806880996</v>
      </c>
      <c r="P15" s="243">
        <v>1.9699999999999999E-2</v>
      </c>
      <c r="Q15" s="244">
        <v>3</v>
      </c>
      <c r="R15" s="146">
        <f>IF(($C15*$P15*$Q15+$O15)&gt;$C15,$C15,($C15*$P15*$Q15+$O15))</f>
        <v>4883271.5647880994</v>
      </c>
      <c r="S15" s="146">
        <f>T15-R15</f>
        <v>117308.59470000025</v>
      </c>
      <c r="T15" s="146">
        <f>IF(($C15*$P15+$R15)&gt;$C15,$C15,($C15*$P15+$R15))</f>
        <v>5000580.1594880996</v>
      </c>
      <c r="U15" s="243">
        <v>2.35E-2</v>
      </c>
      <c r="V15" s="135">
        <f>W15-T15</f>
        <v>139936.64850000013</v>
      </c>
      <c r="W15" s="146">
        <f>IF(($C15*$U15+$T15)&gt;$C15,$C15,($C15*$U15+$T15))</f>
        <v>5140516.8079880998</v>
      </c>
      <c r="X15" s="247">
        <v>2.35E-2</v>
      </c>
      <c r="Y15" s="106">
        <f>Z15-W15</f>
        <v>139936.64850000013</v>
      </c>
      <c r="Z15" s="109">
        <f>IF(($C15*$X15+$W15)&gt;$C15,$C15,($C15*$X15+$W15))</f>
        <v>5280453.4564880999</v>
      </c>
      <c r="AA15" s="247">
        <v>2.35E-2</v>
      </c>
      <c r="AB15" s="106">
        <f>AC15-Z15</f>
        <v>139936.64850000013</v>
      </c>
      <c r="AC15" s="109">
        <f>IF(($C15*$AA15+$Z15)&gt;$C15,$C15,($C15*$AA15+$Z15))</f>
        <v>5420390.1049881</v>
      </c>
      <c r="AD15" s="247">
        <v>2.35E-2</v>
      </c>
      <c r="AE15" s="247">
        <v>2.7199999999999998E-2</v>
      </c>
      <c r="AF15" s="111">
        <f>((AD15*3)+(AE15*9))/12</f>
        <v>2.6275000000000003E-2</v>
      </c>
      <c r="AG15" s="248">
        <v>156461</v>
      </c>
      <c r="AH15" s="109">
        <f>IF(($C15*$AF15+$AC15)&gt;$C15,$C15,($C15*$AF15+$AC15))</f>
        <v>5576851.1875131</v>
      </c>
      <c r="AI15" s="109">
        <f>AJ15-AH15</f>
        <v>161969.22719999962</v>
      </c>
      <c r="AJ15" s="109">
        <f>IF(($C15*$AE15+$AH15)&gt;$C15,$C15,($C15*$AE15+$AH15))</f>
        <v>5738820.4147130996</v>
      </c>
      <c r="AK15" s="106">
        <f>+AL15-AJ15</f>
        <v>161969.22719999962</v>
      </c>
      <c r="AL15" s="106">
        <f>IF(($C15*$AE15+AJ15)&gt;$C15,$C15,($C15*$AE15+AJ15))</f>
        <v>5900789.6419130992</v>
      </c>
      <c r="AM15" s="106">
        <f>+AN15-AL15</f>
        <v>53961.358086900786</v>
      </c>
      <c r="AN15" s="106">
        <f>IF(($C15*$AE15+AL15)&gt;$C15,$C15,($C15*$AE15+AL15))</f>
        <v>5954751</v>
      </c>
      <c r="AO15" s="106">
        <f>+AP15-AN15</f>
        <v>0</v>
      </c>
      <c r="AP15" s="106">
        <f>IF(($C15*$AE15+AN15)&gt;$C15,$C15,($C15*$AE15+AN15))</f>
        <v>5954751</v>
      </c>
      <c r="AQ15" s="106">
        <f>+AR15-AP15</f>
        <v>0</v>
      </c>
      <c r="AR15" s="106">
        <f t="shared" ref="AR15:AR22" si="0">IF(($C15*$AE15+AP15)&gt;$C15,$C15,($C15*$AE15+AP15))</f>
        <v>5954751</v>
      </c>
    </row>
    <row r="16" spans="1:45" x14ac:dyDescent="0.25">
      <c r="B16" s="132" t="s">
        <v>637</v>
      </c>
      <c r="C16" s="242">
        <v>35427336</v>
      </c>
      <c r="D16" s="143">
        <f>DATE(84,3,1)</f>
        <v>30742</v>
      </c>
      <c r="E16" s="144">
        <f>ROUND(10/12,3)</f>
        <v>0.83299999999999996</v>
      </c>
      <c r="F16" s="145">
        <f t="shared" ref="F16:H17" si="1">F15</f>
        <v>3.5700000000000003E-2</v>
      </c>
      <c r="G16" s="145">
        <f t="shared" si="1"/>
        <v>3.09E-2</v>
      </c>
      <c r="H16" s="145">
        <f t="shared" si="1"/>
        <v>3.5000000000000003E-2</v>
      </c>
      <c r="I16" s="244">
        <v>6.8330000000000002</v>
      </c>
      <c r="J16" s="146">
        <f>I16*F16*C16</f>
        <v>8642077.0319015998</v>
      </c>
      <c r="K16" s="146">
        <f>H16*C16</f>
        <v>1239956.76</v>
      </c>
      <c r="L16" s="146">
        <f>SUM(J16:K16)</f>
        <v>9882033.7919015996</v>
      </c>
      <c r="M16" s="146">
        <f>C16*G16</f>
        <v>1094704.6824</v>
      </c>
      <c r="N16" s="244">
        <v>13</v>
      </c>
      <c r="O16" s="146">
        <f>L16+(M16*N16)</f>
        <v>24113194.663101599</v>
      </c>
      <c r="P16" s="145">
        <f>P15</f>
        <v>1.9699999999999999E-2</v>
      </c>
      <c r="Q16" s="244">
        <v>3</v>
      </c>
      <c r="R16" s="146">
        <f>IF(($C16*$P16*$Q16+$O16)&gt;$C16,$C16,($C16*$P16*$Q16+$O16))</f>
        <v>26206950.220701598</v>
      </c>
      <c r="S16" s="146">
        <f>T16-R16</f>
        <v>697918.51920000091</v>
      </c>
      <c r="T16" s="146">
        <f>IF(($C16*$P16+$R16)&gt;$C16,$C16,($C16*$P16+$R16))</f>
        <v>26904868.739901599</v>
      </c>
      <c r="U16" s="145">
        <f>U15</f>
        <v>2.35E-2</v>
      </c>
      <c r="V16" s="135">
        <f>W16-T16</f>
        <v>832542.39600000158</v>
      </c>
      <c r="W16" s="146">
        <f>IF(($C16*$U16+$T16)&gt;$C16,$C16,($C16*$U16+$T16))</f>
        <v>27737411.1359016</v>
      </c>
      <c r="X16" s="111">
        <f>X15</f>
        <v>2.35E-2</v>
      </c>
      <c r="Y16" s="106">
        <f>Z16-W16</f>
        <v>832542.39600000158</v>
      </c>
      <c r="Z16" s="109">
        <f>IF(($C16*$X16+$W16)&gt;$C16,$C16,($C16*$X16+$W16))</f>
        <v>28569953.531901602</v>
      </c>
      <c r="AA16" s="111">
        <f>AA15</f>
        <v>2.35E-2</v>
      </c>
      <c r="AB16" s="106">
        <f>AC16-Z16</f>
        <v>832542.39600000158</v>
      </c>
      <c r="AC16" s="109">
        <f>IF(($C16*$AA16+$Z16)&gt;$C16,$C16,($C16*$AA16+$Z16))</f>
        <v>29402495.927901603</v>
      </c>
      <c r="AD16" s="111">
        <f>AD15</f>
        <v>2.35E-2</v>
      </c>
      <c r="AE16" s="247">
        <v>2.7199999999999998E-2</v>
      </c>
      <c r="AF16" s="111">
        <f t="shared" ref="AF16:AF17" si="2">((AD16*3)+(AE16*9))/12</f>
        <v>2.6275000000000003E-2</v>
      </c>
      <c r="AG16" s="248">
        <v>930853</v>
      </c>
      <c r="AH16" s="109">
        <f t="shared" ref="AH16:AH17" si="3">IF(($C16*$AF16+$AC16)&gt;$C16,$C16,($C16*$AF16+$AC16))</f>
        <v>30333349.181301605</v>
      </c>
      <c r="AI16" s="109">
        <f t="shared" ref="AI16:AI17" si="4">AJ16-AH16</f>
        <v>963623.53920000046</v>
      </c>
      <c r="AJ16" s="109">
        <f t="shared" ref="AJ16:AJ18" si="5">IF(($C16*$AE16+$AH16)&gt;$C16,$C16,($C16*$AE16+$AH16))</f>
        <v>31296972.720501605</v>
      </c>
      <c r="AK16" s="106">
        <f>+AL16-AJ16</f>
        <v>963623.53920000046</v>
      </c>
      <c r="AL16" s="106">
        <f t="shared" ref="AL16:AL18" si="6">IF(($C16*$AE16+AJ16)&gt;$C16,$C16,($C16*$AE16+AJ16))</f>
        <v>32260596.259701606</v>
      </c>
      <c r="AM16" s="106">
        <f t="shared" ref="AM16:AM17" si="7">+AN16-AL16</f>
        <v>963623.53920000046</v>
      </c>
      <c r="AN16" s="106">
        <f t="shared" ref="AN16:AN20" si="8">IF(($C16*$AE16+AL16)&gt;$C16,$C16,($C16*$AE16+AL16))</f>
        <v>33224219.798901606</v>
      </c>
      <c r="AO16" s="106">
        <f t="shared" ref="AO16:AQ17" si="9">+AP16-AN16</f>
        <v>963623.53919999674</v>
      </c>
      <c r="AP16" s="106">
        <f t="shared" ref="AP16:AP17" si="10">IF(($C16*$AE16+AN16)&gt;$C16,$C16,($C16*$AE16+AN16))</f>
        <v>34187843.338101603</v>
      </c>
      <c r="AQ16" s="106">
        <f t="shared" si="9"/>
        <v>963623.53920000046</v>
      </c>
      <c r="AR16" s="106">
        <f t="shared" si="0"/>
        <v>35151466.877301604</v>
      </c>
    </row>
    <row r="17" spans="2:44" x14ac:dyDescent="0.25">
      <c r="B17" s="132" t="s">
        <v>638</v>
      </c>
      <c r="C17" s="242">
        <v>815183</v>
      </c>
      <c r="D17" s="143">
        <f>DATE(86,9,13)</f>
        <v>31668</v>
      </c>
      <c r="E17" s="144">
        <f>ROUND(18/30*1/12,3)+3/12</f>
        <v>0.3</v>
      </c>
      <c r="F17" s="145">
        <f t="shared" si="1"/>
        <v>3.5700000000000003E-2</v>
      </c>
      <c r="G17" s="145">
        <f t="shared" si="1"/>
        <v>3.09E-2</v>
      </c>
      <c r="H17" s="145">
        <f t="shared" si="1"/>
        <v>3.5000000000000003E-2</v>
      </c>
      <c r="I17" s="244">
        <v>4.3</v>
      </c>
      <c r="J17" s="146">
        <f>I17*F17*C17</f>
        <v>125138.74233000001</v>
      </c>
      <c r="K17" s="146">
        <f>H17*C17</f>
        <v>28531.405000000002</v>
      </c>
      <c r="L17" s="146">
        <f>SUM(J17:K17)</f>
        <v>153670.14733000001</v>
      </c>
      <c r="M17" s="146">
        <f>C17*G17</f>
        <v>25189.154699999999</v>
      </c>
      <c r="N17" s="244">
        <v>13</v>
      </c>
      <c r="O17" s="146">
        <f>L17+(M17*N17)</f>
        <v>481129.15843000001</v>
      </c>
      <c r="P17" s="145">
        <f>P16</f>
        <v>1.9699999999999999E-2</v>
      </c>
      <c r="Q17" s="244">
        <v>3</v>
      </c>
      <c r="R17" s="146">
        <f>IF(($C17*$P17*$Q17+$O17)&gt;$C17,$C17,($C17*$P17*$Q17+$O17))</f>
        <v>529306.47372999997</v>
      </c>
      <c r="S17" s="146">
        <f>T17-R17</f>
        <v>16059.105100000044</v>
      </c>
      <c r="T17" s="146">
        <f>IF(($C17*$P17+$R17)&gt;$C17,$C17,($C17*$P17+$R17))</f>
        <v>545365.57883000001</v>
      </c>
      <c r="U17" s="145">
        <f>U16</f>
        <v>2.35E-2</v>
      </c>
      <c r="V17" s="135">
        <f>W17-T17</f>
        <v>19156.800500000012</v>
      </c>
      <c r="W17" s="146">
        <f>IF(($C17*$U17+$T17)&gt;$C17,$C17,($C17*$U17+$T17))</f>
        <v>564522.37933000003</v>
      </c>
      <c r="X17" s="111">
        <f>X16</f>
        <v>2.35E-2</v>
      </c>
      <c r="Y17" s="106">
        <f>Z17-W17</f>
        <v>19156.800500000012</v>
      </c>
      <c r="Z17" s="109">
        <f>IF(($C17*$X17+$W17)&gt;$C17,$C17,($C17*$X17+$W17))</f>
        <v>583679.17983000004</v>
      </c>
      <c r="AA17" s="111">
        <f>AA16</f>
        <v>2.35E-2</v>
      </c>
      <c r="AB17" s="106">
        <f>AC17-Z17</f>
        <v>19156.800500000012</v>
      </c>
      <c r="AC17" s="109">
        <f>IF(($C17*$AA17+$Z17)&gt;$C17,$C17,($C17*$AA17+$Z17))</f>
        <v>602835.98033000005</v>
      </c>
      <c r="AD17" s="111">
        <f>AD16</f>
        <v>2.35E-2</v>
      </c>
      <c r="AE17" s="247">
        <v>2.7199999999999998E-2</v>
      </c>
      <c r="AF17" s="111">
        <f t="shared" si="2"/>
        <v>2.6275000000000003E-2</v>
      </c>
      <c r="AG17" s="248">
        <v>21419</v>
      </c>
      <c r="AH17" s="109">
        <f t="shared" si="3"/>
        <v>624254.91365500004</v>
      </c>
      <c r="AI17" s="109">
        <f t="shared" si="4"/>
        <v>22172.977599999984</v>
      </c>
      <c r="AJ17" s="109">
        <f t="shared" si="5"/>
        <v>646427.89125500002</v>
      </c>
      <c r="AK17" s="106">
        <f t="shared" ref="AK17" si="11">+AL17-AJ17</f>
        <v>22172.977599999984</v>
      </c>
      <c r="AL17" s="106">
        <f t="shared" si="6"/>
        <v>668600.86885500001</v>
      </c>
      <c r="AM17" s="106">
        <f t="shared" si="7"/>
        <v>22172.977599999984</v>
      </c>
      <c r="AN17" s="106">
        <f t="shared" si="8"/>
        <v>690773.84645499999</v>
      </c>
      <c r="AO17" s="106">
        <f t="shared" si="9"/>
        <v>22172.977599999984</v>
      </c>
      <c r="AP17" s="106">
        <f t="shared" si="10"/>
        <v>712946.82405499998</v>
      </c>
      <c r="AQ17" s="106">
        <f t="shared" si="9"/>
        <v>22172.977599999984</v>
      </c>
      <c r="AR17" s="106">
        <f t="shared" si="0"/>
        <v>735119.80165499996</v>
      </c>
    </row>
    <row r="18" spans="2:44" x14ac:dyDescent="0.25">
      <c r="B18" s="132" t="s">
        <v>1248</v>
      </c>
      <c r="C18" s="242">
        <v>204093450.05000001</v>
      </c>
      <c r="D18" s="143">
        <f>DATE(13,1,1)</f>
        <v>4750</v>
      </c>
      <c r="E18" s="144"/>
      <c r="F18" s="145"/>
      <c r="G18" s="145"/>
      <c r="H18" s="145"/>
      <c r="I18" s="118"/>
      <c r="J18" s="146"/>
      <c r="K18" s="146"/>
      <c r="L18" s="146"/>
      <c r="M18" s="146"/>
      <c r="N18" s="244"/>
      <c r="O18" s="146"/>
      <c r="P18" s="145"/>
      <c r="Q18" s="244"/>
      <c r="R18" s="146"/>
      <c r="S18" s="146"/>
      <c r="T18" s="146"/>
      <c r="U18" s="145"/>
      <c r="V18" s="135"/>
      <c r="W18" s="146"/>
      <c r="X18" s="111"/>
      <c r="Y18" s="106"/>
      <c r="Z18" s="109"/>
      <c r="AA18" s="111"/>
      <c r="AB18" s="106"/>
      <c r="AC18" s="109"/>
      <c r="AD18" s="111"/>
      <c r="AE18" s="247">
        <v>3.7600000000000001E-2</v>
      </c>
      <c r="AF18" s="111"/>
      <c r="AG18" s="106"/>
      <c r="AH18" s="249">
        <v>0</v>
      </c>
      <c r="AI18" s="109">
        <f t="shared" ref="AI18:AK18" si="12">AJ18-AH18</f>
        <v>7673913.721880001</v>
      </c>
      <c r="AJ18" s="109">
        <f t="shared" si="5"/>
        <v>7673913.721880001</v>
      </c>
      <c r="AK18" s="109">
        <f t="shared" si="12"/>
        <v>7673913.721880001</v>
      </c>
      <c r="AL18" s="106">
        <f t="shared" si="6"/>
        <v>15347827.443760002</v>
      </c>
      <c r="AM18" s="109">
        <f t="shared" ref="AM18:AM20" si="13">AN18-AL18</f>
        <v>7673913.7218800019</v>
      </c>
      <c r="AN18" s="106">
        <f>IF(($C18*$AE18+AL18)&gt;$C18,$C18,($C18*$AE18+AL18))</f>
        <v>23021741.165640004</v>
      </c>
      <c r="AO18" s="109">
        <f t="shared" ref="AO18:AQ20" si="14">AP18-AN18</f>
        <v>7673913.7218800001</v>
      </c>
      <c r="AP18" s="106">
        <f>IF(($C18*$AE18+AN18)&gt;$C18,$C18,($C18*$AE18+AN18))</f>
        <v>30695654.887520004</v>
      </c>
      <c r="AQ18" s="109">
        <f t="shared" si="14"/>
        <v>7673913.7218800001</v>
      </c>
      <c r="AR18" s="106">
        <f t="shared" si="0"/>
        <v>38369568.609400004</v>
      </c>
    </row>
    <row r="19" spans="2:44" x14ac:dyDescent="0.25">
      <c r="B19" s="132" t="s">
        <v>1249</v>
      </c>
      <c r="C19" s="265">
        <f>209883072-C18</f>
        <v>5789621.9499999881</v>
      </c>
      <c r="D19" s="143">
        <f>DATE(14,1,1)</f>
        <v>5115</v>
      </c>
      <c r="E19" s="144"/>
      <c r="F19" s="145"/>
      <c r="G19" s="145"/>
      <c r="H19" s="145"/>
      <c r="I19" s="118"/>
      <c r="J19" s="146"/>
      <c r="K19" s="146"/>
      <c r="L19" s="146"/>
      <c r="M19" s="146"/>
      <c r="N19" s="244"/>
      <c r="O19" s="146"/>
      <c r="P19" s="145"/>
      <c r="Q19" s="244"/>
      <c r="R19" s="146"/>
      <c r="S19" s="146"/>
      <c r="T19" s="146"/>
      <c r="U19" s="145"/>
      <c r="V19" s="135"/>
      <c r="W19" s="146"/>
      <c r="X19" s="111"/>
      <c r="Y19" s="106"/>
      <c r="Z19" s="109"/>
      <c r="AA19" s="111"/>
      <c r="AB19" s="106"/>
      <c r="AC19" s="109"/>
      <c r="AD19" s="111"/>
      <c r="AE19" s="247">
        <v>3.7600000000000001E-2</v>
      </c>
      <c r="AF19" s="111"/>
      <c r="AG19" s="106"/>
      <c r="AH19" s="249"/>
      <c r="AI19" s="109"/>
      <c r="AJ19" s="249">
        <v>0</v>
      </c>
      <c r="AK19" s="109">
        <f t="shared" ref="AK19" si="15">AL19-AJ19</f>
        <v>217689.78531999956</v>
      </c>
      <c r="AL19" s="106">
        <f t="shared" ref="AL19" si="16">IF(($C19*$AE19+AJ19)&gt;$C19,$C19,($C19*$AE19+AJ19))</f>
        <v>217689.78531999956</v>
      </c>
      <c r="AM19" s="109">
        <f t="shared" si="13"/>
        <v>217689.78531999956</v>
      </c>
      <c r="AN19" s="106">
        <f t="shared" si="8"/>
        <v>435379.57063999912</v>
      </c>
      <c r="AO19" s="109">
        <f t="shared" si="14"/>
        <v>217689.78531999956</v>
      </c>
      <c r="AP19" s="106">
        <f t="shared" ref="AP19:AP21" si="17">IF(($C19*$AE19+AN19)&gt;$C19,$C19,($C19*$AE19+AN19))</f>
        <v>653069.35595999868</v>
      </c>
      <c r="AQ19" s="109">
        <f t="shared" si="14"/>
        <v>217689.78531999956</v>
      </c>
      <c r="AR19" s="106">
        <f t="shared" si="0"/>
        <v>870759.14127999824</v>
      </c>
    </row>
    <row r="20" spans="2:44" x14ac:dyDescent="0.25">
      <c r="B20" s="132" t="s">
        <v>1261</v>
      </c>
      <c r="C20" s="265">
        <f>217047949-C19-C18</f>
        <v>7164877</v>
      </c>
      <c r="D20" s="143">
        <f>DATE(15,1,1)</f>
        <v>5480</v>
      </c>
      <c r="E20" s="144"/>
      <c r="F20" s="145"/>
      <c r="G20" s="145"/>
      <c r="H20" s="145"/>
      <c r="I20" s="118"/>
      <c r="J20" s="146"/>
      <c r="K20" s="146"/>
      <c r="L20" s="146"/>
      <c r="M20" s="146"/>
      <c r="N20" s="244"/>
      <c r="O20" s="146"/>
      <c r="P20" s="145"/>
      <c r="Q20" s="244"/>
      <c r="R20" s="146"/>
      <c r="S20" s="146"/>
      <c r="T20" s="146"/>
      <c r="U20" s="145"/>
      <c r="V20" s="135"/>
      <c r="W20" s="146"/>
      <c r="X20" s="111"/>
      <c r="Y20" s="106"/>
      <c r="Z20" s="109"/>
      <c r="AA20" s="111"/>
      <c r="AB20" s="106"/>
      <c r="AC20" s="109"/>
      <c r="AD20" s="111"/>
      <c r="AE20" s="247">
        <v>3.7600000000000001E-2</v>
      </c>
      <c r="AF20" s="111"/>
      <c r="AG20" s="106"/>
      <c r="AH20" s="249"/>
      <c r="AI20" s="109"/>
      <c r="AJ20" s="249"/>
      <c r="AK20" s="109"/>
      <c r="AL20" s="248">
        <v>0</v>
      </c>
      <c r="AM20" s="109">
        <f t="shared" si="13"/>
        <v>269399.37520000001</v>
      </c>
      <c r="AN20" s="106">
        <f t="shared" si="8"/>
        <v>269399.37520000001</v>
      </c>
      <c r="AO20" s="109">
        <f t="shared" si="14"/>
        <v>269399.37520000001</v>
      </c>
      <c r="AP20" s="106">
        <f t="shared" si="17"/>
        <v>538798.75040000002</v>
      </c>
      <c r="AQ20" s="109">
        <f t="shared" si="14"/>
        <v>269399.37520000001</v>
      </c>
      <c r="AR20" s="106">
        <f t="shared" si="0"/>
        <v>808198.12560000003</v>
      </c>
    </row>
    <row r="21" spans="2:44" x14ac:dyDescent="0.25">
      <c r="B21" s="278" t="s">
        <v>1308</v>
      </c>
      <c r="C21" s="265">
        <f>217647899-C20-C19-C18</f>
        <v>599950</v>
      </c>
      <c r="D21" s="279">
        <f>DATE(16,1,1)</f>
        <v>5845</v>
      </c>
      <c r="E21" s="144"/>
      <c r="F21" s="145"/>
      <c r="G21" s="145"/>
      <c r="H21" s="145"/>
      <c r="I21" s="118"/>
      <c r="J21" s="146"/>
      <c r="K21" s="146"/>
      <c r="L21" s="146"/>
      <c r="M21" s="146"/>
      <c r="N21" s="244"/>
      <c r="O21" s="146"/>
      <c r="P21" s="145"/>
      <c r="Q21" s="244"/>
      <c r="R21" s="146"/>
      <c r="S21" s="146"/>
      <c r="T21" s="146"/>
      <c r="U21" s="145"/>
      <c r="V21" s="135"/>
      <c r="W21" s="146"/>
      <c r="X21" s="111"/>
      <c r="Y21" s="106"/>
      <c r="Z21" s="109"/>
      <c r="AA21" s="111"/>
      <c r="AB21" s="106"/>
      <c r="AC21" s="109"/>
      <c r="AD21" s="111"/>
      <c r="AE21" s="247">
        <v>3.7600000000000001E-2</v>
      </c>
      <c r="AF21" s="111"/>
      <c r="AG21" s="106"/>
      <c r="AH21" s="249"/>
      <c r="AI21" s="109"/>
      <c r="AJ21" s="249"/>
      <c r="AK21" s="109"/>
      <c r="AL21" s="248"/>
      <c r="AM21" s="109"/>
      <c r="AN21" s="248">
        <v>0</v>
      </c>
      <c r="AO21" s="109">
        <f>AP21-AN21</f>
        <v>22558.120000000003</v>
      </c>
      <c r="AP21" s="106">
        <f t="shared" si="17"/>
        <v>22558.120000000003</v>
      </c>
      <c r="AQ21" s="109">
        <f>AR21-AP21</f>
        <v>22558.120000000003</v>
      </c>
      <c r="AR21" s="106">
        <f t="shared" si="0"/>
        <v>45116.240000000005</v>
      </c>
    </row>
    <row r="22" spans="2:44" x14ac:dyDescent="0.25">
      <c r="B22" s="278" t="s">
        <v>1334</v>
      </c>
      <c r="C22" s="314">
        <f>217934049-C21-C20-C19-C18</f>
        <v>286150</v>
      </c>
      <c r="D22" s="279">
        <f>DATE(17,1,1)</f>
        <v>6211</v>
      </c>
      <c r="E22" s="144"/>
      <c r="F22" s="145"/>
      <c r="G22" s="145"/>
      <c r="H22" s="145"/>
      <c r="I22" s="118"/>
      <c r="J22" s="146"/>
      <c r="K22" s="146"/>
      <c r="L22" s="146"/>
      <c r="M22" s="146"/>
      <c r="N22" s="244"/>
      <c r="O22" s="146"/>
      <c r="P22" s="145"/>
      <c r="Q22" s="244"/>
      <c r="R22" s="146"/>
      <c r="S22" s="146"/>
      <c r="T22" s="146"/>
      <c r="U22" s="145"/>
      <c r="V22" s="135"/>
      <c r="W22" s="146"/>
      <c r="X22" s="111"/>
      <c r="Y22" s="106"/>
      <c r="Z22" s="109"/>
      <c r="AA22" s="111"/>
      <c r="AB22" s="106"/>
      <c r="AC22" s="109"/>
      <c r="AD22" s="111"/>
      <c r="AE22" s="247">
        <v>3.7600000000000001E-2</v>
      </c>
      <c r="AF22" s="111"/>
      <c r="AG22" s="106"/>
      <c r="AH22" s="249"/>
      <c r="AI22" s="109"/>
      <c r="AJ22" s="249"/>
      <c r="AK22" s="109"/>
      <c r="AL22" s="248"/>
      <c r="AM22" s="109"/>
      <c r="AN22" s="248"/>
      <c r="AO22" s="109"/>
      <c r="AP22" s="248">
        <v>0</v>
      </c>
      <c r="AQ22" s="109">
        <f>AR22-AP22</f>
        <v>10759.24</v>
      </c>
      <c r="AR22" s="106">
        <f t="shared" si="0"/>
        <v>10759.24</v>
      </c>
    </row>
    <row r="23" spans="2:44" x14ac:dyDescent="0.25">
      <c r="B23" s="132" t="s">
        <v>133</v>
      </c>
      <c r="C23" s="147">
        <f>SUM(C15:C22)</f>
        <v>260131319</v>
      </c>
      <c r="D23" s="135"/>
      <c r="E23" s="135"/>
      <c r="F23" s="135"/>
      <c r="G23" s="135"/>
      <c r="H23" s="135"/>
      <c r="I23" s="135"/>
      <c r="J23" s="147">
        <f>SUM(J15:J17)</f>
        <v>10698121.7932197</v>
      </c>
      <c r="K23" s="147">
        <f>SUM(K15:K17)</f>
        <v>1476904.45</v>
      </c>
      <c r="L23" s="147">
        <f>SUM(L15:L17)</f>
        <v>12175026.243219698</v>
      </c>
      <c r="M23" s="147">
        <f>SUM(M15:M17)</f>
        <v>1303895.6430000002</v>
      </c>
      <c r="N23" s="245"/>
      <c r="O23" s="147">
        <f>SUM(O15:O17)</f>
        <v>29125669.602219697</v>
      </c>
      <c r="P23" s="135"/>
      <c r="Q23" s="245"/>
      <c r="R23" s="147">
        <f>SUM(R15:R17)</f>
        <v>31619528.259219699</v>
      </c>
      <c r="S23" s="147">
        <f>SUM(S15:S17)</f>
        <v>831286.21900000121</v>
      </c>
      <c r="T23" s="147">
        <f>SUM(T15:T17)</f>
        <v>32450814.478219699</v>
      </c>
      <c r="U23" s="135"/>
      <c r="V23" s="147">
        <f>SUM(V15:V17)</f>
        <v>991635.84500000172</v>
      </c>
      <c r="W23" s="147">
        <f>SUM(W15:W17)</f>
        <v>33442450.323219702</v>
      </c>
      <c r="X23" s="106"/>
      <c r="Y23" s="113">
        <f>SUM(Y15:Y17)</f>
        <v>991635.84500000172</v>
      </c>
      <c r="Z23" s="113">
        <f>SUM(Z15:Z17)</f>
        <v>34434086.1682197</v>
      </c>
      <c r="AA23" s="106"/>
      <c r="AB23" s="113">
        <f>SUM(AB15:AB17)</f>
        <v>991635.84500000172</v>
      </c>
      <c r="AC23" s="113">
        <f>SUM(AC15:AC17)</f>
        <v>35425722.013219699</v>
      </c>
      <c r="AD23" s="106"/>
      <c r="AE23" s="248"/>
      <c r="AF23" s="106"/>
      <c r="AG23" s="113">
        <f>SUM(AG15:AG17)</f>
        <v>1108733</v>
      </c>
      <c r="AH23" s="113">
        <f>SUM(AH15:AH18)</f>
        <v>36534455.282469705</v>
      </c>
      <c r="AI23" s="113">
        <f>SUM(AI15:AI18)</f>
        <v>8821679.465880001</v>
      </c>
      <c r="AJ23" s="113">
        <f>SUM(AJ15:AJ18)</f>
        <v>45356134.748349704</v>
      </c>
      <c r="AK23" s="113">
        <f>SUM(AK15:AK19)</f>
        <v>9039369.2511999998</v>
      </c>
      <c r="AL23" s="113">
        <f>SUM(AL15:AL20)</f>
        <v>54395503.999549702</v>
      </c>
      <c r="AM23" s="113">
        <f t="shared" ref="AM23" si="18">SUM(AM15:AM20)</f>
        <v>9200760.7572869025</v>
      </c>
      <c r="AN23" s="113">
        <f>SUM(AN15:AN21)</f>
        <v>63596264.756836608</v>
      </c>
      <c r="AO23" s="113">
        <f>SUM(AO15:AO21)</f>
        <v>9169357.5191999953</v>
      </c>
      <c r="AP23" s="113">
        <f>SUM(AP15:AP22)</f>
        <v>72765622.27603662</v>
      </c>
      <c r="AQ23" s="113">
        <f>SUM(AQ15:AQ22)</f>
        <v>9180116.7591999993</v>
      </c>
      <c r="AR23" s="113">
        <f>SUM(AR15:AR22)</f>
        <v>81945739.035236582</v>
      </c>
    </row>
    <row r="24" spans="2:44" x14ac:dyDescent="0.25">
      <c r="B24" s="135"/>
      <c r="C24" s="135"/>
      <c r="D24" s="135"/>
      <c r="E24" s="135"/>
      <c r="F24" s="135"/>
      <c r="G24" s="135"/>
      <c r="H24" s="135"/>
      <c r="I24" s="135"/>
      <c r="J24" s="135"/>
      <c r="K24" s="135"/>
      <c r="L24" s="135"/>
      <c r="M24" s="135"/>
      <c r="N24" s="246"/>
      <c r="O24" s="135"/>
      <c r="P24" s="135"/>
      <c r="Q24" s="246"/>
      <c r="R24" s="135"/>
      <c r="S24" s="135"/>
      <c r="T24" s="135"/>
      <c r="U24" s="135"/>
      <c r="V24" s="135"/>
      <c r="W24" s="135"/>
      <c r="X24" s="106"/>
      <c r="Y24" s="106"/>
      <c r="Z24" s="106"/>
      <c r="AA24" s="106"/>
      <c r="AD24" s="106"/>
      <c r="AE24" s="248"/>
      <c r="AF24" s="106"/>
      <c r="AG24" s="106"/>
      <c r="AH24" s="106"/>
    </row>
    <row r="25" spans="2:44" x14ac:dyDescent="0.25">
      <c r="B25" s="132" t="s">
        <v>639</v>
      </c>
      <c r="C25" s="135"/>
      <c r="D25" s="135"/>
      <c r="E25" s="135"/>
      <c r="F25" s="135"/>
      <c r="G25" s="135"/>
      <c r="H25" s="135"/>
      <c r="I25" s="135"/>
      <c r="J25" s="135"/>
      <c r="K25" s="135"/>
      <c r="L25" s="135"/>
      <c r="M25" s="135"/>
      <c r="N25" s="246"/>
      <c r="O25" s="135"/>
      <c r="P25" s="135"/>
      <c r="Q25" s="246"/>
      <c r="R25" s="135"/>
      <c r="S25" s="135"/>
      <c r="T25" s="135"/>
      <c r="U25" s="135"/>
      <c r="V25" s="135"/>
      <c r="W25" s="135"/>
      <c r="X25" s="106"/>
      <c r="Y25" s="106"/>
      <c r="Z25" s="106"/>
      <c r="AA25" s="106"/>
      <c r="AD25" s="106"/>
      <c r="AE25" s="248"/>
      <c r="AF25" s="106"/>
      <c r="AG25" s="106"/>
      <c r="AH25" s="106"/>
    </row>
    <row r="26" spans="2:44" x14ac:dyDescent="0.25">
      <c r="B26" s="132" t="s">
        <v>636</v>
      </c>
      <c r="C26" s="242">
        <v>64716</v>
      </c>
      <c r="D26" s="149">
        <f t="shared" ref="D26:E28" si="19">D15</f>
        <v>29921</v>
      </c>
      <c r="E26" s="118">
        <f t="shared" si="19"/>
        <v>8.3000000000000004E-2</v>
      </c>
      <c r="F26" s="243">
        <v>0.03</v>
      </c>
      <c r="G26" s="243">
        <v>2.5700000000000001E-2</v>
      </c>
      <c r="H26" s="145">
        <f>(ROUND(F26*(10/12+(12/30*1/12)),3)+ROUND(G26*((18/30*1/12)+1/12),3))</f>
        <v>2.8999999999999998E-2</v>
      </c>
      <c r="I26" s="244">
        <v>9.0830000000000002</v>
      </c>
      <c r="J26" s="146">
        <f>I26*F26*C26</f>
        <v>17634.46284</v>
      </c>
      <c r="K26" s="146">
        <f>H26*C26</f>
        <v>1876.7639999999999</v>
      </c>
      <c r="L26" s="146">
        <f>SUM(J26:K26)</f>
        <v>19511.226839999999</v>
      </c>
      <c r="M26" s="146">
        <f>C26*G26</f>
        <v>1663.2012</v>
      </c>
      <c r="N26" s="244">
        <v>13</v>
      </c>
      <c r="O26" s="146">
        <f>L26+(M26*N26)</f>
        <v>41132.84244</v>
      </c>
      <c r="P26" s="243">
        <v>2.81E-2</v>
      </c>
      <c r="Q26" s="244">
        <v>3</v>
      </c>
      <c r="R26" s="146">
        <f>IF(($C26*$P26*$Q26+$O26)&gt;$C26,$C26,($C26*$P26*$Q26+$O26))</f>
        <v>46588.401239999999</v>
      </c>
      <c r="S26" s="146">
        <f>T26-R26</f>
        <v>1818.5195999999996</v>
      </c>
      <c r="T26" s="146">
        <f>IF(($C26*$P26+$R26)&gt;$C26,$C26,($C26*$P26+$R26))</f>
        <v>48406.920839999999</v>
      </c>
      <c r="U26" s="243">
        <v>2.0299999999999999E-2</v>
      </c>
      <c r="V26" s="135">
        <f>W26-T26</f>
        <v>1313.7347999999984</v>
      </c>
      <c r="W26" s="146">
        <f>IF(($C26*$U26+$T26)&gt;$C26,$C26,($C26*$U26+$T26))</f>
        <v>49720.655639999997</v>
      </c>
      <c r="X26" s="247">
        <v>2.0299999999999999E-2</v>
      </c>
      <c r="Y26" s="106">
        <f>Z26-W26</f>
        <v>1313.7347999999984</v>
      </c>
      <c r="Z26" s="109">
        <f>IF(($C26*$X26+$W26)&gt;$C26,$C26,($C26*$X26+$W26))</f>
        <v>51034.390439999996</v>
      </c>
      <c r="AA26" s="247">
        <v>2.0299999999999999E-2</v>
      </c>
      <c r="AB26" s="106">
        <f>AC26-Z26</f>
        <v>1313.7347999999984</v>
      </c>
      <c r="AC26" s="109">
        <f>IF(($C26*$AA26+$Z26)&gt;$C26,$C26,($C26*$AA26+$Z26))</f>
        <v>52348.125239999994</v>
      </c>
      <c r="AD26" s="247">
        <v>2.0299999999999999E-2</v>
      </c>
      <c r="AE26" s="247">
        <v>2.12E-2</v>
      </c>
      <c r="AF26" s="111">
        <f t="shared" ref="AF26:AF28" si="20">((AD26*3)+(AE26*9))/12</f>
        <v>2.0974999999999997E-2</v>
      </c>
      <c r="AG26" s="248">
        <v>1357</v>
      </c>
      <c r="AH26" s="109">
        <f t="shared" ref="AH26:AH28" si="21">IF(($C26*$AF26+$AC26)&gt;$C26,$C26,($C26*$AF26+$AC26))</f>
        <v>53705.543339999997</v>
      </c>
      <c r="AI26" s="109">
        <f t="shared" ref="AI26:AI28" si="22">AJ26-AH26</f>
        <v>1371.9792000000016</v>
      </c>
      <c r="AJ26" s="109">
        <f t="shared" ref="AJ26:AJ29" si="23">IF(($C26*$AE26+$AH26)&gt;$C26,$C26,($C26*$AE26+$AH26))</f>
        <v>55077.522539999998</v>
      </c>
      <c r="AK26" s="106">
        <f t="shared" ref="AK26:AK28" si="24">+AL26-AJ26</f>
        <v>1371.9792000000016</v>
      </c>
      <c r="AL26" s="106">
        <f>IF(($C26*$AE26+AJ26)&gt;$C26,$C26,($C26*$AE26+AJ26))</f>
        <v>56449.50174</v>
      </c>
      <c r="AM26" s="106">
        <f>+AN26-AL26</f>
        <v>1371.9792000000016</v>
      </c>
      <c r="AN26" s="106">
        <f>IF(($C26*$AE26+AL26)&gt;$C26,$C26,($C26*$AE26+AL26))</f>
        <v>57821.480940000001</v>
      </c>
      <c r="AO26" s="106">
        <f>+AP26-AN26</f>
        <v>1371.9792000000016</v>
      </c>
      <c r="AP26" s="106">
        <f>IF(($C26*$AE26+AN26)&gt;$C26,$C26,($C26*$AE26+AN26))</f>
        <v>59193.460140000003</v>
      </c>
      <c r="AQ26" s="106">
        <f>+AR26-AP26</f>
        <v>1371.9792000000016</v>
      </c>
      <c r="AR26" s="106">
        <f t="shared" ref="AR26:AR33" si="25">IF(($C26*$AE26+AP26)&gt;$C26,$C26,($C26*$AE26+AP26))</f>
        <v>60565.439340000004</v>
      </c>
    </row>
    <row r="27" spans="2:44" x14ac:dyDescent="0.25">
      <c r="B27" s="132" t="s">
        <v>637</v>
      </c>
      <c r="C27" s="242">
        <v>160108</v>
      </c>
      <c r="D27" s="149">
        <f t="shared" si="19"/>
        <v>30742</v>
      </c>
      <c r="E27" s="118">
        <f t="shared" si="19"/>
        <v>0.83299999999999996</v>
      </c>
      <c r="F27" s="145">
        <f t="shared" ref="F27:H28" si="26">F26</f>
        <v>0.03</v>
      </c>
      <c r="G27" s="145">
        <f t="shared" si="26"/>
        <v>2.5700000000000001E-2</v>
      </c>
      <c r="H27" s="145">
        <f t="shared" si="26"/>
        <v>2.8999999999999998E-2</v>
      </c>
      <c r="I27" s="244">
        <v>6.8330000000000002</v>
      </c>
      <c r="J27" s="146">
        <f>I27*F27*C27</f>
        <v>32820.538919999999</v>
      </c>
      <c r="K27" s="146">
        <f>H27*C27</f>
        <v>4643.1319999999996</v>
      </c>
      <c r="L27" s="146">
        <f>SUM(J27:K27)</f>
        <v>37463.670919999997</v>
      </c>
      <c r="M27" s="146">
        <f>C27*G27</f>
        <v>4114.7755999999999</v>
      </c>
      <c r="N27" s="244">
        <v>13</v>
      </c>
      <c r="O27" s="146">
        <f>L27+(M27*N27)</f>
        <v>90955.753719999993</v>
      </c>
      <c r="P27" s="145">
        <f>P26</f>
        <v>2.81E-2</v>
      </c>
      <c r="Q27" s="244">
        <v>3</v>
      </c>
      <c r="R27" s="146">
        <f>IF(($C27*$P27*$Q27+$O27)&gt;$C27,$C27,($C27*$P27*$Q27+$O27))</f>
        <v>104452.85811999999</v>
      </c>
      <c r="S27" s="146">
        <f>T27-R27</f>
        <v>4499.034799999994</v>
      </c>
      <c r="T27" s="146">
        <f>IF(($C27*$P27+$R27)&gt;$C27,$C27,($C27*$P27+$R27))</f>
        <v>108951.89291999998</v>
      </c>
      <c r="U27" s="145">
        <f>U26</f>
        <v>2.0299999999999999E-2</v>
      </c>
      <c r="V27" s="135">
        <f>W27-T27</f>
        <v>3250.1923999999999</v>
      </c>
      <c r="W27" s="146">
        <f>IF(($C27*$U27+$T27)&gt;$C27,$C27,($C27*$U27+$T27))</f>
        <v>112202.08531999998</v>
      </c>
      <c r="X27" s="111">
        <f>X26</f>
        <v>2.0299999999999999E-2</v>
      </c>
      <c r="Y27" s="106">
        <f>Z27-W27</f>
        <v>3250.1923999999999</v>
      </c>
      <c r="Z27" s="109">
        <f>IF(($C27*$X27+$W27)&gt;$C27,$C27,($C27*$X27+$W27))</f>
        <v>115452.27771999998</v>
      </c>
      <c r="AA27" s="111">
        <f>AA26</f>
        <v>2.0299999999999999E-2</v>
      </c>
      <c r="AB27" s="106">
        <f>AC27-Z27</f>
        <v>3250.1923999999999</v>
      </c>
      <c r="AC27" s="109">
        <f>IF(($C27*$AA27+$Z27)&gt;$C27,$C27,($C27*$AA27+$Z27))</f>
        <v>118702.47011999998</v>
      </c>
      <c r="AD27" s="111">
        <f>AD26</f>
        <v>2.0299999999999999E-2</v>
      </c>
      <c r="AE27" s="247">
        <v>2.12E-2</v>
      </c>
      <c r="AF27" s="111">
        <f t="shared" si="20"/>
        <v>2.0974999999999997E-2</v>
      </c>
      <c r="AG27" s="248">
        <v>3358</v>
      </c>
      <c r="AH27" s="109">
        <f t="shared" si="21"/>
        <v>122060.73541999998</v>
      </c>
      <c r="AI27" s="109">
        <f t="shared" si="22"/>
        <v>3394.2896000000037</v>
      </c>
      <c r="AJ27" s="109">
        <f t="shared" si="23"/>
        <v>125455.02501999999</v>
      </c>
      <c r="AK27" s="106">
        <f t="shared" si="24"/>
        <v>3394.2896000000037</v>
      </c>
      <c r="AL27" s="106">
        <f t="shared" ref="AL27:AL29" si="27">IF(($C27*$AE27+AJ27)&gt;$C27,$C27,($C27*$AE27+AJ27))</f>
        <v>128849.31461999999</v>
      </c>
      <c r="AM27" s="106">
        <f t="shared" ref="AM27:AM28" si="28">+AN27-AL27</f>
        <v>3394.2895999999892</v>
      </c>
      <c r="AN27" s="106">
        <f t="shared" ref="AN27:AN30" si="29">IF(($C27*$AE27+AL27)&gt;$C27,$C27,($C27*$AE27+AL27))</f>
        <v>132243.60421999998</v>
      </c>
      <c r="AO27" s="106">
        <f t="shared" ref="AO27:AQ28" si="30">+AP27-AN27</f>
        <v>3394.2895999999892</v>
      </c>
      <c r="AP27" s="106">
        <f>IF(($C27*$AE27+AN27)&gt;$C27,$C27,($C27*$AE27+AN27))</f>
        <v>135637.89381999997</v>
      </c>
      <c r="AQ27" s="106">
        <f t="shared" si="30"/>
        <v>3394.2895999999892</v>
      </c>
      <c r="AR27" s="106">
        <f t="shared" si="25"/>
        <v>139032.18341999996</v>
      </c>
    </row>
    <row r="28" spans="2:44" x14ac:dyDescent="0.25">
      <c r="B28" s="132" t="s">
        <v>638</v>
      </c>
      <c r="C28" s="242"/>
      <c r="D28" s="149">
        <f t="shared" si="19"/>
        <v>31668</v>
      </c>
      <c r="E28" s="118">
        <f t="shared" si="19"/>
        <v>0.3</v>
      </c>
      <c r="F28" s="145">
        <f t="shared" si="26"/>
        <v>0.03</v>
      </c>
      <c r="G28" s="145">
        <f t="shared" si="26"/>
        <v>2.5700000000000001E-2</v>
      </c>
      <c r="H28" s="145">
        <f t="shared" si="26"/>
        <v>2.8999999999999998E-2</v>
      </c>
      <c r="I28" s="244">
        <v>4.3</v>
      </c>
      <c r="J28" s="146">
        <f>I28*F28*C28</f>
        <v>0</v>
      </c>
      <c r="K28" s="146">
        <f>H28*C28</f>
        <v>0</v>
      </c>
      <c r="L28" s="146">
        <f>SUM(J28:K28)</f>
        <v>0</v>
      </c>
      <c r="M28" s="146">
        <f>C28*G28</f>
        <v>0</v>
      </c>
      <c r="N28" s="244">
        <v>13</v>
      </c>
      <c r="O28" s="146">
        <f>L28+(M28*N28)</f>
        <v>0</v>
      </c>
      <c r="P28" s="145">
        <f>P27</f>
        <v>2.81E-2</v>
      </c>
      <c r="Q28" s="244">
        <v>3</v>
      </c>
      <c r="R28" s="146">
        <f>IF(($C28*$P28*$Q28+$O28)&gt;$C28,$C28,($C28*$P28*$Q28+$O28))</f>
        <v>0</v>
      </c>
      <c r="S28" s="146">
        <f>T28-R28</f>
        <v>0</v>
      </c>
      <c r="T28" s="146">
        <f>IF(($C28*$P28+$R28)&gt;$C28,$C28,($C28*$P28+$R28))</f>
        <v>0</v>
      </c>
      <c r="U28" s="145">
        <f>U27</f>
        <v>2.0299999999999999E-2</v>
      </c>
      <c r="V28" s="135">
        <f>W28-T28</f>
        <v>0</v>
      </c>
      <c r="W28" s="146">
        <f>IF(($C28*$U28+$T28)&gt;$C28,$C28,($C28*$U28+$T28))</f>
        <v>0</v>
      </c>
      <c r="X28" s="111">
        <f>X27</f>
        <v>2.0299999999999999E-2</v>
      </c>
      <c r="Y28" s="106">
        <f>Z28-W28</f>
        <v>0</v>
      </c>
      <c r="Z28" s="109">
        <f>IF(($C28*$X28+$W28)&gt;$C28,$C28,($C28*$X28+$W28))</f>
        <v>0</v>
      </c>
      <c r="AA28" s="111">
        <f>AA27</f>
        <v>2.0299999999999999E-2</v>
      </c>
      <c r="AB28" s="106">
        <f>AC28-Z28</f>
        <v>0</v>
      </c>
      <c r="AC28" s="109">
        <f>IF(($C28*$AA28+$Z28)&gt;$C28,$C28,($C28*$AA28+$Z28))</f>
        <v>0</v>
      </c>
      <c r="AD28" s="111">
        <f>AD27</f>
        <v>2.0299999999999999E-2</v>
      </c>
      <c r="AE28" s="247">
        <v>2.12E-2</v>
      </c>
      <c r="AF28" s="111">
        <f t="shared" si="20"/>
        <v>2.0974999999999997E-2</v>
      </c>
      <c r="AG28" s="106">
        <f>AH28-AC28</f>
        <v>0</v>
      </c>
      <c r="AH28" s="109">
        <f t="shared" si="21"/>
        <v>0</v>
      </c>
      <c r="AI28" s="109">
        <f t="shared" si="22"/>
        <v>0</v>
      </c>
      <c r="AJ28" s="109">
        <f t="shared" si="23"/>
        <v>0</v>
      </c>
      <c r="AK28" s="106">
        <f t="shared" si="24"/>
        <v>0</v>
      </c>
      <c r="AL28" s="106">
        <f t="shared" si="27"/>
        <v>0</v>
      </c>
      <c r="AM28" s="106">
        <f t="shared" si="28"/>
        <v>0</v>
      </c>
      <c r="AN28" s="106">
        <f t="shared" si="29"/>
        <v>0</v>
      </c>
      <c r="AO28" s="106">
        <f t="shared" si="30"/>
        <v>0</v>
      </c>
      <c r="AP28" s="106">
        <f t="shared" ref="AP28:AP32" si="31">IF(($C28*$AE28+AN28)&gt;$C28,$C28,($C28*$AE28+AN28))</f>
        <v>0</v>
      </c>
      <c r="AQ28" s="106">
        <f t="shared" si="30"/>
        <v>0</v>
      </c>
      <c r="AR28" s="106">
        <f t="shared" si="25"/>
        <v>0</v>
      </c>
    </row>
    <row r="29" spans="2:44" x14ac:dyDescent="0.25">
      <c r="B29" s="132" t="s">
        <v>1247</v>
      </c>
      <c r="C29" s="242">
        <v>1209094.4099999999</v>
      </c>
      <c r="D29" s="143">
        <f>DATE(13,1,1)</f>
        <v>4750</v>
      </c>
      <c r="E29" s="118"/>
      <c r="F29" s="145"/>
      <c r="G29" s="145"/>
      <c r="H29" s="145"/>
      <c r="I29" s="118"/>
      <c r="J29" s="146"/>
      <c r="K29" s="146"/>
      <c r="L29" s="146"/>
      <c r="M29" s="146"/>
      <c r="N29" s="118"/>
      <c r="O29" s="146"/>
      <c r="P29" s="145"/>
      <c r="Q29" s="244"/>
      <c r="R29" s="146"/>
      <c r="S29" s="146"/>
      <c r="T29" s="146"/>
      <c r="U29" s="145"/>
      <c r="V29" s="135"/>
      <c r="W29" s="146"/>
      <c r="X29" s="111"/>
      <c r="Y29" s="106"/>
      <c r="Z29" s="109"/>
      <c r="AA29" s="111"/>
      <c r="AB29" s="106"/>
      <c r="AC29" s="109"/>
      <c r="AD29" s="111"/>
      <c r="AE29" s="247">
        <v>2.12E-2</v>
      </c>
      <c r="AF29" s="111"/>
      <c r="AG29" s="106"/>
      <c r="AH29" s="249">
        <v>0</v>
      </c>
      <c r="AI29" s="109">
        <f t="shared" ref="AI29:AK29" si="32">AJ29-AH29</f>
        <v>25632.801491999999</v>
      </c>
      <c r="AJ29" s="109">
        <f t="shared" si="23"/>
        <v>25632.801491999999</v>
      </c>
      <c r="AK29" s="109">
        <f t="shared" si="32"/>
        <v>25632.801491999999</v>
      </c>
      <c r="AL29" s="106">
        <f t="shared" si="27"/>
        <v>51265.602983999997</v>
      </c>
      <c r="AM29" s="109">
        <f t="shared" ref="AM29:AM30" si="33">AN29-AL29</f>
        <v>25632.801491999999</v>
      </c>
      <c r="AN29" s="106">
        <f t="shared" si="29"/>
        <v>76898.404475999996</v>
      </c>
      <c r="AO29" s="109">
        <f t="shared" ref="AO29:AQ33" si="34">AP29-AN29</f>
        <v>25632.801491999999</v>
      </c>
      <c r="AP29" s="106">
        <f t="shared" si="31"/>
        <v>102531.20596799999</v>
      </c>
      <c r="AQ29" s="109">
        <f t="shared" si="34"/>
        <v>25632.801491999999</v>
      </c>
      <c r="AR29" s="106">
        <f t="shared" si="25"/>
        <v>128164.00745999999</v>
      </c>
    </row>
    <row r="30" spans="2:44" x14ac:dyDescent="0.25">
      <c r="B30" s="132" t="s">
        <v>1246</v>
      </c>
      <c r="C30" s="265">
        <f>1333330-C29</f>
        <v>124235.59000000008</v>
      </c>
      <c r="D30" s="143">
        <f>DATE(14,1,1)</f>
        <v>5115</v>
      </c>
      <c r="E30" s="118"/>
      <c r="F30" s="145"/>
      <c r="G30" s="145"/>
      <c r="H30" s="145"/>
      <c r="I30" s="118"/>
      <c r="J30" s="146"/>
      <c r="K30" s="146"/>
      <c r="L30" s="146"/>
      <c r="M30" s="146"/>
      <c r="N30" s="118"/>
      <c r="O30" s="146"/>
      <c r="P30" s="145"/>
      <c r="Q30" s="244"/>
      <c r="R30" s="146"/>
      <c r="S30" s="146"/>
      <c r="T30" s="146"/>
      <c r="U30" s="145"/>
      <c r="V30" s="135"/>
      <c r="W30" s="146"/>
      <c r="X30" s="111"/>
      <c r="Y30" s="106"/>
      <c r="Z30" s="109"/>
      <c r="AA30" s="111"/>
      <c r="AB30" s="106"/>
      <c r="AC30" s="109"/>
      <c r="AD30" s="111"/>
      <c r="AE30" s="247">
        <v>2.12E-2</v>
      </c>
      <c r="AF30" s="111"/>
      <c r="AG30" s="106"/>
      <c r="AH30" s="249"/>
      <c r="AI30" s="109"/>
      <c r="AJ30" s="249">
        <v>0</v>
      </c>
      <c r="AK30" s="109">
        <f t="shared" ref="AK30" si="35">AL30-AJ30</f>
        <v>2633.7945080000018</v>
      </c>
      <c r="AL30" s="106">
        <f t="shared" ref="AL30" si="36">IF(($C30*$AE30+AJ30)&gt;$C30,$C30,($C30*$AE30+AJ30))</f>
        <v>2633.7945080000018</v>
      </c>
      <c r="AM30" s="109">
        <f t="shared" si="33"/>
        <v>2633.7945080000018</v>
      </c>
      <c r="AN30" s="106">
        <f t="shared" si="29"/>
        <v>5267.5890160000035</v>
      </c>
      <c r="AO30" s="109">
        <f t="shared" si="34"/>
        <v>2633.7945080000018</v>
      </c>
      <c r="AP30" s="106">
        <f t="shared" si="31"/>
        <v>7901.3835240000053</v>
      </c>
      <c r="AQ30" s="109">
        <f t="shared" si="34"/>
        <v>2633.7945080000018</v>
      </c>
      <c r="AR30" s="106">
        <f t="shared" si="25"/>
        <v>10535.178032000007</v>
      </c>
    </row>
    <row r="31" spans="2:44" x14ac:dyDescent="0.25">
      <c r="B31" s="132" t="s">
        <v>1260</v>
      </c>
      <c r="C31" s="265">
        <f>3351805-C30-C29</f>
        <v>2018475.0000000002</v>
      </c>
      <c r="D31" s="143">
        <f>DATE(15,1,1)</f>
        <v>5480</v>
      </c>
      <c r="E31" s="118"/>
      <c r="F31" s="145"/>
      <c r="G31" s="145"/>
      <c r="H31" s="145"/>
      <c r="I31" s="118"/>
      <c r="J31" s="146"/>
      <c r="K31" s="146"/>
      <c r="L31" s="146"/>
      <c r="M31" s="146"/>
      <c r="N31" s="118"/>
      <c r="O31" s="146"/>
      <c r="P31" s="145"/>
      <c r="Q31" s="244"/>
      <c r="R31" s="146"/>
      <c r="S31" s="146"/>
      <c r="T31" s="146"/>
      <c r="U31" s="145"/>
      <c r="V31" s="135"/>
      <c r="W31" s="146"/>
      <c r="X31" s="111"/>
      <c r="Y31" s="106"/>
      <c r="Z31" s="109"/>
      <c r="AA31" s="111"/>
      <c r="AB31" s="106"/>
      <c r="AC31" s="109"/>
      <c r="AD31" s="111"/>
      <c r="AE31" s="247">
        <v>2.12E-2</v>
      </c>
      <c r="AF31" s="111"/>
      <c r="AG31" s="106"/>
      <c r="AH31" s="249"/>
      <c r="AI31" s="109"/>
      <c r="AJ31" s="249"/>
      <c r="AK31" s="109"/>
      <c r="AL31" s="248">
        <v>0</v>
      </c>
      <c r="AM31" s="109">
        <f t="shared" ref="AM31" si="37">AN31-AL31</f>
        <v>42791.670000000006</v>
      </c>
      <c r="AN31" s="106">
        <f t="shared" ref="AN31" si="38">IF(($C31*$AE31+AL31)&gt;$C31,$C31,($C31*$AE31+AL31))</f>
        <v>42791.670000000006</v>
      </c>
      <c r="AO31" s="109">
        <f t="shared" si="34"/>
        <v>42791.670000000006</v>
      </c>
      <c r="AP31" s="106">
        <f t="shared" si="31"/>
        <v>85583.340000000011</v>
      </c>
      <c r="AQ31" s="109">
        <f t="shared" si="34"/>
        <v>42791.67</v>
      </c>
      <c r="AR31" s="106">
        <f t="shared" si="25"/>
        <v>128375.01000000001</v>
      </c>
    </row>
    <row r="32" spans="2:44" x14ac:dyDescent="0.25">
      <c r="B32" s="278" t="s">
        <v>1309</v>
      </c>
      <c r="C32" s="265">
        <f>3397410-C31-C30-C29</f>
        <v>45604.999999999767</v>
      </c>
      <c r="D32" s="279">
        <f>DATE(16,1,1)</f>
        <v>5845</v>
      </c>
      <c r="E32" s="118"/>
      <c r="F32" s="145"/>
      <c r="G32" s="145"/>
      <c r="H32" s="145"/>
      <c r="I32" s="118"/>
      <c r="J32" s="146"/>
      <c r="K32" s="146"/>
      <c r="L32" s="146"/>
      <c r="M32" s="146"/>
      <c r="N32" s="118"/>
      <c r="O32" s="146"/>
      <c r="P32" s="145"/>
      <c r="Q32" s="244"/>
      <c r="R32" s="146"/>
      <c r="S32" s="146"/>
      <c r="T32" s="146"/>
      <c r="U32" s="145"/>
      <c r="V32" s="135"/>
      <c r="W32" s="146"/>
      <c r="X32" s="111"/>
      <c r="Y32" s="106"/>
      <c r="Z32" s="109"/>
      <c r="AA32" s="111"/>
      <c r="AB32" s="106"/>
      <c r="AC32" s="109"/>
      <c r="AD32" s="111"/>
      <c r="AE32" s="247">
        <v>2.12E-2</v>
      </c>
      <c r="AF32" s="111"/>
      <c r="AG32" s="106"/>
      <c r="AH32" s="249"/>
      <c r="AI32" s="109"/>
      <c r="AJ32" s="249"/>
      <c r="AK32" s="109"/>
      <c r="AL32" s="248"/>
      <c r="AM32" s="109"/>
      <c r="AN32" s="248">
        <v>0</v>
      </c>
      <c r="AO32" s="109">
        <f t="shared" si="34"/>
        <v>966.82599999999502</v>
      </c>
      <c r="AP32" s="106">
        <f t="shared" si="31"/>
        <v>966.82599999999502</v>
      </c>
      <c r="AQ32" s="109">
        <f t="shared" si="34"/>
        <v>966.82599999999502</v>
      </c>
      <c r="AR32" s="106">
        <f t="shared" si="25"/>
        <v>1933.65199999999</v>
      </c>
    </row>
    <row r="33" spans="2:44" x14ac:dyDescent="0.25">
      <c r="B33" s="278" t="s">
        <v>1334</v>
      </c>
      <c r="C33" s="265">
        <f>3605626-C32-C31-C30-C29</f>
        <v>208215.99999999977</v>
      </c>
      <c r="D33" s="279">
        <f>DATE(17,1,1)</f>
        <v>6211</v>
      </c>
      <c r="E33" s="118"/>
      <c r="F33" s="145"/>
      <c r="G33" s="145"/>
      <c r="H33" s="145"/>
      <c r="I33" s="118"/>
      <c r="J33" s="146"/>
      <c r="K33" s="146"/>
      <c r="L33" s="146"/>
      <c r="M33" s="146"/>
      <c r="N33" s="118"/>
      <c r="O33" s="146"/>
      <c r="P33" s="145"/>
      <c r="Q33" s="244"/>
      <c r="R33" s="146"/>
      <c r="S33" s="146"/>
      <c r="T33" s="146"/>
      <c r="U33" s="145"/>
      <c r="V33" s="135"/>
      <c r="W33" s="146"/>
      <c r="X33" s="111"/>
      <c r="Y33" s="106"/>
      <c r="Z33" s="109"/>
      <c r="AA33" s="111"/>
      <c r="AB33" s="106"/>
      <c r="AC33" s="109"/>
      <c r="AD33" s="111"/>
      <c r="AE33" s="247">
        <v>2.12E-2</v>
      </c>
      <c r="AF33" s="111"/>
      <c r="AG33" s="106"/>
      <c r="AH33" s="249"/>
      <c r="AI33" s="109"/>
      <c r="AJ33" s="249"/>
      <c r="AK33" s="109"/>
      <c r="AL33" s="248"/>
      <c r="AM33" s="109"/>
      <c r="AN33" s="248"/>
      <c r="AO33" s="109"/>
      <c r="AP33" s="248">
        <v>0</v>
      </c>
      <c r="AQ33" s="109">
        <f t="shared" si="34"/>
        <v>4414.179199999995</v>
      </c>
      <c r="AR33" s="106">
        <f t="shared" si="25"/>
        <v>4414.179199999995</v>
      </c>
    </row>
    <row r="34" spans="2:44" x14ac:dyDescent="0.25">
      <c r="B34" s="132" t="s">
        <v>133</v>
      </c>
      <c r="C34" s="147">
        <f>SUM(C26:C33)</f>
        <v>3830450</v>
      </c>
      <c r="D34" s="135"/>
      <c r="E34" s="135"/>
      <c r="F34" s="135"/>
      <c r="G34" s="135"/>
      <c r="H34" s="135"/>
      <c r="I34" s="135"/>
      <c r="J34" s="147">
        <f>SUM(J26:J28)</f>
        <v>50455.001759999999</v>
      </c>
      <c r="K34" s="147">
        <f>SUM(K26:K28)</f>
        <v>6519.8959999999997</v>
      </c>
      <c r="L34" s="147">
        <f>SUM(L26:L28)</f>
        <v>56974.897759999993</v>
      </c>
      <c r="M34" s="147">
        <f>SUM(M26:M28)</f>
        <v>5777.9768000000004</v>
      </c>
      <c r="N34" s="148"/>
      <c r="O34" s="147">
        <f>SUM(O26:O28)</f>
        <v>132088.59615999999</v>
      </c>
      <c r="P34" s="148"/>
      <c r="Q34" s="146"/>
      <c r="R34" s="147">
        <f>SUM(R26:R28)</f>
        <v>151041.25936</v>
      </c>
      <c r="S34" s="147">
        <f>SUM(S26:S28)</f>
        <v>6317.5543999999936</v>
      </c>
      <c r="T34" s="147">
        <f>SUM(T26:T28)</f>
        <v>157358.81375999999</v>
      </c>
      <c r="U34" s="135"/>
      <c r="V34" s="147">
        <f>SUM(V26:V28)</f>
        <v>4563.9271999999983</v>
      </c>
      <c r="W34" s="147">
        <f>SUM(W26:W28)</f>
        <v>161922.74095999997</v>
      </c>
      <c r="X34" s="106"/>
      <c r="Y34" s="113">
        <f>SUM(Y26:Y28)</f>
        <v>4563.9271999999983</v>
      </c>
      <c r="Z34" s="113">
        <f>SUM(Z26:Z28)</f>
        <v>166486.66815999997</v>
      </c>
      <c r="AB34" s="113">
        <f>SUM(AB26:AB28)</f>
        <v>4563.9271999999983</v>
      </c>
      <c r="AC34" s="113">
        <f>SUM(AC26:AC28)</f>
        <v>171050.59535999998</v>
      </c>
      <c r="AD34" s="106"/>
      <c r="AE34" s="106"/>
      <c r="AF34" s="106"/>
      <c r="AG34" s="113">
        <f>SUM(AG26:AG28)</f>
        <v>4715</v>
      </c>
      <c r="AH34" s="113">
        <f>SUM(AH26:AH29)</f>
        <v>175766.27875999999</v>
      </c>
      <c r="AI34" s="113">
        <f>SUM(AI26:AI29)</f>
        <v>30399.070292000004</v>
      </c>
      <c r="AJ34" s="113">
        <f>SUM(AJ26:AJ29)</f>
        <v>206165.34905199998</v>
      </c>
      <c r="AK34" s="113">
        <f>SUM(AK26:AK30)</f>
        <v>33032.864800000003</v>
      </c>
      <c r="AL34" s="113">
        <f>SUM(AL26:AL31)</f>
        <v>239198.21385199999</v>
      </c>
      <c r="AM34" s="113">
        <f t="shared" ref="AM34" si="39">SUM(AM26:AM31)</f>
        <v>75824.534799999994</v>
      </c>
      <c r="AN34" s="113">
        <f>SUM(AN26:AN32)</f>
        <v>315022.74865199998</v>
      </c>
      <c r="AO34" s="113">
        <f>SUM(AO26:AO32)</f>
        <v>76791.360799999995</v>
      </c>
      <c r="AP34" s="113">
        <f>SUM(AP26:AP33)</f>
        <v>391814.109452</v>
      </c>
      <c r="AQ34" s="113">
        <f>SUM(AQ26:AQ33)</f>
        <v>81205.539999999994</v>
      </c>
      <c r="AR34" s="113">
        <f>SUM(AR26:AR33)</f>
        <v>473019.64945199998</v>
      </c>
    </row>
    <row r="35" spans="2:44" x14ac:dyDescent="0.25">
      <c r="B35" s="132"/>
      <c r="C35" s="146"/>
      <c r="D35" s="135"/>
      <c r="E35" s="135"/>
      <c r="F35" s="135"/>
      <c r="G35" s="135"/>
      <c r="H35" s="135"/>
      <c r="I35" s="135"/>
      <c r="J35" s="146"/>
      <c r="K35" s="146"/>
      <c r="L35" s="146"/>
      <c r="M35" s="146"/>
      <c r="N35" s="146"/>
      <c r="O35" s="146"/>
      <c r="P35" s="146"/>
      <c r="Q35" s="146"/>
      <c r="R35" s="146"/>
      <c r="S35" s="146"/>
      <c r="T35" s="146"/>
      <c r="U35" s="135"/>
      <c r="V35" s="135"/>
      <c r="W35" s="146"/>
      <c r="X35" s="106"/>
      <c r="Y35" s="106"/>
      <c r="Z35" s="109"/>
      <c r="AD35" s="106"/>
      <c r="AE35" s="106"/>
      <c r="AF35" s="106"/>
      <c r="AG35" s="106"/>
      <c r="AH35" s="109"/>
    </row>
    <row r="36" spans="2:44" ht="15.75" thickBot="1" x14ac:dyDescent="0.3">
      <c r="B36" s="132" t="s">
        <v>640</v>
      </c>
      <c r="C36" s="150">
        <f>C34+C23</f>
        <v>263961769</v>
      </c>
      <c r="D36" s="135"/>
      <c r="E36" s="135"/>
      <c r="F36" s="135"/>
      <c r="G36" s="135"/>
      <c r="H36" s="135"/>
      <c r="I36" s="135"/>
      <c r="J36" s="150">
        <f>J34+J23</f>
        <v>10748576.794979701</v>
      </c>
      <c r="K36" s="150">
        <f t="shared" ref="K36:V36" si="40">K34+K23</f>
        <v>1483424.3459999999</v>
      </c>
      <c r="L36" s="150">
        <f t="shared" si="40"/>
        <v>12232001.140979698</v>
      </c>
      <c r="M36" s="150">
        <f t="shared" si="40"/>
        <v>1309673.6198000002</v>
      </c>
      <c r="N36" s="148"/>
      <c r="O36" s="150">
        <f t="shared" si="40"/>
        <v>29257758.198379695</v>
      </c>
      <c r="P36" s="148"/>
      <c r="Q36" s="146"/>
      <c r="R36" s="150">
        <f t="shared" si="40"/>
        <v>31770569.518579699</v>
      </c>
      <c r="S36" s="150">
        <f t="shared" si="40"/>
        <v>837603.77340000123</v>
      </c>
      <c r="T36" s="150">
        <f t="shared" si="40"/>
        <v>32608173.2919797</v>
      </c>
      <c r="U36" s="135"/>
      <c r="V36" s="150">
        <f t="shared" si="40"/>
        <v>996199.77220000175</v>
      </c>
      <c r="W36" s="150">
        <f>W34+W23</f>
        <v>33604373.064179704</v>
      </c>
      <c r="X36" s="106"/>
      <c r="Y36" s="110">
        <f t="shared" ref="Y36" si="41">Y34+Y23</f>
        <v>996199.77220000175</v>
      </c>
      <c r="Z36" s="110">
        <f>Z34+Z23</f>
        <v>34600572.836379699</v>
      </c>
      <c r="AB36" s="110">
        <f t="shared" ref="AB36" si="42">AB34+AB23</f>
        <v>996199.77220000175</v>
      </c>
      <c r="AC36" s="110">
        <f>AC34+AC23</f>
        <v>35596772.608579703</v>
      </c>
      <c r="AD36" s="106"/>
      <c r="AE36" s="106"/>
      <c r="AF36" s="106"/>
      <c r="AG36" s="110">
        <f>AG34+AG23</f>
        <v>1113448</v>
      </c>
      <c r="AH36" s="110">
        <f>AH34+AH23</f>
        <v>36710221.561229706</v>
      </c>
      <c r="AI36" s="110">
        <f t="shared" ref="AI36:AL36" si="43">AI34+AI23</f>
        <v>8852078.5361720007</v>
      </c>
      <c r="AJ36" s="110">
        <f t="shared" si="43"/>
        <v>45562300.097401701</v>
      </c>
      <c r="AK36" s="110">
        <f t="shared" si="43"/>
        <v>9072402.1160000004</v>
      </c>
      <c r="AL36" s="110">
        <f t="shared" si="43"/>
        <v>54634702.213401705</v>
      </c>
      <c r="AM36" s="110">
        <f t="shared" ref="AM36:AO36" si="44">AM34+AM23</f>
        <v>9276585.292086903</v>
      </c>
      <c r="AN36" s="110">
        <f t="shared" si="44"/>
        <v>63911287.505488604</v>
      </c>
      <c r="AO36" s="110">
        <f t="shared" si="44"/>
        <v>9246148.8799999952</v>
      </c>
      <c r="AP36" s="110">
        <f>AP34+AP23</f>
        <v>73157436.385488614</v>
      </c>
      <c r="AQ36" s="110">
        <f t="shared" ref="AQ36" si="45">AQ34+AQ23</f>
        <v>9261322.2991999984</v>
      </c>
      <c r="AR36" s="110">
        <f>AR34+AR23</f>
        <v>82418758.684688583</v>
      </c>
    </row>
    <row r="37" spans="2:44" ht="15.75" thickTop="1" x14ac:dyDescent="0.25">
      <c r="B37" s="151"/>
      <c r="C37" s="151"/>
      <c r="D37" s="151"/>
      <c r="E37" s="151"/>
      <c r="F37" s="151"/>
      <c r="G37" s="151"/>
      <c r="H37" s="151"/>
      <c r="I37" s="151"/>
      <c r="J37" s="151"/>
      <c r="K37" s="151"/>
      <c r="L37" s="151"/>
      <c r="M37" s="151"/>
      <c r="N37" s="151"/>
      <c r="O37" s="151"/>
      <c r="P37" s="151"/>
      <c r="Q37" s="151"/>
      <c r="R37" s="151"/>
      <c r="S37" s="151"/>
      <c r="T37" s="151"/>
      <c r="U37" s="151"/>
      <c r="V37" s="151"/>
      <c r="W37" s="151"/>
    </row>
    <row r="38" spans="2:44" x14ac:dyDescent="0.25">
      <c r="B38" s="151"/>
      <c r="C38" s="151"/>
      <c r="D38" s="151"/>
      <c r="E38" s="151"/>
      <c r="F38" s="151"/>
      <c r="G38" s="151"/>
      <c r="H38" s="151"/>
      <c r="I38" s="151"/>
      <c r="J38" s="151"/>
      <c r="K38" s="151"/>
      <c r="L38" s="151"/>
      <c r="M38" s="151"/>
      <c r="N38" s="151"/>
      <c r="O38" s="151"/>
      <c r="P38" s="151"/>
      <c r="Q38" s="151"/>
      <c r="R38" s="151"/>
      <c r="S38" s="151"/>
      <c r="T38" s="151"/>
      <c r="U38" s="151"/>
      <c r="V38" s="151"/>
      <c r="W38" s="151"/>
    </row>
    <row r="39" spans="2:44" x14ac:dyDescent="0.25">
      <c r="B39" s="151"/>
      <c r="C39" s="151"/>
      <c r="D39" s="151"/>
      <c r="E39" s="151"/>
      <c r="F39" s="262"/>
      <c r="G39" s="151"/>
      <c r="H39" s="151"/>
      <c r="I39" s="151"/>
      <c r="J39" s="151"/>
      <c r="K39" s="151"/>
      <c r="L39" s="151"/>
      <c r="M39" s="151"/>
      <c r="N39" s="151"/>
      <c r="O39" s="151"/>
      <c r="P39" s="151"/>
      <c r="Q39" s="151"/>
      <c r="R39" s="151"/>
      <c r="S39" s="151"/>
      <c r="T39" s="151"/>
      <c r="U39" s="151"/>
      <c r="V39" s="151"/>
      <c r="W39" s="151"/>
    </row>
    <row r="40" spans="2:44" x14ac:dyDescent="0.25">
      <c r="B40" s="210" t="s">
        <v>656</v>
      </c>
      <c r="C40" s="315">
        <v>2017</v>
      </c>
      <c r="D40" s="315">
        <v>2016</v>
      </c>
      <c r="E40" s="151"/>
      <c r="F40" s="263"/>
      <c r="G40" s="151"/>
      <c r="H40" s="151"/>
      <c r="I40" s="151"/>
      <c r="J40" s="151"/>
      <c r="K40" s="151"/>
      <c r="L40" s="151"/>
      <c r="M40" s="151"/>
      <c r="N40" s="151"/>
      <c r="O40" s="151"/>
      <c r="P40" s="151"/>
      <c r="Q40" s="151"/>
      <c r="R40" s="151"/>
      <c r="S40" s="151"/>
      <c r="T40" s="151"/>
      <c r="U40" s="151"/>
      <c r="V40" s="151"/>
      <c r="W40" s="151"/>
    </row>
    <row r="41" spans="2:44" x14ac:dyDescent="0.25">
      <c r="B41" s="211" t="s">
        <v>657</v>
      </c>
      <c r="C41" s="316">
        <v>67858477</v>
      </c>
      <c r="D41" s="316">
        <v>40443256</v>
      </c>
      <c r="E41" s="151"/>
      <c r="F41" s="264"/>
      <c r="G41" s="151"/>
      <c r="H41" s="151"/>
      <c r="I41" s="151"/>
      <c r="J41" s="151"/>
      <c r="K41" s="151"/>
      <c r="L41" s="151"/>
      <c r="M41" s="151"/>
      <c r="N41" s="151"/>
      <c r="O41" s="151"/>
      <c r="P41" s="151"/>
      <c r="Q41" s="151"/>
      <c r="R41" s="151"/>
      <c r="S41" s="151"/>
      <c r="T41" s="151"/>
      <c r="U41" s="151"/>
      <c r="V41" s="151"/>
      <c r="W41" s="151"/>
    </row>
    <row r="42" spans="2:44" x14ac:dyDescent="0.25">
      <c r="B42" s="211" t="s">
        <v>1124</v>
      </c>
      <c r="C42" s="316">
        <v>-171406849</v>
      </c>
      <c r="D42" s="316">
        <v>-128912731</v>
      </c>
      <c r="E42" s="151"/>
      <c r="F42" s="264"/>
      <c r="G42" s="151"/>
      <c r="H42" s="151"/>
      <c r="I42" s="151"/>
      <c r="J42" s="151"/>
      <c r="K42" s="151"/>
      <c r="L42" s="151"/>
      <c r="M42" s="151"/>
      <c r="N42" s="151"/>
      <c r="O42" s="151"/>
      <c r="P42" s="151"/>
      <c r="Q42" s="151"/>
      <c r="R42" s="151"/>
      <c r="S42" s="151"/>
      <c r="T42" s="151"/>
      <c r="U42" s="151"/>
      <c r="V42" s="151"/>
      <c r="W42" s="151"/>
    </row>
    <row r="43" spans="2:44" x14ac:dyDescent="0.25">
      <c r="B43" s="212" t="s">
        <v>1125</v>
      </c>
      <c r="C43" s="316">
        <v>-173146</v>
      </c>
      <c r="D43" s="316">
        <v>-206700</v>
      </c>
      <c r="F43" s="264"/>
    </row>
    <row r="44" spans="2:44" x14ac:dyDescent="0.25">
      <c r="B44" s="212" t="s">
        <v>1126</v>
      </c>
      <c r="C44" s="316">
        <v>-577761</v>
      </c>
      <c r="D44" s="316">
        <v>-331533</v>
      </c>
      <c r="F44" s="264"/>
    </row>
    <row r="45" spans="2:44" x14ac:dyDescent="0.25">
      <c r="B45" s="212" t="s">
        <v>1127</v>
      </c>
      <c r="C45" s="317">
        <v>0</v>
      </c>
      <c r="D45" s="317">
        <v>0</v>
      </c>
    </row>
    <row r="46" spans="2:44" x14ac:dyDescent="0.25">
      <c r="B46" s="212" t="s">
        <v>658</v>
      </c>
      <c r="C46" s="280">
        <v>0</v>
      </c>
      <c r="D46" s="280">
        <v>0</v>
      </c>
    </row>
    <row r="47" spans="2:44" x14ac:dyDescent="0.25">
      <c r="B47" s="213" t="s">
        <v>659</v>
      </c>
      <c r="C47" s="280">
        <f>C41+C42+C43+C44+C45+C46</f>
        <v>-104299279</v>
      </c>
      <c r="D47" s="280">
        <f>D41+D42+D43+D44+D45+D46</f>
        <v>-89007708</v>
      </c>
    </row>
    <row r="101" spans="2:2" x14ac:dyDescent="0.25">
      <c r="B101" s="193"/>
    </row>
    <row r="102" spans="2:2" x14ac:dyDescent="0.25">
      <c r="B102" s="194"/>
    </row>
    <row r="103" spans="2:2" x14ac:dyDescent="0.25">
      <c r="B103" s="193"/>
    </row>
    <row r="104" spans="2:2" x14ac:dyDescent="0.25">
      <c r="B104" s="194"/>
    </row>
    <row r="105" spans="2:2" x14ac:dyDescent="0.25">
      <c r="B105" s="194"/>
    </row>
    <row r="106" spans="2:2" x14ac:dyDescent="0.25">
      <c r="B106" s="194"/>
    </row>
  </sheetData>
  <customSheetViews>
    <customSheetView guid="{589A2A1C-99B3-4A22-A52E-EECEEAD60ADB}" scale="90">
      <selection sqref="A1:H1"/>
      <pageMargins left="0.2" right="0.2" top="0.5" bottom="0.5" header="0.3" footer="0.3"/>
      <pageSetup scale="60" orientation="landscape" r:id="rId1"/>
      <headerFooter>
        <oddFooter>&amp;L&amp;Z&amp;F</oddFooter>
      </headerFooter>
    </customSheetView>
    <customSheetView guid="{C0F5889E-F852-4CB9-B477-759ADBCFF6D5}" scale="90">
      <selection activeCell="C41" sqref="C41"/>
      <pageMargins left="0.2" right="0.2" top="0.5" bottom="0.5" header="0.3" footer="0.3"/>
      <pageSetup scale="60" orientation="landscape" r:id="rId2"/>
      <headerFooter>
        <oddFooter>&amp;L&amp;Z&amp;F</oddFooter>
      </headerFooter>
    </customSheetView>
  </customSheetViews>
  <mergeCells count="4">
    <mergeCell ref="A1:H1"/>
    <mergeCell ref="A2:H2"/>
    <mergeCell ref="A3:H3"/>
    <mergeCell ref="A4:H4"/>
  </mergeCells>
  <pageMargins left="0.2" right="0.2" top="0.5" bottom="0.5" header="0.3" footer="0.3"/>
  <pageSetup scale="60" orientation="landscape" r:id="rId3"/>
  <headerFooter>
    <oddFooter>&amp;L&amp;Z&amp;F</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96"/>
  <sheetViews>
    <sheetView zoomScale="80" zoomScaleNormal="80" workbookViewId="0"/>
  </sheetViews>
  <sheetFormatPr defaultRowHeight="15" x14ac:dyDescent="0.25"/>
  <cols>
    <col min="1" max="1" width="82.42578125" style="86" customWidth="1"/>
    <col min="2" max="2" width="31.140625" style="86" customWidth="1"/>
    <col min="3" max="3" width="71" style="86" bestFit="1" customWidth="1"/>
    <col min="4" max="4" width="11.7109375" style="86" bestFit="1" customWidth="1"/>
    <col min="5" max="16384" width="9.140625" style="86"/>
  </cols>
  <sheetData>
    <row r="1" spans="1:3" x14ac:dyDescent="0.25">
      <c r="A1" s="197" t="s">
        <v>0</v>
      </c>
      <c r="B1" s="197" t="s">
        <v>706</v>
      </c>
    </row>
    <row r="2" spans="1:3" x14ac:dyDescent="0.25">
      <c r="A2" s="197" t="s">
        <v>609</v>
      </c>
      <c r="B2" s="197" t="s">
        <v>647</v>
      </c>
    </row>
    <row r="3" spans="1:3" x14ac:dyDescent="0.25">
      <c r="A3" s="197" t="s">
        <v>648</v>
      </c>
      <c r="B3" s="48"/>
    </row>
    <row r="4" spans="1:3" x14ac:dyDescent="0.25">
      <c r="A4" s="197"/>
      <c r="B4" s="292" t="s">
        <v>131</v>
      </c>
    </row>
    <row r="5" spans="1:3" x14ac:dyDescent="0.25">
      <c r="B5" s="302">
        <v>43100</v>
      </c>
    </row>
    <row r="6" spans="1:3" x14ac:dyDescent="0.25">
      <c r="B6" s="293" t="s">
        <v>132</v>
      </c>
    </row>
    <row r="7" spans="1:3" x14ac:dyDescent="0.25">
      <c r="A7" s="86" t="s">
        <v>660</v>
      </c>
      <c r="B7" s="48">
        <f>SUM('FERC Form 1 Inputs'!N25:N28)</f>
        <v>10530733</v>
      </c>
    </row>
    <row r="8" spans="1:3" x14ac:dyDescent="0.25">
      <c r="B8" s="48"/>
    </row>
    <row r="9" spans="1:3" x14ac:dyDescent="0.25">
      <c r="A9" s="131" t="s">
        <v>707</v>
      </c>
      <c r="B9" s="48">
        <f>'FERC Form 1 Inputs'!N25</f>
        <v>1245799</v>
      </c>
    </row>
    <row r="10" spans="1:3" x14ac:dyDescent="0.25">
      <c r="A10" s="131" t="s">
        <v>708</v>
      </c>
      <c r="B10" s="48">
        <f>'FERC Form 1 Inputs'!N26</f>
        <v>8471596</v>
      </c>
      <c r="C10" s="221"/>
    </row>
    <row r="11" spans="1:3" x14ac:dyDescent="0.25">
      <c r="A11" s="131" t="s">
        <v>709</v>
      </c>
      <c r="B11" s="48">
        <f>'FERC Form 1 Inputs'!N27</f>
        <v>811724</v>
      </c>
      <c r="C11" s="221"/>
    </row>
    <row r="12" spans="1:3" x14ac:dyDescent="0.25">
      <c r="A12" s="131" t="s">
        <v>710</v>
      </c>
      <c r="B12" s="48">
        <f>'FERC Form 1 Inputs'!N28</f>
        <v>1614</v>
      </c>
      <c r="C12" s="221"/>
    </row>
    <row r="13" spans="1:3" x14ac:dyDescent="0.25">
      <c r="A13" s="131" t="s">
        <v>711</v>
      </c>
      <c r="B13" s="48">
        <f>'FERC Form 1 Inputs'!N29</f>
        <v>231610</v>
      </c>
      <c r="C13" s="221"/>
    </row>
    <row r="14" spans="1:3" x14ac:dyDescent="0.25">
      <c r="A14" s="131" t="s">
        <v>712</v>
      </c>
      <c r="B14" s="48">
        <v>0</v>
      </c>
      <c r="C14" s="221"/>
    </row>
    <row r="15" spans="1:3" x14ac:dyDescent="0.25">
      <c r="A15" s="192" t="s">
        <v>713</v>
      </c>
      <c r="B15" s="48">
        <v>0</v>
      </c>
      <c r="C15" s="221"/>
    </row>
    <row r="16" spans="1:3" x14ac:dyDescent="0.25">
      <c r="B16" s="48"/>
    </row>
    <row r="17" spans="1:7" x14ac:dyDescent="0.25">
      <c r="A17" s="131" t="s">
        <v>714</v>
      </c>
      <c r="B17" s="277">
        <f>SUM('FERC Form 1 Inputs'!N25:N31)</f>
        <v>10762343</v>
      </c>
    </row>
    <row r="18" spans="1:7" x14ac:dyDescent="0.25">
      <c r="A18" s="86" t="s">
        <v>661</v>
      </c>
      <c r="B18" s="48"/>
    </row>
    <row r="19" spans="1:7" x14ac:dyDescent="0.25">
      <c r="A19" s="71" t="s">
        <v>662</v>
      </c>
      <c r="B19" s="318">
        <v>-3622486.04</v>
      </c>
      <c r="C19" s="221" t="s">
        <v>1285</v>
      </c>
    </row>
    <row r="20" spans="1:7" x14ac:dyDescent="0.25">
      <c r="A20" s="86" t="s">
        <v>663</v>
      </c>
      <c r="B20" s="318">
        <v>-908218.55</v>
      </c>
    </row>
    <row r="21" spans="1:7" x14ac:dyDescent="0.25">
      <c r="A21" s="86" t="s">
        <v>664</v>
      </c>
      <c r="B21" s="319">
        <v>0</v>
      </c>
    </row>
    <row r="22" spans="1:7" x14ac:dyDescent="0.25">
      <c r="A22" s="86" t="s">
        <v>665</v>
      </c>
      <c r="B22" s="48">
        <f>B7+B19+B20+B21</f>
        <v>6000028.4100000001</v>
      </c>
    </row>
    <row r="23" spans="1:7" x14ac:dyDescent="0.25">
      <c r="B23" s="221"/>
    </row>
    <row r="24" spans="1:7" x14ac:dyDescent="0.25">
      <c r="B24" s="221"/>
      <c r="C24" s="23"/>
    </row>
    <row r="28" spans="1:7" x14ac:dyDescent="0.25">
      <c r="C28" s="23"/>
      <c r="G28" s="86" t="s">
        <v>1170</v>
      </c>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80" showPageBreaks="1" fitToPage="1" printArea="1">
      <selection activeCell="B19" sqref="B19"/>
      <pageMargins left="0.7" right="0.7" top="0.75" bottom="0.75" header="0.3" footer="0.3"/>
      <pageSetup scale="80" orientation="portrait" r:id="rId1"/>
      <headerFooter>
        <oddFooter>&amp;L&amp;Z&amp;F</oddFooter>
      </headerFooter>
    </customSheetView>
    <customSheetView guid="{C0F5889E-F852-4CB9-B477-759ADBCFF6D5}" scale="80" showPageBreaks="1" fitToPage="1" printArea="1">
      <selection activeCell="C28" sqref="C28"/>
      <pageMargins left="0.7" right="0.7" top="0.75" bottom="0.75" header="0.3" footer="0.3"/>
      <pageSetup scale="80" orientation="portrait" r:id="rId2"/>
      <headerFooter>
        <oddFooter>&amp;L&amp;Z&amp;F</oddFooter>
      </headerFooter>
    </customSheetView>
  </customSheetViews>
  <pageMargins left="0.7" right="0.7" top="0.75" bottom="0.75" header="0.3" footer="0.3"/>
  <pageSetup scale="80" orientation="portrait" r:id="rId3"/>
  <headerFooter>
    <oddFooter>&amp;L&amp;Z&amp;F</oddFooter>
  </headerFooter>
  <legacy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zoomScale="80" zoomScaleNormal="80" workbookViewId="0">
      <selection sqref="A1:F1"/>
    </sheetView>
  </sheetViews>
  <sheetFormatPr defaultRowHeight="15" x14ac:dyDescent="0.25"/>
  <cols>
    <col min="1" max="1" width="4.7109375" style="86" customWidth="1"/>
    <col min="2" max="2" width="81.85546875" style="86" customWidth="1"/>
    <col min="3" max="3" width="1.7109375" style="86" customWidth="1"/>
    <col min="4" max="4" width="39.5703125" style="86" bestFit="1" customWidth="1"/>
    <col min="5" max="5" width="1.7109375" style="86" customWidth="1"/>
    <col min="6" max="6" width="14.5703125" style="86" customWidth="1"/>
    <col min="7" max="7" width="16.42578125" style="86" bestFit="1" customWidth="1"/>
    <col min="8" max="8" width="38.140625" style="86" bestFit="1" customWidth="1"/>
    <col min="9" max="9" width="43.42578125" style="86" bestFit="1" customWidth="1"/>
    <col min="10" max="16384" width="9.140625" style="86"/>
  </cols>
  <sheetData>
    <row r="1" spans="1:15" x14ac:dyDescent="0.25">
      <c r="A1" s="329" t="s">
        <v>0</v>
      </c>
      <c r="B1" s="329"/>
      <c r="C1" s="329"/>
      <c r="D1" s="329"/>
      <c r="E1" s="329"/>
      <c r="F1" s="329"/>
      <c r="G1" s="197" t="s">
        <v>706</v>
      </c>
    </row>
    <row r="2" spans="1:15" x14ac:dyDescent="0.25">
      <c r="A2" s="329" t="s">
        <v>204</v>
      </c>
      <c r="B2" s="329"/>
      <c r="C2" s="329"/>
      <c r="D2" s="329"/>
      <c r="E2" s="329"/>
      <c r="F2" s="329"/>
      <c r="G2" s="197" t="s">
        <v>715</v>
      </c>
    </row>
    <row r="3" spans="1:15" x14ac:dyDescent="0.25">
      <c r="A3" s="329" t="s">
        <v>1338</v>
      </c>
      <c r="B3" s="329"/>
      <c r="C3" s="329"/>
      <c r="D3" s="329"/>
      <c r="E3" s="329"/>
      <c r="F3" s="329"/>
      <c r="G3" s="197"/>
      <c r="H3" s="234"/>
    </row>
    <row r="4" spans="1:15" x14ac:dyDescent="0.25">
      <c r="A4" s="329" t="s">
        <v>1339</v>
      </c>
      <c r="B4" s="329"/>
      <c r="C4" s="329"/>
      <c r="D4" s="329"/>
      <c r="E4" s="329"/>
      <c r="F4" s="329"/>
      <c r="G4" s="197"/>
      <c r="H4" s="234"/>
    </row>
    <row r="5" spans="1:15" x14ac:dyDescent="0.25">
      <c r="A5" s="197"/>
      <c r="B5" s="204"/>
      <c r="C5" s="204"/>
      <c r="D5" s="204"/>
      <c r="E5" s="204"/>
      <c r="F5" s="204"/>
      <c r="G5" s="204"/>
      <c r="H5" s="234"/>
    </row>
    <row r="6" spans="1:15" x14ac:dyDescent="0.25">
      <c r="A6" s="11" t="s">
        <v>506</v>
      </c>
      <c r="D6" s="204" t="s">
        <v>4</v>
      </c>
      <c r="G6" s="73" t="s">
        <v>167</v>
      </c>
      <c r="H6" s="234"/>
    </row>
    <row r="7" spans="1:15" x14ac:dyDescent="0.25">
      <c r="A7" s="11" t="s">
        <v>521</v>
      </c>
      <c r="E7" s="6"/>
      <c r="F7" s="6"/>
      <c r="H7" s="234"/>
    </row>
    <row r="8" spans="1:15" x14ac:dyDescent="0.25">
      <c r="A8" s="86">
        <v>1</v>
      </c>
      <c r="B8" s="86" t="s">
        <v>439</v>
      </c>
      <c r="D8" s="86" t="s">
        <v>143</v>
      </c>
      <c r="E8" s="6"/>
      <c r="F8" s="6"/>
      <c r="G8" s="320">
        <v>61559170.419981293</v>
      </c>
      <c r="H8" s="269"/>
    </row>
    <row r="9" spans="1:15" x14ac:dyDescent="0.25">
      <c r="A9" s="86">
        <v>2</v>
      </c>
      <c r="B9" s="86" t="s">
        <v>440</v>
      </c>
      <c r="D9" s="86" t="s">
        <v>528</v>
      </c>
      <c r="E9" s="6"/>
      <c r="F9" s="6"/>
      <c r="G9" s="2">
        <f>'Amounts Owed Worksheet'!N29</f>
        <v>59333972.02239199</v>
      </c>
    </row>
    <row r="10" spans="1:15" x14ac:dyDescent="0.25">
      <c r="A10" s="86">
        <v>3</v>
      </c>
      <c r="B10" s="86" t="s">
        <v>717</v>
      </c>
      <c r="D10" s="86" t="s">
        <v>589</v>
      </c>
      <c r="G10" s="17">
        <f>G9-G8</f>
        <v>-2225198.3975893036</v>
      </c>
    </row>
    <row r="11" spans="1:15" x14ac:dyDescent="0.25">
      <c r="G11" s="17"/>
    </row>
    <row r="12" spans="1:15" x14ac:dyDescent="0.25">
      <c r="A12" s="86">
        <v>4</v>
      </c>
      <c r="B12" s="86" t="s">
        <v>443</v>
      </c>
      <c r="D12" s="86" t="s">
        <v>444</v>
      </c>
      <c r="G12" s="17">
        <f>'Interest Worksheet'!H15+'Interest Worksheet'!H17+'Interest Worksheet'!Q15</f>
        <v>-144142.22869948862</v>
      </c>
    </row>
    <row r="14" spans="1:15" x14ac:dyDescent="0.25">
      <c r="A14" s="86">
        <v>5</v>
      </c>
      <c r="B14" s="86" t="s">
        <v>517</v>
      </c>
      <c r="D14" s="86" t="s">
        <v>529</v>
      </c>
      <c r="G14" s="75">
        <f>'Amounts Owed Worksheet'!J31</f>
        <v>0.18929849817067307</v>
      </c>
    </row>
    <row r="15" spans="1:15" x14ac:dyDescent="0.25">
      <c r="G15" s="51"/>
    </row>
    <row r="16" spans="1:15" s="221" customFormat="1" x14ac:dyDescent="0.25">
      <c r="A16" s="219">
        <v>6</v>
      </c>
      <c r="B16" s="219" t="s">
        <v>502</v>
      </c>
      <c r="C16" s="219"/>
      <c r="D16" s="219" t="s">
        <v>518</v>
      </c>
      <c r="E16" s="219"/>
      <c r="F16" s="219"/>
      <c r="G16" s="222">
        <f>(G10+G12)/G14</f>
        <v>-12516425.905041123</v>
      </c>
      <c r="H16" s="23"/>
      <c r="I16" s="223" t="s">
        <v>1264</v>
      </c>
      <c r="J16" s="219"/>
      <c r="K16" s="219"/>
      <c r="L16" s="219"/>
      <c r="M16" s="219"/>
      <c r="N16" s="219"/>
      <c r="O16" s="219"/>
    </row>
    <row r="17" spans="1:8" x14ac:dyDescent="0.25">
      <c r="G17" s="51"/>
    </row>
    <row r="18" spans="1:8" x14ac:dyDescent="0.25">
      <c r="A18" s="11" t="s">
        <v>522</v>
      </c>
      <c r="G18" s="51"/>
    </row>
    <row r="19" spans="1:8" x14ac:dyDescent="0.25">
      <c r="A19" s="86">
        <v>7</v>
      </c>
      <c r="B19" s="86" t="s">
        <v>441</v>
      </c>
      <c r="D19" s="86" t="s">
        <v>610</v>
      </c>
      <c r="G19" s="6">
        <f>'Amounts Owed Worksheet'!Q29</f>
        <v>26651000</v>
      </c>
    </row>
    <row r="20" spans="1:8" x14ac:dyDescent="0.25">
      <c r="G20" s="17"/>
    </row>
    <row r="21" spans="1:8" x14ac:dyDescent="0.25">
      <c r="A21" s="86">
        <v>8</v>
      </c>
      <c r="B21" s="86" t="s">
        <v>426</v>
      </c>
      <c r="D21" s="86" t="s">
        <v>528</v>
      </c>
      <c r="G21" s="57">
        <f>'Amounts Owed Worksheet'!P27</f>
        <v>1.3437787376273354</v>
      </c>
    </row>
    <row r="22" spans="1:8" ht="44.25" customHeight="1" x14ac:dyDescent="0.25">
      <c r="A22" s="86">
        <v>9</v>
      </c>
      <c r="B22" s="86" t="s">
        <v>425</v>
      </c>
      <c r="D22" s="184" t="s">
        <v>1194</v>
      </c>
      <c r="G22" s="321">
        <v>1.3919999999999999</v>
      </c>
      <c r="H22" s="221"/>
    </row>
    <row r="23" spans="1:8" x14ac:dyDescent="0.25">
      <c r="A23" s="86">
        <v>10</v>
      </c>
      <c r="B23" s="86" t="s">
        <v>442</v>
      </c>
      <c r="D23" s="86" t="s">
        <v>503</v>
      </c>
      <c r="G23" s="57">
        <f>G21-G22</f>
        <v>-4.8221262372664553E-2</v>
      </c>
      <c r="H23" s="23"/>
    </row>
    <row r="24" spans="1:8" x14ac:dyDescent="0.25">
      <c r="G24" s="48"/>
    </row>
    <row r="25" spans="1:8" x14ac:dyDescent="0.25">
      <c r="A25" s="86">
        <v>11</v>
      </c>
      <c r="B25" s="86" t="s">
        <v>510</v>
      </c>
      <c r="D25" s="86" t="s">
        <v>504</v>
      </c>
      <c r="G25" s="17">
        <f>G23*G19</f>
        <v>-1285144.8634938831</v>
      </c>
    </row>
    <row r="26" spans="1:8" x14ac:dyDescent="0.25">
      <c r="A26" s="86">
        <v>12</v>
      </c>
      <c r="B26" s="86" t="s">
        <v>443</v>
      </c>
      <c r="D26" s="86" t="s">
        <v>444</v>
      </c>
      <c r="G26" s="39">
        <f>'Interest Worksheet'!H32+'Interest Worksheet'!H34+'Interest Worksheet'!Q32</f>
        <v>-83248.147682649069</v>
      </c>
    </row>
    <row r="27" spans="1:8" x14ac:dyDescent="0.25">
      <c r="G27" s="39"/>
    </row>
    <row r="28" spans="1:8" x14ac:dyDescent="0.25">
      <c r="A28" s="86">
        <v>13</v>
      </c>
      <c r="B28" s="86" t="s">
        <v>519</v>
      </c>
      <c r="D28" s="86" t="s">
        <v>528</v>
      </c>
      <c r="G28" s="75">
        <f>'Amounts Owed Worksheet'!E31</f>
        <v>0.11118666978172352</v>
      </c>
    </row>
    <row r="29" spans="1:8" x14ac:dyDescent="0.25">
      <c r="G29" s="52"/>
    </row>
    <row r="30" spans="1:8" s="221" customFormat="1" x14ac:dyDescent="0.25">
      <c r="A30" s="219">
        <v>14</v>
      </c>
      <c r="B30" s="219" t="s">
        <v>505</v>
      </c>
      <c r="C30" s="219"/>
      <c r="D30" s="219" t="s">
        <v>520</v>
      </c>
      <c r="E30" s="219"/>
      <c r="F30" s="219"/>
      <c r="G30" s="222">
        <f>(G25+G26)/G28</f>
        <v>-12307167.881391695</v>
      </c>
      <c r="H30" s="23"/>
    </row>
    <row r="31" spans="1:8" x14ac:dyDescent="0.25">
      <c r="G31" s="17"/>
    </row>
    <row r="32" spans="1:8" ht="30" x14ac:dyDescent="0.25">
      <c r="B32" s="11" t="s">
        <v>410</v>
      </c>
      <c r="C32" s="221"/>
      <c r="D32" s="221"/>
      <c r="E32" s="221"/>
      <c r="F32" s="49" t="s">
        <v>427</v>
      </c>
      <c r="G32" s="50" t="s">
        <v>422</v>
      </c>
    </row>
    <row r="33" spans="1:7" x14ac:dyDescent="0.25">
      <c r="A33" s="86">
        <v>15</v>
      </c>
      <c r="B33" s="221" t="s">
        <v>1328</v>
      </c>
      <c r="C33" s="221"/>
      <c r="D33" s="221"/>
      <c r="E33" s="221"/>
      <c r="F33" s="322">
        <v>3.5000000000000003E-2</v>
      </c>
      <c r="G33" s="35">
        <f>F33/12</f>
        <v>2.9166666666666668E-3</v>
      </c>
    </row>
    <row r="34" spans="1:7" x14ac:dyDescent="0.25">
      <c r="A34" s="86">
        <v>16</v>
      </c>
      <c r="B34" s="221" t="s">
        <v>411</v>
      </c>
      <c r="C34" s="221"/>
      <c r="D34" s="221"/>
      <c r="E34" s="221"/>
      <c r="F34" s="322">
        <v>3.5000000000000003E-2</v>
      </c>
      <c r="G34" s="35">
        <f t="shared" ref="G34:G47" si="0">F34/12</f>
        <v>2.9166666666666668E-3</v>
      </c>
    </row>
    <row r="35" spans="1:7" x14ac:dyDescent="0.25">
      <c r="A35" s="86">
        <v>17</v>
      </c>
      <c r="B35" s="221" t="s">
        <v>412</v>
      </c>
      <c r="C35" s="221"/>
      <c r="D35" s="221"/>
      <c r="E35" s="221"/>
      <c r="F35" s="322">
        <v>3.5000000000000003E-2</v>
      </c>
      <c r="G35" s="35">
        <f t="shared" si="0"/>
        <v>2.9166666666666668E-3</v>
      </c>
    </row>
    <row r="36" spans="1:7" x14ac:dyDescent="0.25">
      <c r="A36" s="86">
        <v>18</v>
      </c>
      <c r="B36" s="221" t="s">
        <v>413</v>
      </c>
      <c r="C36" s="221"/>
      <c r="D36" s="221"/>
      <c r="E36" s="221"/>
      <c r="F36" s="322">
        <v>3.7100000000000001E-2</v>
      </c>
      <c r="G36" s="35">
        <f t="shared" si="0"/>
        <v>3.0916666666666666E-3</v>
      </c>
    </row>
    <row r="37" spans="1:7" x14ac:dyDescent="0.25">
      <c r="A37" s="86">
        <v>19</v>
      </c>
      <c r="B37" s="221" t="s">
        <v>414</v>
      </c>
      <c r="C37" s="221"/>
      <c r="D37" s="221"/>
      <c r="E37" s="221"/>
      <c r="F37" s="322">
        <v>3.7100000000000001E-2</v>
      </c>
      <c r="G37" s="35">
        <f t="shared" si="0"/>
        <v>3.0916666666666666E-3</v>
      </c>
    </row>
    <row r="38" spans="1:7" x14ac:dyDescent="0.25">
      <c r="A38" s="86">
        <v>20</v>
      </c>
      <c r="B38" s="221" t="s">
        <v>415</v>
      </c>
      <c r="C38" s="221"/>
      <c r="D38" s="221"/>
      <c r="E38" s="221"/>
      <c r="F38" s="322">
        <v>3.7100000000000001E-2</v>
      </c>
      <c r="G38" s="35">
        <f t="shared" si="0"/>
        <v>3.0916666666666666E-3</v>
      </c>
    </row>
    <row r="39" spans="1:7" x14ac:dyDescent="0.25">
      <c r="A39" s="86">
        <v>21</v>
      </c>
      <c r="B39" s="221" t="s">
        <v>416</v>
      </c>
      <c r="C39" s="221"/>
      <c r="D39" s="221"/>
      <c r="E39" s="221"/>
      <c r="F39" s="322">
        <v>3.9600000000000003E-2</v>
      </c>
      <c r="G39" s="35">
        <f t="shared" si="0"/>
        <v>3.3000000000000004E-3</v>
      </c>
    </row>
    <row r="40" spans="1:7" x14ac:dyDescent="0.25">
      <c r="A40" s="86">
        <v>22</v>
      </c>
      <c r="B40" s="221" t="s">
        <v>417</v>
      </c>
      <c r="C40" s="221"/>
      <c r="D40" s="221"/>
      <c r="E40" s="221"/>
      <c r="F40" s="322">
        <v>3.9600000000000003E-2</v>
      </c>
      <c r="G40" s="35">
        <f t="shared" si="0"/>
        <v>3.3000000000000004E-3</v>
      </c>
    </row>
    <row r="41" spans="1:7" x14ac:dyDescent="0.25">
      <c r="A41" s="86">
        <v>23</v>
      </c>
      <c r="B41" s="221" t="s">
        <v>418</v>
      </c>
      <c r="C41" s="221"/>
      <c r="D41" s="221"/>
      <c r="E41" s="221"/>
      <c r="F41" s="322">
        <v>3.9600000000000003E-2</v>
      </c>
      <c r="G41" s="35">
        <f t="shared" si="0"/>
        <v>3.3000000000000004E-3</v>
      </c>
    </row>
    <row r="42" spans="1:7" x14ac:dyDescent="0.25">
      <c r="A42" s="86">
        <v>24</v>
      </c>
      <c r="B42" s="221" t="s">
        <v>419</v>
      </c>
      <c r="C42" s="221"/>
      <c r="D42" s="221"/>
      <c r="E42" s="221"/>
      <c r="F42" s="322">
        <v>4.2099999999999999E-2</v>
      </c>
      <c r="G42" s="35">
        <f t="shared" si="0"/>
        <v>3.5083333333333334E-3</v>
      </c>
    </row>
    <row r="43" spans="1:7" x14ac:dyDescent="0.25">
      <c r="A43" s="86">
        <v>25</v>
      </c>
      <c r="B43" s="221" t="s">
        <v>420</v>
      </c>
      <c r="C43" s="221"/>
      <c r="D43" s="221"/>
      <c r="E43" s="221"/>
      <c r="F43" s="322">
        <v>4.2099999999999999E-2</v>
      </c>
      <c r="G43" s="35">
        <f t="shared" si="0"/>
        <v>3.5083333333333334E-3</v>
      </c>
    </row>
    <row r="44" spans="1:7" x14ac:dyDescent="0.25">
      <c r="A44" s="86">
        <v>26</v>
      </c>
      <c r="B44" s="221" t="s">
        <v>421</v>
      </c>
      <c r="C44" s="221"/>
      <c r="D44" s="221"/>
      <c r="E44" s="221"/>
      <c r="F44" s="322">
        <v>4.2099999999999999E-2</v>
      </c>
      <c r="G44" s="35">
        <f t="shared" si="0"/>
        <v>3.5083333333333334E-3</v>
      </c>
    </row>
    <row r="45" spans="1:7" x14ac:dyDescent="0.25">
      <c r="A45" s="86">
        <v>27</v>
      </c>
      <c r="B45" s="221" t="s">
        <v>1329</v>
      </c>
      <c r="C45" s="221"/>
      <c r="D45" s="221"/>
      <c r="E45" s="221"/>
      <c r="F45" s="322">
        <v>4.2500000000000003E-2</v>
      </c>
      <c r="G45" s="35">
        <f t="shared" si="0"/>
        <v>3.5416666666666669E-3</v>
      </c>
    </row>
    <row r="46" spans="1:7" x14ac:dyDescent="0.25">
      <c r="A46" s="86">
        <v>28</v>
      </c>
      <c r="B46" s="221" t="s">
        <v>411</v>
      </c>
      <c r="C46" s="221"/>
      <c r="D46" s="221"/>
      <c r="E46" s="221"/>
      <c r="F46" s="322">
        <v>4.2500000000000003E-2</v>
      </c>
      <c r="G46" s="35">
        <f t="shared" si="0"/>
        <v>3.5416666666666669E-3</v>
      </c>
    </row>
    <row r="47" spans="1:7" x14ac:dyDescent="0.25">
      <c r="A47" s="86">
        <v>29</v>
      </c>
      <c r="B47" s="86" t="s">
        <v>412</v>
      </c>
      <c r="F47" s="322">
        <v>4.2500000000000003E-2</v>
      </c>
      <c r="G47" s="36">
        <f t="shared" si="0"/>
        <v>3.5416666666666669E-3</v>
      </c>
    </row>
    <row r="48" spans="1:7" x14ac:dyDescent="0.25">
      <c r="A48" s="86">
        <v>30</v>
      </c>
      <c r="B48" s="86" t="s">
        <v>423</v>
      </c>
      <c r="G48" s="35">
        <f>AVERAGE(G33:G47)</f>
        <v>3.2716666666666666E-3</v>
      </c>
    </row>
    <row r="51" spans="1:2" x14ac:dyDescent="0.25">
      <c r="A51" s="54" t="s">
        <v>429</v>
      </c>
      <c r="B51" s="86" t="s">
        <v>428</v>
      </c>
    </row>
    <row r="52" spans="1:2" x14ac:dyDescent="0.25">
      <c r="B52" s="53" t="s">
        <v>1315</v>
      </c>
    </row>
    <row r="54" spans="1:2" x14ac:dyDescent="0.25">
      <c r="B54" s="221"/>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80" showPageBreaks="1" fitToPage="1" printArea="1">
      <selection activeCell="G14" sqref="G14"/>
      <pageMargins left="0.7" right="0.7" top="0.75" bottom="0.75" header="0.3" footer="0.3"/>
      <pageSetup scale="56" orientation="portrait" r:id="rId1"/>
      <headerFooter>
        <oddFooter>&amp;L&amp;Z&amp;F</oddFooter>
      </headerFooter>
    </customSheetView>
    <customSheetView guid="{C0F5889E-F852-4CB9-B477-759ADBCFF6D5}" scale="80" showPageBreaks="1" fitToPage="1" printArea="1" topLeftCell="A2">
      <selection activeCell="G28" sqref="G28"/>
      <pageMargins left="0.7" right="0.7" top="0.75" bottom="0.75" header="0.3" footer="0.3"/>
      <pageSetup scale="56" orientation="portrait" r:id="rId2"/>
      <headerFooter>
        <oddFooter>&amp;L&amp;Z&amp;F</oddFooter>
      </headerFooter>
    </customSheetView>
  </customSheetViews>
  <mergeCells count="4">
    <mergeCell ref="A1:F1"/>
    <mergeCell ref="A2:F2"/>
    <mergeCell ref="A3:F3"/>
    <mergeCell ref="A4:F4"/>
  </mergeCells>
  <hyperlinks>
    <hyperlink ref="B52" r:id="rId3" location="skipnavsub"/>
  </hyperlinks>
  <pageMargins left="0.7" right="0.7" top="0.75" bottom="0.75" header="0.3" footer="0.3"/>
  <pageSetup scale="56" orientation="portrait" r:id="rId4"/>
  <headerFooter>
    <oddFooter>&amp;L&amp;Z&amp;F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zoomScale="80" zoomScaleNormal="80" workbookViewId="0">
      <selection sqref="A1:F1"/>
    </sheetView>
  </sheetViews>
  <sheetFormatPr defaultRowHeight="15" x14ac:dyDescent="0.25"/>
  <cols>
    <col min="1" max="1" width="9.140625" style="86"/>
    <col min="2" max="2" width="54.42578125" style="86" customWidth="1"/>
    <col min="3" max="3" width="30.28515625" style="86" customWidth="1"/>
    <col min="4" max="4" width="44" style="86" customWidth="1"/>
    <col min="5" max="5" width="4.28515625" style="86" customWidth="1"/>
    <col min="6" max="6" width="14.42578125" style="86" bestFit="1" customWidth="1"/>
    <col min="7" max="7" width="22" style="86" customWidth="1"/>
    <col min="8" max="8" width="40.140625" style="86" bestFit="1" customWidth="1"/>
    <col min="9" max="16384" width="9.140625" style="86"/>
  </cols>
  <sheetData>
    <row r="1" spans="1:18" x14ac:dyDescent="0.25">
      <c r="A1" s="329" t="s">
        <v>0</v>
      </c>
      <c r="B1" s="329"/>
      <c r="C1" s="329"/>
      <c r="D1" s="329"/>
      <c r="E1" s="329"/>
      <c r="F1" s="329"/>
      <c r="G1" s="197" t="s">
        <v>706</v>
      </c>
    </row>
    <row r="2" spans="1:18" x14ac:dyDescent="0.25">
      <c r="A2" s="329" t="s">
        <v>204</v>
      </c>
      <c r="B2" s="329"/>
      <c r="C2" s="329"/>
      <c r="D2" s="329"/>
      <c r="E2" s="329"/>
      <c r="F2" s="329"/>
      <c r="G2" s="197" t="s">
        <v>716</v>
      </c>
    </row>
    <row r="3" spans="1:18" x14ac:dyDescent="0.25">
      <c r="A3" s="329" t="s">
        <v>1327</v>
      </c>
      <c r="B3" s="329"/>
      <c r="C3" s="329"/>
      <c r="D3" s="329"/>
      <c r="E3" s="329"/>
      <c r="F3" s="329"/>
      <c r="G3" s="290"/>
    </row>
    <row r="4" spans="1:18" x14ac:dyDescent="0.25">
      <c r="A4" s="329" t="s">
        <v>424</v>
      </c>
      <c r="B4" s="329"/>
      <c r="C4" s="329"/>
      <c r="D4" s="329"/>
      <c r="E4" s="329"/>
      <c r="F4" s="329"/>
      <c r="G4" s="290"/>
    </row>
    <row r="5" spans="1:18" x14ac:dyDescent="0.25">
      <c r="A5" s="221"/>
      <c r="B5" s="221"/>
      <c r="C5" s="221"/>
      <c r="D5" s="221"/>
      <c r="E5" s="221"/>
      <c r="F5" s="221"/>
      <c r="G5" s="221"/>
      <c r="H5" s="234"/>
    </row>
    <row r="6" spans="1:18" x14ac:dyDescent="0.25">
      <c r="A6" s="221"/>
      <c r="B6" s="221"/>
      <c r="C6" s="221"/>
      <c r="D6" s="221"/>
      <c r="E6" s="10"/>
      <c r="F6" s="221"/>
      <c r="G6" s="221"/>
      <c r="H6" s="234"/>
    </row>
    <row r="7" spans="1:18" x14ac:dyDescent="0.25">
      <c r="A7" s="11" t="s">
        <v>521</v>
      </c>
      <c r="B7" s="221"/>
      <c r="C7" s="221"/>
      <c r="D7" s="221"/>
      <c r="E7" s="6"/>
      <c r="F7" s="6"/>
      <c r="G7" s="83"/>
      <c r="H7" s="234"/>
    </row>
    <row r="8" spans="1:18" x14ac:dyDescent="0.25">
      <c r="A8" s="221">
        <v>2</v>
      </c>
      <c r="B8" s="221" t="s">
        <v>439</v>
      </c>
      <c r="C8" s="221"/>
      <c r="D8" s="221"/>
      <c r="E8" s="6"/>
      <c r="F8" s="6"/>
      <c r="G8" s="320">
        <v>1313111.2536546036</v>
      </c>
      <c r="H8" s="269"/>
    </row>
    <row r="9" spans="1:18" x14ac:dyDescent="0.25">
      <c r="A9" s="221">
        <v>3</v>
      </c>
      <c r="B9" s="221" t="s">
        <v>440</v>
      </c>
      <c r="C9" s="221"/>
      <c r="D9" s="221" t="s">
        <v>530</v>
      </c>
      <c r="E9" s="6"/>
      <c r="F9" s="6"/>
      <c r="G9" s="2">
        <f>'Amounts Owed Worksheet Sch 1'!N29</f>
        <v>3116593.5543599753</v>
      </c>
    </row>
    <row r="10" spans="1:18" x14ac:dyDescent="0.25">
      <c r="A10" s="221">
        <v>4</v>
      </c>
      <c r="B10" s="221" t="s">
        <v>513</v>
      </c>
      <c r="C10" s="221"/>
      <c r="D10" s="221"/>
      <c r="E10" s="221"/>
      <c r="F10" s="221"/>
      <c r="G10" s="17">
        <f>-G8+G9</f>
        <v>1803482.3007053717</v>
      </c>
    </row>
    <row r="11" spans="1:18" x14ac:dyDescent="0.25">
      <c r="A11" s="221"/>
      <c r="B11" s="221"/>
      <c r="C11" s="221"/>
      <c r="D11" s="221"/>
      <c r="E11" s="221"/>
      <c r="F11" s="221"/>
      <c r="G11" s="17"/>
    </row>
    <row r="12" spans="1:18" x14ac:dyDescent="0.25">
      <c r="A12" s="221">
        <v>5</v>
      </c>
      <c r="B12" s="221" t="s">
        <v>443</v>
      </c>
      <c r="C12" s="221"/>
      <c r="D12" s="221" t="s">
        <v>444</v>
      </c>
      <c r="E12" s="221"/>
      <c r="F12" s="221"/>
      <c r="G12" s="17">
        <f>'Interest Worksheet'!H50+'Interest Worksheet'!H52+'Interest Worksheet'!Q50</f>
        <v>116824.62045873408</v>
      </c>
    </row>
    <row r="13" spans="1:18" x14ac:dyDescent="0.25">
      <c r="A13" s="221"/>
      <c r="B13" s="221"/>
      <c r="C13" s="221"/>
      <c r="D13" s="221"/>
      <c r="E13" s="221"/>
      <c r="F13" s="221"/>
      <c r="G13" s="17"/>
    </row>
    <row r="14" spans="1:18" x14ac:dyDescent="0.25">
      <c r="A14" s="86">
        <v>6</v>
      </c>
      <c r="B14" s="86" t="s">
        <v>517</v>
      </c>
      <c r="D14" s="86" t="s">
        <v>530</v>
      </c>
      <c r="G14" s="75">
        <f>'Amounts Owed Worksheet Sch 1'!J31</f>
        <v>0.18929849817067307</v>
      </c>
    </row>
    <row r="15" spans="1:18" x14ac:dyDescent="0.25">
      <c r="G15" s="51"/>
    </row>
    <row r="16" spans="1:18" x14ac:dyDescent="0.25">
      <c r="A16" s="86">
        <v>7</v>
      </c>
      <c r="B16" s="86" t="s">
        <v>514</v>
      </c>
      <c r="D16" s="86" t="s">
        <v>523</v>
      </c>
      <c r="G16" s="220">
        <f>(G10+G12)/ G14</f>
        <v>10144332.573799616</v>
      </c>
      <c r="I16" s="224" t="s">
        <v>1265</v>
      </c>
      <c r="J16" s="219"/>
      <c r="K16" s="219"/>
      <c r="L16" s="219"/>
      <c r="M16" s="219"/>
      <c r="N16" s="219"/>
      <c r="O16" s="219"/>
      <c r="P16" s="219"/>
      <c r="Q16" s="219"/>
      <c r="R16" s="219"/>
    </row>
    <row r="17" spans="1:8" x14ac:dyDescent="0.25">
      <c r="G17" s="51"/>
    </row>
    <row r="18" spans="1:8" x14ac:dyDescent="0.25">
      <c r="A18" s="11" t="s">
        <v>522</v>
      </c>
      <c r="G18" s="51"/>
    </row>
    <row r="19" spans="1:8" x14ac:dyDescent="0.25">
      <c r="A19" s="86">
        <v>8</v>
      </c>
      <c r="B19" s="86" t="s">
        <v>441</v>
      </c>
      <c r="D19" s="86" t="s">
        <v>530</v>
      </c>
      <c r="G19" s="83">
        <f>'Amounts Owed Worksheet Sch 1'!Q29</f>
        <v>26651000</v>
      </c>
    </row>
    <row r="20" spans="1:8" x14ac:dyDescent="0.25">
      <c r="G20" s="17"/>
    </row>
    <row r="21" spans="1:8" x14ac:dyDescent="0.25">
      <c r="A21" s="86">
        <v>9</v>
      </c>
      <c r="B21" s="86" t="s">
        <v>426</v>
      </c>
      <c r="D21" s="86" t="s">
        <v>530</v>
      </c>
      <c r="G21" s="57">
        <f>'Amounts Owed Worksheet Sch 1'!P21</f>
        <v>7.0830000000000004E-2</v>
      </c>
    </row>
    <row r="22" spans="1:8" ht="30" customHeight="1" x14ac:dyDescent="0.25">
      <c r="A22" s="86">
        <v>10</v>
      </c>
      <c r="B22" s="86" t="s">
        <v>425</v>
      </c>
      <c r="D22" s="184" t="s">
        <v>1195</v>
      </c>
      <c r="G22" s="321">
        <v>0.03</v>
      </c>
      <c r="H22" s="221"/>
    </row>
    <row r="23" spans="1:8" x14ac:dyDescent="0.25">
      <c r="A23" s="86">
        <v>11</v>
      </c>
      <c r="B23" s="86" t="s">
        <v>442</v>
      </c>
      <c r="D23" s="86" t="s">
        <v>445</v>
      </c>
      <c r="G23" s="57">
        <f>G21-G22</f>
        <v>4.0830000000000005E-2</v>
      </c>
    </row>
    <row r="24" spans="1:8" x14ac:dyDescent="0.25">
      <c r="G24" s="48"/>
    </row>
    <row r="25" spans="1:8" x14ac:dyDescent="0.25">
      <c r="A25" s="86">
        <v>12</v>
      </c>
      <c r="B25" s="86" t="s">
        <v>516</v>
      </c>
      <c r="D25" s="86" t="s">
        <v>446</v>
      </c>
      <c r="G25" s="17">
        <f>G23*G19</f>
        <v>1088160.33</v>
      </c>
    </row>
    <row r="26" spans="1:8" x14ac:dyDescent="0.25">
      <c r="A26" s="86">
        <v>13</v>
      </c>
      <c r="B26" s="86" t="s">
        <v>443</v>
      </c>
      <c r="D26" s="86" t="s">
        <v>444</v>
      </c>
      <c r="G26" s="39">
        <f>'Interest Worksheet'!H68+'Interest Worksheet'!H70+'Interest Worksheet'!Q68</f>
        <v>70488.031682251923</v>
      </c>
    </row>
    <row r="27" spans="1:8" x14ac:dyDescent="0.25">
      <c r="G27" s="39"/>
    </row>
    <row r="28" spans="1:8" x14ac:dyDescent="0.25">
      <c r="A28" s="86">
        <v>14</v>
      </c>
      <c r="B28" s="86" t="s">
        <v>519</v>
      </c>
      <c r="D28" s="86" t="s">
        <v>530</v>
      </c>
      <c r="G28" s="75">
        <f>'Amounts Owed Worksheet Sch 1'!E31</f>
        <v>0.11118666978172352</v>
      </c>
    </row>
    <row r="29" spans="1:8" x14ac:dyDescent="0.25">
      <c r="G29" s="52"/>
    </row>
    <row r="30" spans="1:8" x14ac:dyDescent="0.25">
      <c r="A30" s="86">
        <v>15</v>
      </c>
      <c r="B30" s="86" t="s">
        <v>515</v>
      </c>
      <c r="D30" s="86" t="s">
        <v>524</v>
      </c>
      <c r="G30" s="220">
        <f>(G25+G26)/G28</f>
        <v>10420748.853768678</v>
      </c>
    </row>
    <row r="31" spans="1:8" x14ac:dyDescent="0.25">
      <c r="G31" s="52"/>
    </row>
    <row r="32" spans="1:8" ht="30" x14ac:dyDescent="0.25">
      <c r="B32" s="11" t="s">
        <v>410</v>
      </c>
      <c r="F32" s="49" t="s">
        <v>427</v>
      </c>
      <c r="G32" s="50" t="s">
        <v>422</v>
      </c>
    </row>
    <row r="33" spans="1:7" x14ac:dyDescent="0.25">
      <c r="A33" s="86">
        <v>16</v>
      </c>
      <c r="B33" s="221" t="s">
        <v>1340</v>
      </c>
      <c r="C33" s="221"/>
      <c r="D33" s="221"/>
      <c r="E33" s="221"/>
      <c r="F33" s="323">
        <f>'ATRR True-Up'!F33</f>
        <v>3.5000000000000003E-2</v>
      </c>
      <c r="G33" s="35">
        <f>F33/12</f>
        <v>2.9166666666666668E-3</v>
      </c>
    </row>
    <row r="34" spans="1:7" x14ac:dyDescent="0.25">
      <c r="A34" s="86">
        <v>17</v>
      </c>
      <c r="B34" s="221" t="s">
        <v>411</v>
      </c>
      <c r="C34" s="221"/>
      <c r="D34" s="221"/>
      <c r="E34" s="221"/>
      <c r="F34" s="323">
        <f>'ATRR True-Up'!F34</f>
        <v>3.5000000000000003E-2</v>
      </c>
      <c r="G34" s="35">
        <f t="shared" ref="G34:G47" si="0">F34/12</f>
        <v>2.9166666666666668E-3</v>
      </c>
    </row>
    <row r="35" spans="1:7" x14ac:dyDescent="0.25">
      <c r="A35" s="86">
        <v>18</v>
      </c>
      <c r="B35" s="221" t="s">
        <v>412</v>
      </c>
      <c r="C35" s="221"/>
      <c r="D35" s="221"/>
      <c r="E35" s="221"/>
      <c r="F35" s="323">
        <f>'ATRR True-Up'!F35</f>
        <v>3.5000000000000003E-2</v>
      </c>
      <c r="G35" s="35">
        <f t="shared" si="0"/>
        <v>2.9166666666666668E-3</v>
      </c>
    </row>
    <row r="36" spans="1:7" x14ac:dyDescent="0.25">
      <c r="A36" s="86">
        <v>19</v>
      </c>
      <c r="B36" s="221" t="s">
        <v>413</v>
      </c>
      <c r="C36" s="221"/>
      <c r="D36" s="221"/>
      <c r="E36" s="221"/>
      <c r="F36" s="323">
        <f>'ATRR True-Up'!F36</f>
        <v>3.7100000000000001E-2</v>
      </c>
      <c r="G36" s="35">
        <f t="shared" si="0"/>
        <v>3.0916666666666666E-3</v>
      </c>
    </row>
    <row r="37" spans="1:7" x14ac:dyDescent="0.25">
      <c r="A37" s="86">
        <v>20</v>
      </c>
      <c r="B37" s="221" t="s">
        <v>414</v>
      </c>
      <c r="C37" s="221"/>
      <c r="D37" s="221"/>
      <c r="E37" s="221"/>
      <c r="F37" s="323">
        <f>'ATRR True-Up'!F37</f>
        <v>3.7100000000000001E-2</v>
      </c>
      <c r="G37" s="35">
        <f t="shared" si="0"/>
        <v>3.0916666666666666E-3</v>
      </c>
    </row>
    <row r="38" spans="1:7" x14ac:dyDescent="0.25">
      <c r="A38" s="86">
        <v>21</v>
      </c>
      <c r="B38" s="221" t="s">
        <v>415</v>
      </c>
      <c r="C38" s="221"/>
      <c r="D38" s="221"/>
      <c r="E38" s="221"/>
      <c r="F38" s="323">
        <f>'ATRR True-Up'!F38</f>
        <v>3.7100000000000001E-2</v>
      </c>
      <c r="G38" s="35">
        <f t="shared" si="0"/>
        <v>3.0916666666666666E-3</v>
      </c>
    </row>
    <row r="39" spans="1:7" x14ac:dyDescent="0.25">
      <c r="A39" s="86">
        <v>22</v>
      </c>
      <c r="B39" s="221" t="s">
        <v>416</v>
      </c>
      <c r="C39" s="221"/>
      <c r="D39" s="221"/>
      <c r="E39" s="221"/>
      <c r="F39" s="323">
        <f>'ATRR True-Up'!F39</f>
        <v>3.9600000000000003E-2</v>
      </c>
      <c r="G39" s="35">
        <f t="shared" si="0"/>
        <v>3.3000000000000004E-3</v>
      </c>
    </row>
    <row r="40" spans="1:7" x14ac:dyDescent="0.25">
      <c r="A40" s="86">
        <v>23</v>
      </c>
      <c r="B40" s="221" t="s">
        <v>417</v>
      </c>
      <c r="C40" s="221"/>
      <c r="D40" s="221"/>
      <c r="E40" s="221"/>
      <c r="F40" s="323">
        <f>'ATRR True-Up'!F40</f>
        <v>3.9600000000000003E-2</v>
      </c>
      <c r="G40" s="35">
        <f t="shared" si="0"/>
        <v>3.3000000000000004E-3</v>
      </c>
    </row>
    <row r="41" spans="1:7" x14ac:dyDescent="0.25">
      <c r="A41" s="86">
        <v>24</v>
      </c>
      <c r="B41" s="221" t="s">
        <v>418</v>
      </c>
      <c r="C41" s="221"/>
      <c r="D41" s="221"/>
      <c r="E41" s="221"/>
      <c r="F41" s="323">
        <f>'ATRR True-Up'!F41</f>
        <v>3.9600000000000003E-2</v>
      </c>
      <c r="G41" s="35">
        <f t="shared" si="0"/>
        <v>3.3000000000000004E-3</v>
      </c>
    </row>
    <row r="42" spans="1:7" x14ac:dyDescent="0.25">
      <c r="A42" s="86">
        <v>25</v>
      </c>
      <c r="B42" s="221" t="s">
        <v>419</v>
      </c>
      <c r="C42" s="221"/>
      <c r="D42" s="221"/>
      <c r="E42" s="221"/>
      <c r="F42" s="323">
        <f>'ATRR True-Up'!F42</f>
        <v>4.2099999999999999E-2</v>
      </c>
      <c r="G42" s="35">
        <f t="shared" si="0"/>
        <v>3.5083333333333334E-3</v>
      </c>
    </row>
    <row r="43" spans="1:7" x14ac:dyDescent="0.25">
      <c r="A43" s="86">
        <v>26</v>
      </c>
      <c r="B43" s="221" t="s">
        <v>420</v>
      </c>
      <c r="C43" s="221"/>
      <c r="D43" s="221"/>
      <c r="E43" s="221"/>
      <c r="F43" s="323">
        <f>'ATRR True-Up'!F43</f>
        <v>4.2099999999999999E-2</v>
      </c>
      <c r="G43" s="35">
        <f t="shared" si="0"/>
        <v>3.5083333333333334E-3</v>
      </c>
    </row>
    <row r="44" spans="1:7" x14ac:dyDescent="0.25">
      <c r="A44" s="86">
        <v>27</v>
      </c>
      <c r="B44" s="221" t="s">
        <v>421</v>
      </c>
      <c r="C44" s="221"/>
      <c r="D44" s="221"/>
      <c r="E44" s="221"/>
      <c r="F44" s="323">
        <f>'ATRR True-Up'!F44</f>
        <v>4.2099999999999999E-2</v>
      </c>
      <c r="G44" s="35">
        <f t="shared" si="0"/>
        <v>3.5083333333333334E-3</v>
      </c>
    </row>
    <row r="45" spans="1:7" x14ac:dyDescent="0.25">
      <c r="A45" s="86">
        <v>28</v>
      </c>
      <c r="B45" s="221" t="s">
        <v>1341</v>
      </c>
      <c r="C45" s="221"/>
      <c r="D45" s="221"/>
      <c r="E45" s="221"/>
      <c r="F45" s="323">
        <f>'ATRR True-Up'!F45</f>
        <v>4.2500000000000003E-2</v>
      </c>
      <c r="G45" s="35">
        <f t="shared" si="0"/>
        <v>3.5416666666666669E-3</v>
      </c>
    </row>
    <row r="46" spans="1:7" x14ac:dyDescent="0.25">
      <c r="A46" s="86">
        <v>29</v>
      </c>
      <c r="B46" s="221" t="s">
        <v>411</v>
      </c>
      <c r="C46" s="221"/>
      <c r="D46" s="221"/>
      <c r="E46" s="221"/>
      <c r="F46" s="323">
        <f>'ATRR True-Up'!F46</f>
        <v>4.2500000000000003E-2</v>
      </c>
      <c r="G46" s="35">
        <f t="shared" si="0"/>
        <v>3.5416666666666669E-3</v>
      </c>
    </row>
    <row r="47" spans="1:7" x14ac:dyDescent="0.25">
      <c r="A47" s="86">
        <v>30</v>
      </c>
      <c r="B47" s="221" t="s">
        <v>412</v>
      </c>
      <c r="C47" s="221"/>
      <c r="D47" s="221"/>
      <c r="E47" s="221"/>
      <c r="F47" s="323">
        <f>'ATRR True-Up'!F47</f>
        <v>4.2500000000000003E-2</v>
      </c>
      <c r="G47" s="36">
        <f t="shared" si="0"/>
        <v>3.5416666666666669E-3</v>
      </c>
    </row>
    <row r="48" spans="1:7" x14ac:dyDescent="0.25">
      <c r="A48" s="86">
        <v>31</v>
      </c>
      <c r="B48" s="221" t="s">
        <v>423</v>
      </c>
      <c r="C48" s="221"/>
      <c r="D48" s="221"/>
      <c r="E48" s="221"/>
      <c r="F48" s="221"/>
      <c r="G48" s="35">
        <f>AVERAGE(G33:G47)</f>
        <v>3.2716666666666666E-3</v>
      </c>
    </row>
    <row r="51" spans="1:2" x14ac:dyDescent="0.25">
      <c r="A51" s="54" t="s">
        <v>429</v>
      </c>
      <c r="B51" s="86" t="s">
        <v>428</v>
      </c>
    </row>
    <row r="52" spans="1:2" x14ac:dyDescent="0.25">
      <c r="B52" s="53" t="s">
        <v>1259</v>
      </c>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80" showPageBreaks="1" fitToPage="1" printArea="1">
      <selection sqref="A1:F1"/>
      <pageMargins left="0.7" right="0.7" top="0.75" bottom="0.75" header="0.3" footer="0.3"/>
      <pageSetup scale="50" orientation="portrait" r:id="rId1"/>
      <headerFooter>
        <oddFooter>&amp;L&amp;Z&amp;F</oddFooter>
      </headerFooter>
    </customSheetView>
    <customSheetView guid="{C0F5889E-F852-4CB9-B477-759ADBCFF6D5}" scale="80" showPageBreaks="1" fitToPage="1" printArea="1">
      <selection activeCell="G22" sqref="G22"/>
      <pageMargins left="0.7" right="0.7" top="0.75" bottom="0.75" header="0.3" footer="0.3"/>
      <pageSetup scale="50" orientation="portrait" r:id="rId2"/>
      <headerFooter>
        <oddFooter>&amp;L&amp;Z&amp;F</oddFooter>
      </headerFooter>
    </customSheetView>
  </customSheetViews>
  <mergeCells count="4">
    <mergeCell ref="A1:F1"/>
    <mergeCell ref="A2:F2"/>
    <mergeCell ref="A3:F3"/>
    <mergeCell ref="A4:F4"/>
  </mergeCells>
  <pageMargins left="0.7" right="0.7" top="0.75" bottom="0.75" header="0.3" footer="0.3"/>
  <pageSetup scale="50" orientation="portrait" r:id="rId3"/>
  <headerFooter>
    <oddFooter>&amp;L&amp;Z&amp;F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6"/>
  <sheetViews>
    <sheetView zoomScale="80" zoomScaleNormal="80" workbookViewId="0">
      <selection sqref="A1:F1"/>
    </sheetView>
  </sheetViews>
  <sheetFormatPr defaultRowHeight="15" x14ac:dyDescent="0.25"/>
  <cols>
    <col min="1" max="1" width="17.7109375" style="221" customWidth="1"/>
    <col min="2" max="2" width="39.140625" style="221" customWidth="1"/>
    <col min="3" max="3" width="16.85546875" style="221" bestFit="1" customWidth="1"/>
    <col min="4" max="4" width="25.7109375" style="221" bestFit="1" customWidth="1"/>
    <col min="5" max="5" width="16.85546875" style="221" bestFit="1" customWidth="1"/>
    <col min="6" max="6" width="25.7109375" style="221" bestFit="1" customWidth="1"/>
    <col min="7" max="7" width="17.85546875" style="221" bestFit="1" customWidth="1"/>
    <col min="8" max="16384" width="9.140625" style="221"/>
  </cols>
  <sheetData>
    <row r="1" spans="1:8" x14ac:dyDescent="0.25">
      <c r="A1" s="329" t="s">
        <v>0</v>
      </c>
      <c r="B1" s="329"/>
      <c r="C1" s="329"/>
      <c r="D1" s="329"/>
      <c r="E1" s="329"/>
      <c r="F1" s="329"/>
      <c r="G1" s="273" t="s">
        <v>706</v>
      </c>
      <c r="H1" s="11"/>
    </row>
    <row r="2" spans="1:8" x14ac:dyDescent="0.25">
      <c r="A2" s="329" t="s">
        <v>204</v>
      </c>
      <c r="B2" s="329"/>
      <c r="C2" s="329"/>
      <c r="D2" s="329"/>
      <c r="E2" s="329"/>
      <c r="F2" s="329"/>
      <c r="G2" s="273" t="s">
        <v>666</v>
      </c>
    </row>
    <row r="3" spans="1:8" x14ac:dyDescent="0.25">
      <c r="A3" s="329"/>
      <c r="B3" s="329"/>
      <c r="C3" s="329"/>
      <c r="D3" s="329"/>
      <c r="E3" s="329"/>
    </row>
    <row r="4" spans="1:8" x14ac:dyDescent="0.25">
      <c r="A4" s="329" t="s">
        <v>381</v>
      </c>
      <c r="B4" s="329"/>
      <c r="C4" s="329"/>
      <c r="D4" s="329"/>
      <c r="E4" s="329"/>
      <c r="F4" s="329"/>
    </row>
    <row r="6" spans="1:8" x14ac:dyDescent="0.25">
      <c r="C6" s="275" t="s">
        <v>131</v>
      </c>
      <c r="D6" s="275"/>
      <c r="E6" s="275" t="s">
        <v>131</v>
      </c>
    </row>
    <row r="7" spans="1:8" x14ac:dyDescent="0.25">
      <c r="C7" s="302">
        <v>42735</v>
      </c>
      <c r="D7" s="61"/>
      <c r="E7" s="302">
        <v>43100</v>
      </c>
    </row>
    <row r="8" spans="1:8" ht="35.25" customHeight="1" x14ac:dyDescent="0.25">
      <c r="A8" s="80" t="s">
        <v>150</v>
      </c>
      <c r="B8" s="221" t="s">
        <v>667</v>
      </c>
      <c r="C8" s="293" t="s">
        <v>132</v>
      </c>
      <c r="D8" s="49" t="s">
        <v>668</v>
      </c>
      <c r="E8" s="293" t="s">
        <v>132</v>
      </c>
      <c r="F8" s="49" t="s">
        <v>668</v>
      </c>
      <c r="G8" s="49" t="s">
        <v>669</v>
      </c>
    </row>
    <row r="9" spans="1:8" x14ac:dyDescent="0.25">
      <c r="A9" s="221" t="s">
        <v>670</v>
      </c>
      <c r="B9" s="221" t="s">
        <v>671</v>
      </c>
      <c r="C9" s="226">
        <v>34402330</v>
      </c>
      <c r="D9" s="226"/>
      <c r="E9" s="226">
        <v>62917137</v>
      </c>
      <c r="F9" s="226">
        <v>4662748.62</v>
      </c>
      <c r="G9" s="39">
        <f>E9-F9</f>
        <v>58254388.380000003</v>
      </c>
    </row>
    <row r="10" spans="1:8" x14ac:dyDescent="0.25">
      <c r="A10" s="221" t="s">
        <v>672</v>
      </c>
      <c r="B10" s="221" t="s">
        <v>673</v>
      </c>
      <c r="C10" s="226">
        <v>501477987</v>
      </c>
      <c r="D10" s="226">
        <v>920177</v>
      </c>
      <c r="E10" s="226">
        <v>646838651</v>
      </c>
      <c r="F10" s="226">
        <f>920177+125967998.89</f>
        <v>126888175.89</v>
      </c>
      <c r="G10" s="39">
        <f>E10-F10</f>
        <v>519950475.11000001</v>
      </c>
    </row>
    <row r="11" spans="1:8" x14ac:dyDescent="0.25">
      <c r="A11" s="221" t="s">
        <v>674</v>
      </c>
      <c r="B11" s="221" t="s">
        <v>675</v>
      </c>
      <c r="C11" s="226">
        <v>110861213</v>
      </c>
      <c r="D11" s="226">
        <f>1916183.65+1828870.96</f>
        <v>3745054.61</v>
      </c>
      <c r="E11" s="226">
        <v>124261808</v>
      </c>
      <c r="F11" s="226">
        <f>1916183.65+2089083.97</f>
        <v>4005267.62</v>
      </c>
      <c r="G11" s="39">
        <f t="shared" ref="G11:G20" si="0">E11-F11</f>
        <v>120256540.38</v>
      </c>
    </row>
    <row r="12" spans="1:8" x14ac:dyDescent="0.25">
      <c r="A12" s="221" t="s">
        <v>676</v>
      </c>
      <c r="B12" s="221" t="s">
        <v>677</v>
      </c>
      <c r="C12" s="226">
        <v>10254685</v>
      </c>
      <c r="D12" s="226">
        <v>0</v>
      </c>
      <c r="E12" s="226">
        <v>10701691</v>
      </c>
      <c r="F12" s="226">
        <v>0</v>
      </c>
      <c r="G12" s="39">
        <f t="shared" si="0"/>
        <v>10701691</v>
      </c>
    </row>
    <row r="13" spans="1:8" x14ac:dyDescent="0.25">
      <c r="A13" s="221" t="s">
        <v>678</v>
      </c>
      <c r="B13" s="221" t="s">
        <v>679</v>
      </c>
      <c r="C13" s="226">
        <v>12954181</v>
      </c>
      <c r="D13" s="226">
        <v>0</v>
      </c>
      <c r="E13" s="226">
        <v>13568044</v>
      </c>
      <c r="F13" s="226">
        <v>0</v>
      </c>
      <c r="G13" s="39">
        <f t="shared" si="0"/>
        <v>13568044</v>
      </c>
    </row>
    <row r="14" spans="1:8" x14ac:dyDescent="0.25">
      <c r="A14" s="221" t="s">
        <v>680</v>
      </c>
      <c r="B14" s="221" t="s">
        <v>681</v>
      </c>
      <c r="C14" s="226">
        <v>72782665</v>
      </c>
      <c r="D14" s="226">
        <v>0</v>
      </c>
      <c r="E14" s="226">
        <v>95914343</v>
      </c>
      <c r="F14" s="226">
        <v>0</v>
      </c>
      <c r="G14" s="39">
        <f t="shared" si="0"/>
        <v>95914343</v>
      </c>
    </row>
    <row r="15" spans="1:8" x14ac:dyDescent="0.25">
      <c r="A15" s="221" t="s">
        <v>682</v>
      </c>
      <c r="B15" s="221" t="s">
        <v>683</v>
      </c>
      <c r="C15" s="226">
        <v>7510680</v>
      </c>
      <c r="D15" s="226">
        <v>0</v>
      </c>
      <c r="E15" s="226">
        <v>6160536</v>
      </c>
      <c r="F15" s="226">
        <v>0</v>
      </c>
      <c r="G15" s="39">
        <f t="shared" si="0"/>
        <v>6160536</v>
      </c>
    </row>
    <row r="16" spans="1:8" x14ac:dyDescent="0.25">
      <c r="A16" s="221" t="s">
        <v>684</v>
      </c>
      <c r="B16" s="221" t="s">
        <v>685</v>
      </c>
      <c r="C16" s="226">
        <v>14162859</v>
      </c>
      <c r="D16" s="226">
        <v>0</v>
      </c>
      <c r="E16" s="226">
        <v>13229675</v>
      </c>
      <c r="F16" s="226">
        <v>0</v>
      </c>
      <c r="G16" s="39">
        <f t="shared" si="0"/>
        <v>13229675</v>
      </c>
    </row>
    <row r="17" spans="1:7" x14ac:dyDescent="0.25">
      <c r="A17" s="221" t="s">
        <v>686</v>
      </c>
      <c r="B17" s="221" t="s">
        <v>687</v>
      </c>
      <c r="C17" s="226">
        <v>135681865</v>
      </c>
      <c r="D17" s="226">
        <v>963969.14</v>
      </c>
      <c r="E17" s="226">
        <v>139278371</v>
      </c>
      <c r="F17" s="226">
        <v>1436977.13</v>
      </c>
      <c r="G17" s="39">
        <f t="shared" si="0"/>
        <v>137841393.87</v>
      </c>
    </row>
    <row r="18" spans="1:7" x14ac:dyDescent="0.25">
      <c r="A18" s="221" t="s">
        <v>688</v>
      </c>
      <c r="B18" s="221" t="s">
        <v>689</v>
      </c>
      <c r="C18" s="226">
        <v>3803640</v>
      </c>
      <c r="D18" s="226">
        <v>0</v>
      </c>
      <c r="E18" s="226">
        <v>9590065</v>
      </c>
      <c r="F18" s="226">
        <v>0</v>
      </c>
      <c r="G18" s="39">
        <f t="shared" si="0"/>
        <v>9590065</v>
      </c>
    </row>
    <row r="19" spans="1:7" x14ac:dyDescent="0.25">
      <c r="A19" s="221" t="s">
        <v>690</v>
      </c>
      <c r="B19" s="221" t="s">
        <v>691</v>
      </c>
      <c r="C19" s="226">
        <v>0</v>
      </c>
      <c r="D19" s="226">
        <v>0</v>
      </c>
      <c r="E19" s="226">
        <v>0</v>
      </c>
      <c r="F19" s="226">
        <v>0</v>
      </c>
      <c r="G19" s="39">
        <f t="shared" si="0"/>
        <v>0</v>
      </c>
    </row>
    <row r="20" spans="1:7" x14ac:dyDescent="0.25">
      <c r="A20" s="221" t="s">
        <v>692</v>
      </c>
      <c r="B20" s="221" t="s">
        <v>693</v>
      </c>
      <c r="C20" s="228">
        <v>-931335</v>
      </c>
      <c r="D20" s="228">
        <v>0</v>
      </c>
      <c r="E20" s="228">
        <v>-931335</v>
      </c>
      <c r="F20" s="228">
        <v>0</v>
      </c>
      <c r="G20" s="94">
        <f t="shared" si="0"/>
        <v>-931335</v>
      </c>
    </row>
    <row r="21" spans="1:7" s="11" customFormat="1" x14ac:dyDescent="0.25">
      <c r="A21" s="11" t="s">
        <v>694</v>
      </c>
      <c r="B21" s="11" t="s">
        <v>695</v>
      </c>
      <c r="C21" s="18">
        <f>SUM(C9:C20)</f>
        <v>902960770</v>
      </c>
      <c r="D21" s="18">
        <f>SUM(D9:D20)</f>
        <v>5629200.7499999991</v>
      </c>
      <c r="E21" s="18">
        <f>SUM(E9:E20)</f>
        <v>1121528986</v>
      </c>
      <c r="F21" s="18">
        <f>SUM(F9:F20)</f>
        <v>136993169.25999999</v>
      </c>
      <c r="G21" s="46">
        <f>SUM(G9:G20)</f>
        <v>984535816.74000001</v>
      </c>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80" fitToPage="1">
      <selection sqref="A1:F1"/>
      <pageMargins left="0.7" right="0.7" top="0.75" bottom="0.75" header="0.3" footer="0.3"/>
      <pageSetup scale="57" orientation="portrait" r:id="rId1"/>
      <headerFooter>
        <oddFooter>&amp;L&amp;Z&amp;F</oddFooter>
      </headerFooter>
    </customSheetView>
    <customSheetView guid="{C0F5889E-F852-4CB9-B477-759ADBCFF6D5}" scale="80" fitToPage="1">
      <selection sqref="A1:F1"/>
      <pageMargins left="0.7" right="0.7" top="0.75" bottom="0.75" header="0.3" footer="0.3"/>
      <pageSetup scale="57" orientation="portrait" r:id="rId2"/>
      <headerFooter>
        <oddFooter>&amp;L&amp;Z&amp;F</oddFooter>
      </headerFooter>
    </customSheetView>
  </customSheetViews>
  <mergeCells count="4">
    <mergeCell ref="A1:F1"/>
    <mergeCell ref="A2:F2"/>
    <mergeCell ref="A3:E3"/>
    <mergeCell ref="A4:F4"/>
  </mergeCells>
  <pageMargins left="0.7" right="0.7" top="0.75" bottom="0.75" header="0.3" footer="0.3"/>
  <pageSetup scale="57" orientation="portrait" r:id="rId3"/>
  <headerFooter>
    <oddFooter>&amp;L&amp;Z&amp;F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zoomScale="80" zoomScaleNormal="80" workbookViewId="0"/>
  </sheetViews>
  <sheetFormatPr defaultRowHeight="15" x14ac:dyDescent="0.25"/>
  <cols>
    <col min="1" max="1" width="26.5703125" style="221" bestFit="1" customWidth="1"/>
    <col min="2" max="2" width="16.5703125" style="221" bestFit="1" customWidth="1"/>
    <col min="3" max="3" width="1.7109375" style="221" customWidth="1"/>
    <col min="4" max="4" width="10" style="221" customWidth="1"/>
    <col min="5" max="5" width="1.7109375" style="221" customWidth="1"/>
    <col min="6" max="6" width="14.7109375" style="221" bestFit="1" customWidth="1"/>
    <col min="7" max="7" width="1.85546875" style="221" customWidth="1"/>
    <col min="8" max="8" width="17.42578125" style="221" customWidth="1"/>
    <col min="9" max="9" width="9.85546875" style="221" customWidth="1"/>
    <col min="10" max="10" width="14.85546875" style="221" bestFit="1" customWidth="1"/>
    <col min="11" max="11" width="14.28515625" style="221" customWidth="1"/>
    <col min="12" max="12" width="29.85546875" style="221" bestFit="1" customWidth="1"/>
    <col min="13" max="13" width="14.85546875" style="221" bestFit="1" customWidth="1"/>
    <col min="14" max="14" width="1.7109375" style="221" customWidth="1"/>
    <col min="15" max="15" width="8.28515625" style="221" bestFit="1" customWidth="1"/>
    <col min="16" max="16" width="1.7109375" style="221" customWidth="1"/>
    <col min="17" max="17" width="13.28515625" style="221" bestFit="1" customWidth="1"/>
    <col min="18" max="18" width="1.7109375" style="221" customWidth="1"/>
    <col min="19" max="19" width="15.85546875" style="221" customWidth="1"/>
    <col min="20" max="20" width="1.7109375" style="221" customWidth="1"/>
    <col min="21" max="21" width="14.85546875" style="221" bestFit="1" customWidth="1"/>
    <col min="22" max="16384" width="9.140625" style="221"/>
  </cols>
  <sheetData>
    <row r="1" spans="1:21" x14ac:dyDescent="0.25">
      <c r="A1" s="11" t="s">
        <v>751</v>
      </c>
      <c r="J1" s="30"/>
    </row>
    <row r="2" spans="1:21" ht="51" customHeight="1" x14ac:dyDescent="0.25">
      <c r="A2" s="273" t="s">
        <v>453</v>
      </c>
      <c r="B2" s="49" t="s">
        <v>1046</v>
      </c>
      <c r="D2" s="49" t="s">
        <v>447</v>
      </c>
      <c r="F2" s="49" t="s">
        <v>449</v>
      </c>
      <c r="H2" s="49" t="s">
        <v>277</v>
      </c>
      <c r="J2" s="49" t="s">
        <v>448</v>
      </c>
      <c r="K2" s="49"/>
      <c r="L2" s="273" t="s">
        <v>453</v>
      </c>
      <c r="M2" s="49" t="s">
        <v>450</v>
      </c>
      <c r="O2" s="49" t="s">
        <v>447</v>
      </c>
      <c r="Q2" s="49" t="s">
        <v>451</v>
      </c>
      <c r="S2" s="49" t="s">
        <v>452</v>
      </c>
      <c r="U2" s="49" t="s">
        <v>448</v>
      </c>
    </row>
    <row r="3" spans="1:21" x14ac:dyDescent="0.25">
      <c r="A3" s="234" t="s">
        <v>1323</v>
      </c>
      <c r="B3" s="83">
        <f>'ATRR True-Up'!$G$10/12</f>
        <v>-185433.19979910864</v>
      </c>
      <c r="D3" s="92">
        <f>'ATRR True-Up'!$G$48</f>
        <v>3.2716666666666666E-3</v>
      </c>
      <c r="F3" s="221">
        <v>12</v>
      </c>
      <c r="H3" s="39">
        <f>B3*D3*F3</f>
        <v>-7280.1074241130054</v>
      </c>
      <c r="L3" s="234" t="s">
        <v>1325</v>
      </c>
      <c r="M3" s="39">
        <f>J17</f>
        <v>-2313197.1876616818</v>
      </c>
      <c r="O3" s="324">
        <v>3.7000000000000002E-3</v>
      </c>
      <c r="Q3" s="39">
        <f>M3*O3</f>
        <v>-8558.8295943482226</v>
      </c>
      <c r="S3" s="93">
        <f>-PMT('ATRR True-Up'!$G$48,12,M3)</f>
        <v>-196890.31842143871</v>
      </c>
      <c r="U3" s="39">
        <f>M3+Q3-S3</f>
        <v>-2124865.6988345911</v>
      </c>
    </row>
    <row r="4" spans="1:21" x14ac:dyDescent="0.25">
      <c r="A4" s="221" t="s">
        <v>411</v>
      </c>
      <c r="B4" s="83">
        <f>'ATRR True-Up'!$G$10/12</f>
        <v>-185433.19979910864</v>
      </c>
      <c r="D4" s="92">
        <f>'ATRR True-Up'!$G$48</f>
        <v>3.2716666666666666E-3</v>
      </c>
      <c r="F4" s="221">
        <v>11</v>
      </c>
      <c r="H4" s="39">
        <f t="shared" ref="H4:H13" si="0">B4*D4*F4</f>
        <v>-6673.4318054369214</v>
      </c>
      <c r="L4" s="221" t="s">
        <v>416</v>
      </c>
      <c r="M4" s="39">
        <f>U3</f>
        <v>-2124865.6988345911</v>
      </c>
      <c r="O4" s="324">
        <v>3.7000000000000002E-3</v>
      </c>
      <c r="Q4" s="39">
        <f t="shared" ref="Q4:Q14" si="1">M4*O4</f>
        <v>-7862.0030856879876</v>
      </c>
      <c r="S4" s="93">
        <f>$S$3</f>
        <v>-196890.31842143871</v>
      </c>
      <c r="U4" s="39">
        <f t="shared" ref="U4:U14" si="2">M4+Q4-S4</f>
        <v>-1935837.38349884</v>
      </c>
    </row>
    <row r="5" spans="1:21" x14ac:dyDescent="0.25">
      <c r="A5" s="221" t="s">
        <v>412</v>
      </c>
      <c r="B5" s="83">
        <f>'ATRR True-Up'!$G$10/12</f>
        <v>-185433.19979910864</v>
      </c>
      <c r="D5" s="92">
        <f>'ATRR True-Up'!$G$48</f>
        <v>3.2716666666666666E-3</v>
      </c>
      <c r="F5" s="221">
        <v>10</v>
      </c>
      <c r="H5" s="39">
        <f t="shared" si="0"/>
        <v>-6066.7561867608383</v>
      </c>
      <c r="L5" s="221" t="s">
        <v>417</v>
      </c>
      <c r="M5" s="39">
        <f t="shared" ref="M5:M13" si="3">U4</f>
        <v>-1935837.38349884</v>
      </c>
      <c r="O5" s="324">
        <v>3.7000000000000002E-3</v>
      </c>
      <c r="Q5" s="39">
        <f t="shared" si="1"/>
        <v>-7162.5983189457083</v>
      </c>
      <c r="S5" s="93">
        <f t="shared" ref="S5:S14" si="4">$S$3</f>
        <v>-196890.31842143871</v>
      </c>
      <c r="U5" s="39">
        <f t="shared" si="2"/>
        <v>-1746109.6633963468</v>
      </c>
    </row>
    <row r="6" spans="1:21" x14ac:dyDescent="0.25">
      <c r="A6" s="221" t="s">
        <v>413</v>
      </c>
      <c r="B6" s="83">
        <f>'ATRR True-Up'!$G$10/12</f>
        <v>-185433.19979910864</v>
      </c>
      <c r="D6" s="92">
        <f>'ATRR True-Up'!$G$48</f>
        <v>3.2716666666666666E-3</v>
      </c>
      <c r="F6" s="221">
        <v>9</v>
      </c>
      <c r="H6" s="39">
        <f t="shared" si="0"/>
        <v>-5460.0805680847543</v>
      </c>
      <c r="J6" s="221">
        <v>3.5000000000000001E-3</v>
      </c>
      <c r="L6" s="221" t="s">
        <v>418</v>
      </c>
      <c r="M6" s="39">
        <f t="shared" si="3"/>
        <v>-1746109.6633963468</v>
      </c>
      <c r="O6" s="324">
        <v>3.7000000000000002E-3</v>
      </c>
      <c r="Q6" s="39">
        <f t="shared" si="1"/>
        <v>-6460.6057545664835</v>
      </c>
      <c r="S6" s="93">
        <f t="shared" si="4"/>
        <v>-196890.31842143871</v>
      </c>
      <c r="U6" s="39">
        <f t="shared" si="2"/>
        <v>-1555679.9507294744</v>
      </c>
    </row>
    <row r="7" spans="1:21" x14ac:dyDescent="0.25">
      <c r="A7" s="221" t="s">
        <v>414</v>
      </c>
      <c r="B7" s="83">
        <f>'ATRR True-Up'!$G$10/12</f>
        <v>-185433.19979910864</v>
      </c>
      <c r="D7" s="92">
        <f>'ATRR True-Up'!$G$48</f>
        <v>3.2716666666666666E-3</v>
      </c>
      <c r="F7" s="221">
        <v>8</v>
      </c>
      <c r="H7" s="39">
        <f t="shared" si="0"/>
        <v>-4853.4049494086703</v>
      </c>
      <c r="J7" s="221">
        <v>3.5000000000000001E-3</v>
      </c>
      <c r="L7" s="221" t="s">
        <v>419</v>
      </c>
      <c r="M7" s="39">
        <f t="shared" si="3"/>
        <v>-1555679.9507294744</v>
      </c>
      <c r="O7" s="324">
        <v>3.7000000000000002E-3</v>
      </c>
      <c r="Q7" s="39">
        <f t="shared" si="1"/>
        <v>-5756.0158176990553</v>
      </c>
      <c r="S7" s="93">
        <f t="shared" si="4"/>
        <v>-196890.31842143871</v>
      </c>
      <c r="U7" s="39">
        <f t="shared" si="2"/>
        <v>-1364545.6481257346</v>
      </c>
    </row>
    <row r="8" spans="1:21" x14ac:dyDescent="0.25">
      <c r="A8" s="221" t="s">
        <v>415</v>
      </c>
      <c r="B8" s="83">
        <f>'ATRR True-Up'!$G$10/12</f>
        <v>-185433.19979910864</v>
      </c>
      <c r="D8" s="92">
        <f>'ATRR True-Up'!$G$48</f>
        <v>3.2716666666666666E-3</v>
      </c>
      <c r="F8" s="221">
        <v>7</v>
      </c>
      <c r="H8" s="39">
        <f t="shared" si="0"/>
        <v>-4246.7293307325863</v>
      </c>
      <c r="J8" s="221">
        <v>3.5000000000000001E-3</v>
      </c>
      <c r="L8" s="221" t="s">
        <v>420</v>
      </c>
      <c r="M8" s="39">
        <f t="shared" si="3"/>
        <v>-1364545.6481257346</v>
      </c>
      <c r="O8" s="324">
        <v>3.7000000000000002E-3</v>
      </c>
      <c r="Q8" s="39">
        <f t="shared" si="1"/>
        <v>-5048.8188980652185</v>
      </c>
      <c r="S8" s="93">
        <f t="shared" si="4"/>
        <v>-196890.31842143871</v>
      </c>
      <c r="U8" s="39">
        <f t="shared" si="2"/>
        <v>-1172704.1486023611</v>
      </c>
    </row>
    <row r="9" spans="1:21" x14ac:dyDescent="0.25">
      <c r="A9" s="221" t="s">
        <v>416</v>
      </c>
      <c r="B9" s="83">
        <f>'ATRR True-Up'!$G$10/12</f>
        <v>-185433.19979910864</v>
      </c>
      <c r="D9" s="92">
        <f>'ATRR True-Up'!$G$48</f>
        <v>3.2716666666666666E-3</v>
      </c>
      <c r="F9" s="221">
        <v>6</v>
      </c>
      <c r="H9" s="39">
        <f t="shared" si="0"/>
        <v>-3640.0537120565027</v>
      </c>
      <c r="J9" s="221">
        <v>3.7000000000000002E-3</v>
      </c>
      <c r="L9" s="221" t="s">
        <v>421</v>
      </c>
      <c r="M9" s="39">
        <f t="shared" si="3"/>
        <v>-1172704.1486023611</v>
      </c>
      <c r="O9" s="324">
        <v>3.7000000000000002E-3</v>
      </c>
      <c r="Q9" s="39">
        <f t="shared" si="1"/>
        <v>-4339.0053498287361</v>
      </c>
      <c r="S9" s="93">
        <f t="shared" si="4"/>
        <v>-196890.31842143871</v>
      </c>
      <c r="U9" s="39">
        <f t="shared" si="2"/>
        <v>-980152.83553075104</v>
      </c>
    </row>
    <row r="10" spans="1:21" x14ac:dyDescent="0.25">
      <c r="A10" s="221" t="s">
        <v>417</v>
      </c>
      <c r="B10" s="83">
        <f>'ATRR True-Up'!$G$10/12</f>
        <v>-185433.19979910864</v>
      </c>
      <c r="D10" s="92">
        <f>'ATRR True-Up'!$G$48</f>
        <v>3.2716666666666666E-3</v>
      </c>
      <c r="F10" s="221">
        <v>5</v>
      </c>
      <c r="H10" s="39">
        <f t="shared" si="0"/>
        <v>-3033.3780933804192</v>
      </c>
      <c r="J10" s="266">
        <v>3.7000000000000002E-3</v>
      </c>
      <c r="L10" s="234" t="s">
        <v>1326</v>
      </c>
      <c r="M10" s="39">
        <f t="shared" si="3"/>
        <v>-980152.83553075104</v>
      </c>
      <c r="O10" s="324">
        <v>3.7000000000000002E-3</v>
      </c>
      <c r="Q10" s="39">
        <f t="shared" si="1"/>
        <v>-3626.5654914637789</v>
      </c>
      <c r="S10" s="93">
        <f t="shared" si="4"/>
        <v>-196890.31842143871</v>
      </c>
      <c r="U10" s="39">
        <f t="shared" si="2"/>
        <v>-786889.08260077611</v>
      </c>
    </row>
    <row r="11" spans="1:21" x14ac:dyDescent="0.25">
      <c r="A11" s="221" t="s">
        <v>418</v>
      </c>
      <c r="B11" s="83">
        <f>'ATRR True-Up'!$G$10/12</f>
        <v>-185433.19979910864</v>
      </c>
      <c r="D11" s="92">
        <f>'ATRR True-Up'!$G$48</f>
        <v>3.2716666666666666E-3</v>
      </c>
      <c r="F11" s="221">
        <v>4</v>
      </c>
      <c r="H11" s="39">
        <f t="shared" si="0"/>
        <v>-2426.7024747043351</v>
      </c>
      <c r="J11" s="221">
        <f>SUM(J6:J10)</f>
        <v>1.7899999999999999E-2</v>
      </c>
      <c r="L11" s="221" t="s">
        <v>411</v>
      </c>
      <c r="M11" s="39">
        <f t="shared" si="3"/>
        <v>-786889.08260077611</v>
      </c>
      <c r="O11" s="324">
        <v>3.7000000000000002E-3</v>
      </c>
      <c r="Q11" s="39">
        <f t="shared" si="1"/>
        <v>-2911.4896056228717</v>
      </c>
      <c r="S11" s="93">
        <f t="shared" si="4"/>
        <v>-196890.31842143871</v>
      </c>
      <c r="U11" s="39">
        <f t="shared" si="2"/>
        <v>-592910.25378496025</v>
      </c>
    </row>
    <row r="12" spans="1:21" x14ac:dyDescent="0.25">
      <c r="A12" s="221" t="s">
        <v>419</v>
      </c>
      <c r="B12" s="83">
        <f>'ATRR True-Up'!$G$10/12</f>
        <v>-185433.19979910864</v>
      </c>
      <c r="D12" s="92">
        <f>'ATRR True-Up'!$G$48</f>
        <v>3.2716666666666666E-3</v>
      </c>
      <c r="F12" s="221">
        <v>3</v>
      </c>
      <c r="H12" s="39">
        <f t="shared" si="0"/>
        <v>-1820.0268560282514</v>
      </c>
      <c r="J12" s="13">
        <f>+J11/5</f>
        <v>3.5799999999999998E-3</v>
      </c>
      <c r="L12" s="221" t="s">
        <v>412</v>
      </c>
      <c r="M12" s="39">
        <f t="shared" si="3"/>
        <v>-592910.25378496025</v>
      </c>
      <c r="O12" s="324">
        <v>3.7000000000000002E-3</v>
      </c>
      <c r="Q12" s="39">
        <f t="shared" si="1"/>
        <v>-2193.7679390043531</v>
      </c>
      <c r="S12" s="93">
        <f t="shared" si="4"/>
        <v>-196890.31842143871</v>
      </c>
      <c r="U12" s="39">
        <f t="shared" si="2"/>
        <v>-398213.70330252592</v>
      </c>
    </row>
    <row r="13" spans="1:21" x14ac:dyDescent="0.25">
      <c r="A13" s="221" t="s">
        <v>420</v>
      </c>
      <c r="B13" s="83">
        <f>'ATRR True-Up'!$G$10/12</f>
        <v>-185433.19979910864</v>
      </c>
      <c r="D13" s="92">
        <f>'ATRR True-Up'!$G$48</f>
        <v>3.2716666666666666E-3</v>
      </c>
      <c r="F13" s="221">
        <v>2</v>
      </c>
      <c r="H13" s="39">
        <f t="shared" si="0"/>
        <v>-1213.3512373521676</v>
      </c>
      <c r="J13" s="221">
        <f>+J12*100</f>
        <v>0.35799999999999998</v>
      </c>
      <c r="L13" s="221" t="s">
        <v>413</v>
      </c>
      <c r="M13" s="39">
        <f t="shared" si="3"/>
        <v>-398213.70330252592</v>
      </c>
      <c r="O13" s="324">
        <v>3.7000000000000002E-3</v>
      </c>
      <c r="Q13" s="39">
        <f t="shared" si="1"/>
        <v>-1473.3907022193459</v>
      </c>
      <c r="S13" s="93">
        <f t="shared" si="4"/>
        <v>-196890.31842143871</v>
      </c>
      <c r="U13" s="39">
        <f t="shared" si="2"/>
        <v>-202796.77558330653</v>
      </c>
    </row>
    <row r="14" spans="1:21" x14ac:dyDescent="0.25">
      <c r="A14" s="221" t="s">
        <v>421</v>
      </c>
      <c r="B14" s="2">
        <f>'ATRR True-Up'!$G$10/12</f>
        <v>-185433.19979910864</v>
      </c>
      <c r="D14" s="92">
        <f>'ATRR True-Up'!$G$48</f>
        <v>3.2716666666666666E-3</v>
      </c>
      <c r="F14" s="221">
        <v>1</v>
      </c>
      <c r="H14" s="2">
        <f>B14*D14*F14</f>
        <v>-606.67561867608379</v>
      </c>
      <c r="L14" s="221" t="s">
        <v>414</v>
      </c>
      <c r="M14" s="39">
        <f>U13</f>
        <v>-202796.77558330653</v>
      </c>
      <c r="O14" s="324">
        <v>3.7000000000000002E-3</v>
      </c>
      <c r="Q14" s="94">
        <f t="shared" si="1"/>
        <v>-750.34806965823418</v>
      </c>
      <c r="S14" s="93">
        <f t="shared" si="4"/>
        <v>-196890.31842143871</v>
      </c>
      <c r="U14" s="39">
        <f t="shared" si="2"/>
        <v>-6656.8052315260575</v>
      </c>
    </row>
    <row r="15" spans="1:21" x14ac:dyDescent="0.25">
      <c r="B15" s="39">
        <f>SUM(B3:B14)</f>
        <v>-2225198.3975893031</v>
      </c>
      <c r="H15" s="39">
        <f>SUM(H3:H14)</f>
        <v>-47320.69825673454</v>
      </c>
      <c r="J15" s="39">
        <f>B15+H15</f>
        <v>-2272519.0958460378</v>
      </c>
      <c r="K15" s="39"/>
      <c r="Q15" s="39">
        <f>SUM(Q3:Q14)</f>
        <v>-56143.438627110008</v>
      </c>
    </row>
    <row r="17" spans="1:21" x14ac:dyDescent="0.25">
      <c r="A17" s="234" t="s">
        <v>1324</v>
      </c>
      <c r="B17" s="39">
        <f>J15</f>
        <v>-2272519.0958460378</v>
      </c>
      <c r="D17" s="324">
        <v>3.5799999999999998E-3</v>
      </c>
      <c r="F17" s="221">
        <v>5</v>
      </c>
      <c r="H17" s="39">
        <f>B17*D17*F17</f>
        <v>-40678.091815644075</v>
      </c>
      <c r="J17" s="39">
        <f>J15+H17</f>
        <v>-2313197.1876616818</v>
      </c>
      <c r="K17" s="39"/>
    </row>
    <row r="19" spans="1:21" ht="30" x14ac:dyDescent="0.25">
      <c r="A19" s="290" t="s">
        <v>454</v>
      </c>
      <c r="B19" s="49" t="s">
        <v>1047</v>
      </c>
      <c r="D19" s="49" t="s">
        <v>447</v>
      </c>
      <c r="F19" s="49" t="s">
        <v>449</v>
      </c>
      <c r="H19" s="49" t="s">
        <v>277</v>
      </c>
      <c r="J19" s="49" t="s">
        <v>448</v>
      </c>
      <c r="K19" s="49"/>
      <c r="L19" s="290" t="s">
        <v>454</v>
      </c>
      <c r="M19" s="49" t="s">
        <v>450</v>
      </c>
      <c r="O19" s="49" t="s">
        <v>447</v>
      </c>
      <c r="Q19" s="49" t="s">
        <v>451</v>
      </c>
      <c r="S19" s="49" t="s">
        <v>452</v>
      </c>
      <c r="U19" s="49" t="s">
        <v>448</v>
      </c>
    </row>
    <row r="20" spans="1:21" x14ac:dyDescent="0.25">
      <c r="A20" s="25" t="str">
        <f>+$A$3</f>
        <v>January (2017)</v>
      </c>
      <c r="B20" s="83">
        <f>'ATRR True-Up'!$G$25/12</f>
        <v>-107095.40529115692</v>
      </c>
      <c r="D20" s="92">
        <f>'ATRR True-Up'!$G$48</f>
        <v>3.2716666666666666E-3</v>
      </c>
      <c r="F20" s="221">
        <v>12</v>
      </c>
      <c r="H20" s="39">
        <f>B20*D20*F20</f>
        <v>-4204.5656117308208</v>
      </c>
      <c r="L20" s="25" t="str">
        <f>+L3</f>
        <v>June (2018)</v>
      </c>
      <c r="M20" s="39">
        <f>J34</f>
        <v>-1335967.8342355988</v>
      </c>
      <c r="O20" s="324">
        <v>3.7000000000000002E-3</v>
      </c>
      <c r="Q20" s="39">
        <f>M20*O20</f>
        <v>-4943.0809866717154</v>
      </c>
      <c r="S20" s="93">
        <f>-PMT('ATRR True-Up'!$G$48,12,M20)</f>
        <v>-113712.3690476827</v>
      </c>
      <c r="U20" s="39">
        <f>M20+Q20-S20</f>
        <v>-1227198.5461745877</v>
      </c>
    </row>
    <row r="21" spans="1:21" x14ac:dyDescent="0.25">
      <c r="A21" s="221" t="s">
        <v>411</v>
      </c>
      <c r="B21" s="83">
        <f>'ATRR True-Up'!$G$25/12</f>
        <v>-107095.40529115692</v>
      </c>
      <c r="D21" s="92">
        <f>'ATRR True-Up'!$G$48</f>
        <v>3.2716666666666666E-3</v>
      </c>
      <c r="F21" s="221">
        <v>11</v>
      </c>
      <c r="H21" s="39">
        <f t="shared" ref="H21:H30" si="5">B21*D21*F21</f>
        <v>-3854.1851440865858</v>
      </c>
      <c r="L21" s="221" t="s">
        <v>416</v>
      </c>
      <c r="M21" s="39">
        <f>U20</f>
        <v>-1227198.5461745877</v>
      </c>
      <c r="O21" s="324">
        <v>3.7000000000000002E-3</v>
      </c>
      <c r="Q21" s="39">
        <f t="shared" ref="Q21:Q31" si="6">M21*O21</f>
        <v>-4540.6346208459745</v>
      </c>
      <c r="S21" s="93">
        <f>S20</f>
        <v>-113712.3690476827</v>
      </c>
      <c r="U21" s="39">
        <f t="shared" ref="U21:U31" si="7">M21+Q21-S21</f>
        <v>-1118026.811747751</v>
      </c>
    </row>
    <row r="22" spans="1:21" x14ac:dyDescent="0.25">
      <c r="A22" s="221" t="s">
        <v>412</v>
      </c>
      <c r="B22" s="83">
        <f>'ATRR True-Up'!$G$25/12</f>
        <v>-107095.40529115692</v>
      </c>
      <c r="D22" s="92">
        <f>'ATRR True-Up'!$G$48</f>
        <v>3.2716666666666666E-3</v>
      </c>
      <c r="F22" s="221">
        <v>10</v>
      </c>
      <c r="H22" s="39">
        <f t="shared" si="5"/>
        <v>-3503.8046764423507</v>
      </c>
      <c r="L22" s="221" t="s">
        <v>417</v>
      </c>
      <c r="M22" s="39">
        <f t="shared" ref="M22:M30" si="8">U21</f>
        <v>-1118026.811747751</v>
      </c>
      <c r="O22" s="324">
        <v>3.7000000000000002E-3</v>
      </c>
      <c r="Q22" s="39">
        <f t="shared" si="6"/>
        <v>-4136.6992034666791</v>
      </c>
      <c r="S22" s="93">
        <f t="shared" ref="S22:S31" si="9">S21</f>
        <v>-113712.3690476827</v>
      </c>
      <c r="U22" s="39">
        <f t="shared" si="7"/>
        <v>-1008451.141903535</v>
      </c>
    </row>
    <row r="23" spans="1:21" x14ac:dyDescent="0.25">
      <c r="A23" s="221" t="s">
        <v>413</v>
      </c>
      <c r="B23" s="83">
        <f>'ATRR True-Up'!$G$25/12</f>
        <v>-107095.40529115692</v>
      </c>
      <c r="D23" s="92">
        <f>'ATRR True-Up'!$G$48</f>
        <v>3.2716666666666666E-3</v>
      </c>
      <c r="F23" s="221">
        <v>9</v>
      </c>
      <c r="H23" s="39">
        <f t="shared" si="5"/>
        <v>-3153.4242087981156</v>
      </c>
      <c r="L23" s="221" t="s">
        <v>418</v>
      </c>
      <c r="M23" s="39">
        <f t="shared" si="8"/>
        <v>-1008451.141903535</v>
      </c>
      <c r="O23" s="324">
        <v>3.7000000000000002E-3</v>
      </c>
      <c r="Q23" s="39">
        <f t="shared" si="6"/>
        <v>-3731.2692250430796</v>
      </c>
      <c r="S23" s="93">
        <f t="shared" si="9"/>
        <v>-113712.3690476827</v>
      </c>
      <c r="U23" s="39">
        <f t="shared" si="7"/>
        <v>-898470.04208089539</v>
      </c>
    </row>
    <row r="24" spans="1:21" x14ac:dyDescent="0.25">
      <c r="A24" s="221" t="s">
        <v>414</v>
      </c>
      <c r="B24" s="83">
        <f>'ATRR True-Up'!$G$25/12</f>
        <v>-107095.40529115692</v>
      </c>
      <c r="D24" s="92">
        <f>'ATRR True-Up'!$G$48</f>
        <v>3.2716666666666666E-3</v>
      </c>
      <c r="F24" s="221">
        <v>8</v>
      </c>
      <c r="H24" s="39">
        <f t="shared" si="5"/>
        <v>-2803.0437411538805</v>
      </c>
      <c r="L24" s="221" t="s">
        <v>419</v>
      </c>
      <c r="M24" s="39">
        <f t="shared" si="8"/>
        <v>-898470.04208089539</v>
      </c>
      <c r="O24" s="324">
        <v>3.7000000000000002E-3</v>
      </c>
      <c r="Q24" s="39">
        <f t="shared" si="6"/>
        <v>-3324.3391556993133</v>
      </c>
      <c r="S24" s="93">
        <f t="shared" si="9"/>
        <v>-113712.3690476827</v>
      </c>
      <c r="U24" s="39">
        <f t="shared" si="7"/>
        <v>-788082.01218891202</v>
      </c>
    </row>
    <row r="25" spans="1:21" x14ac:dyDescent="0.25">
      <c r="A25" s="221" t="s">
        <v>415</v>
      </c>
      <c r="B25" s="83">
        <f>'ATRR True-Up'!$G$25/12</f>
        <v>-107095.40529115692</v>
      </c>
      <c r="D25" s="92">
        <f>'ATRR True-Up'!$G$48</f>
        <v>3.2716666666666666E-3</v>
      </c>
      <c r="F25" s="221">
        <v>7</v>
      </c>
      <c r="H25" s="39">
        <f t="shared" si="5"/>
        <v>-2452.6632735096455</v>
      </c>
      <c r="L25" s="221" t="s">
        <v>420</v>
      </c>
      <c r="M25" s="39">
        <f t="shared" si="8"/>
        <v>-788082.01218891202</v>
      </c>
      <c r="O25" s="324">
        <v>3.7000000000000002E-3</v>
      </c>
      <c r="Q25" s="39">
        <f t="shared" si="6"/>
        <v>-2915.9034450989748</v>
      </c>
      <c r="S25" s="93">
        <f t="shared" si="9"/>
        <v>-113712.3690476827</v>
      </c>
      <c r="U25" s="39">
        <f t="shared" si="7"/>
        <v>-677285.5465863283</v>
      </c>
    </row>
    <row r="26" spans="1:21" x14ac:dyDescent="0.25">
      <c r="A26" s="221" t="s">
        <v>416</v>
      </c>
      <c r="B26" s="83">
        <f>'ATRR True-Up'!$G$25/12</f>
        <v>-107095.40529115692</v>
      </c>
      <c r="D26" s="92">
        <f>'ATRR True-Up'!$G$48</f>
        <v>3.2716666666666666E-3</v>
      </c>
      <c r="F26" s="221">
        <v>6</v>
      </c>
      <c r="H26" s="39">
        <f t="shared" si="5"/>
        <v>-2102.2828058654104</v>
      </c>
      <c r="L26" s="221" t="s">
        <v>421</v>
      </c>
      <c r="M26" s="39">
        <f t="shared" si="8"/>
        <v>-677285.5465863283</v>
      </c>
      <c r="O26" s="324">
        <v>3.7000000000000002E-3</v>
      </c>
      <c r="Q26" s="39">
        <f t="shared" si="6"/>
        <v>-2505.9565223694149</v>
      </c>
      <c r="S26" s="93">
        <f t="shared" si="9"/>
        <v>-113712.3690476827</v>
      </c>
      <c r="U26" s="39">
        <f t="shared" si="7"/>
        <v>-566079.13406101498</v>
      </c>
    </row>
    <row r="27" spans="1:21" x14ac:dyDescent="0.25">
      <c r="A27" s="221" t="s">
        <v>417</v>
      </c>
      <c r="B27" s="83">
        <f>'ATRR True-Up'!$G$25/12</f>
        <v>-107095.40529115692</v>
      </c>
      <c r="D27" s="92">
        <f>'ATRR True-Up'!$G$48</f>
        <v>3.2716666666666666E-3</v>
      </c>
      <c r="F27" s="221">
        <v>5</v>
      </c>
      <c r="H27" s="39">
        <f t="shared" si="5"/>
        <v>-1751.9023382211753</v>
      </c>
      <c r="L27" s="25" t="str">
        <f>+L10</f>
        <v>January (2019)</v>
      </c>
      <c r="M27" s="39">
        <f t="shared" si="8"/>
        <v>-566079.13406101498</v>
      </c>
      <c r="O27" s="324">
        <v>3.7000000000000002E-3</v>
      </c>
      <c r="Q27" s="39">
        <f t="shared" si="6"/>
        <v>-2094.4927960257555</v>
      </c>
      <c r="S27" s="93">
        <f t="shared" si="9"/>
        <v>-113712.3690476827</v>
      </c>
      <c r="U27" s="39">
        <f t="shared" si="7"/>
        <v>-454461.25780935795</v>
      </c>
    </row>
    <row r="28" spans="1:21" x14ac:dyDescent="0.25">
      <c r="A28" s="221" t="s">
        <v>418</v>
      </c>
      <c r="B28" s="83">
        <f>'ATRR True-Up'!$G$25/12</f>
        <v>-107095.40529115692</v>
      </c>
      <c r="D28" s="92">
        <f>'ATRR True-Up'!$G$48</f>
        <v>3.2716666666666666E-3</v>
      </c>
      <c r="F28" s="221">
        <v>4</v>
      </c>
      <c r="H28" s="39">
        <f t="shared" si="5"/>
        <v>-1401.5218705769403</v>
      </c>
      <c r="L28" s="221" t="s">
        <v>411</v>
      </c>
      <c r="M28" s="39">
        <f t="shared" si="8"/>
        <v>-454461.25780935795</v>
      </c>
      <c r="O28" s="324">
        <v>3.7000000000000002E-3</v>
      </c>
      <c r="Q28" s="39">
        <f t="shared" si="6"/>
        <v>-1681.5066538946244</v>
      </c>
      <c r="S28" s="93">
        <f t="shared" si="9"/>
        <v>-113712.3690476827</v>
      </c>
      <c r="U28" s="39">
        <f t="shared" si="7"/>
        <v>-342430.39541556989</v>
      </c>
    </row>
    <row r="29" spans="1:21" x14ac:dyDescent="0.25">
      <c r="A29" s="221" t="s">
        <v>419</v>
      </c>
      <c r="B29" s="83">
        <f>'ATRR True-Up'!$G$25/12</f>
        <v>-107095.40529115692</v>
      </c>
      <c r="D29" s="92">
        <f>'ATRR True-Up'!$G$48</f>
        <v>3.2716666666666666E-3</v>
      </c>
      <c r="F29" s="221">
        <v>3</v>
      </c>
      <c r="H29" s="39">
        <f t="shared" si="5"/>
        <v>-1051.1414029327052</v>
      </c>
      <c r="L29" s="221" t="s">
        <v>412</v>
      </c>
      <c r="M29" s="39">
        <f t="shared" si="8"/>
        <v>-342430.39541556989</v>
      </c>
      <c r="O29" s="324">
        <v>3.7000000000000002E-3</v>
      </c>
      <c r="Q29" s="39">
        <f t="shared" si="6"/>
        <v>-1266.9924630376086</v>
      </c>
      <c r="S29" s="93">
        <f t="shared" si="9"/>
        <v>-113712.3690476827</v>
      </c>
      <c r="U29" s="39">
        <f t="shared" si="7"/>
        <v>-229985.01883092479</v>
      </c>
    </row>
    <row r="30" spans="1:21" x14ac:dyDescent="0.25">
      <c r="A30" s="221" t="s">
        <v>420</v>
      </c>
      <c r="B30" s="83">
        <f>'ATRR True-Up'!$G$25/12</f>
        <v>-107095.40529115692</v>
      </c>
      <c r="D30" s="92">
        <f>'ATRR True-Up'!$G$48</f>
        <v>3.2716666666666666E-3</v>
      </c>
      <c r="F30" s="221">
        <v>2</v>
      </c>
      <c r="H30" s="39">
        <f t="shared" si="5"/>
        <v>-700.76093528847014</v>
      </c>
      <c r="L30" s="221" t="s">
        <v>413</v>
      </c>
      <c r="M30" s="39">
        <f t="shared" si="8"/>
        <v>-229985.01883092479</v>
      </c>
      <c r="O30" s="324">
        <v>3.7000000000000002E-3</v>
      </c>
      <c r="Q30" s="39">
        <f t="shared" si="6"/>
        <v>-850.94456967442181</v>
      </c>
      <c r="S30" s="93">
        <f t="shared" si="9"/>
        <v>-113712.3690476827</v>
      </c>
      <c r="U30" s="39">
        <f t="shared" si="7"/>
        <v>-117123.59435291649</v>
      </c>
    </row>
    <row r="31" spans="1:21" x14ac:dyDescent="0.25">
      <c r="A31" s="221" t="s">
        <v>421</v>
      </c>
      <c r="B31" s="2">
        <f>'ATRR True-Up'!$G$25/12</f>
        <v>-107095.40529115692</v>
      </c>
      <c r="D31" s="92">
        <f>'ATRR True-Up'!$G$48</f>
        <v>3.2716666666666666E-3</v>
      </c>
      <c r="F31" s="221">
        <v>1</v>
      </c>
      <c r="H31" s="2">
        <f>B31*D31*F31</f>
        <v>-350.38046764423507</v>
      </c>
      <c r="L31" s="221" t="s">
        <v>414</v>
      </c>
      <c r="M31" s="39">
        <f>U30</f>
        <v>-117123.59435291649</v>
      </c>
      <c r="O31" s="324">
        <v>3.7000000000000002E-3</v>
      </c>
      <c r="Q31" s="94">
        <f t="shared" si="6"/>
        <v>-433.35729910579107</v>
      </c>
      <c r="S31" s="93">
        <f t="shared" si="9"/>
        <v>-113712.3690476827</v>
      </c>
      <c r="U31" s="39">
        <f t="shared" si="7"/>
        <v>-3844.5826043395791</v>
      </c>
    </row>
    <row r="32" spans="1:21" x14ac:dyDescent="0.25">
      <c r="B32" s="39">
        <f>SUM(B20:B31)</f>
        <v>-1285144.8634938831</v>
      </c>
      <c r="H32" s="39">
        <f>SUM(H20:H31)</f>
        <v>-27329.676476250334</v>
      </c>
      <c r="J32" s="39">
        <f>B32+H32</f>
        <v>-1312474.5399701335</v>
      </c>
      <c r="K32" s="39"/>
      <c r="Q32" s="39">
        <f>SUM(Q20:Q31)</f>
        <v>-32425.176940933354</v>
      </c>
    </row>
    <row r="34" spans="1:21" x14ac:dyDescent="0.25">
      <c r="A34" s="221" t="str">
        <f>+A17</f>
        <v>January - May (2018)</v>
      </c>
      <c r="B34" s="39">
        <f>J32</f>
        <v>-1312474.5399701335</v>
      </c>
      <c r="D34" s="324">
        <v>3.5799999999999998E-3</v>
      </c>
      <c r="F34" s="221">
        <v>5</v>
      </c>
      <c r="H34" s="39">
        <f>B34*D34*F34</f>
        <v>-23493.294265465389</v>
      </c>
      <c r="J34" s="39">
        <f>J32+H34</f>
        <v>-1335967.8342355988</v>
      </c>
      <c r="K34" s="39"/>
    </row>
    <row r="36" spans="1:21" x14ac:dyDescent="0.25">
      <c r="A36" s="11" t="s">
        <v>752</v>
      </c>
    </row>
    <row r="37" spans="1:21" ht="51" customHeight="1" x14ac:dyDescent="0.25">
      <c r="A37" s="290" t="s">
        <v>490</v>
      </c>
      <c r="B37" s="49" t="s">
        <v>493</v>
      </c>
      <c r="D37" s="49" t="s">
        <v>447</v>
      </c>
      <c r="F37" s="49" t="s">
        <v>449</v>
      </c>
      <c r="H37" s="49" t="s">
        <v>277</v>
      </c>
      <c r="J37" s="49" t="s">
        <v>448</v>
      </c>
      <c r="K37" s="49"/>
      <c r="L37" s="290" t="s">
        <v>490</v>
      </c>
      <c r="M37" s="49" t="s">
        <v>450</v>
      </c>
      <c r="O37" s="49" t="s">
        <v>447</v>
      </c>
      <c r="Q37" s="49" t="s">
        <v>451</v>
      </c>
      <c r="S37" s="49" t="s">
        <v>452</v>
      </c>
      <c r="U37" s="49" t="s">
        <v>448</v>
      </c>
    </row>
    <row r="38" spans="1:21" x14ac:dyDescent="0.25">
      <c r="A38" s="25" t="str">
        <f>+$A$3</f>
        <v>January (2017)</v>
      </c>
      <c r="B38" s="83">
        <f>'Schedule 1 True Up'!$G$10/12</f>
        <v>150290.19172544763</v>
      </c>
      <c r="D38" s="92">
        <f>'Schedule 1 True Up'!$G$48</f>
        <v>3.2716666666666666E-3</v>
      </c>
      <c r="F38" s="221">
        <v>12</v>
      </c>
      <c r="H38" s="39">
        <f>B38*D38*F38</f>
        <v>5900.3929271410743</v>
      </c>
      <c r="L38" s="25" t="str">
        <f>+L3</f>
        <v>June (2018)</v>
      </c>
      <c r="M38" s="39">
        <f>J52</f>
        <v>1874803.6986314871</v>
      </c>
      <c r="O38" s="324">
        <v>3.7000000000000002E-3</v>
      </c>
      <c r="Q38" s="39">
        <f>M38*O38</f>
        <v>6936.7736849365028</v>
      </c>
      <c r="S38" s="93">
        <f>-PMT('Schedule 1 True Up'!$G$48,12,M38)</f>
        <v>159575.97526494658</v>
      </c>
      <c r="U38" s="39">
        <f>M38+Q38-S38</f>
        <v>1722164.497051477</v>
      </c>
    </row>
    <row r="39" spans="1:21" x14ac:dyDescent="0.25">
      <c r="A39" s="221" t="s">
        <v>411</v>
      </c>
      <c r="B39" s="83">
        <f>'Schedule 1 True Up'!$G$10/12</f>
        <v>150290.19172544763</v>
      </c>
      <c r="D39" s="92">
        <f>'Schedule 1 True Up'!$G$48</f>
        <v>3.2716666666666666E-3</v>
      </c>
      <c r="F39" s="221">
        <v>11</v>
      </c>
      <c r="H39" s="39">
        <f t="shared" ref="H39:H48" si="10">B39*D39*F39</f>
        <v>5408.6935165459845</v>
      </c>
      <c r="L39" s="221" t="s">
        <v>416</v>
      </c>
      <c r="M39" s="39">
        <f>U38</f>
        <v>1722164.497051477</v>
      </c>
      <c r="O39" s="324">
        <v>3.7000000000000002E-3</v>
      </c>
      <c r="Q39" s="39">
        <f t="shared" ref="Q39:Q49" si="11">M39*O39</f>
        <v>6372.0086390904653</v>
      </c>
      <c r="S39" s="93">
        <f>$S$38</f>
        <v>159575.97526494658</v>
      </c>
      <c r="U39" s="39">
        <f t="shared" ref="U39:U49" si="12">M39+Q39-S39</f>
        <v>1568960.5304256207</v>
      </c>
    </row>
    <row r="40" spans="1:21" x14ac:dyDescent="0.25">
      <c r="A40" s="221" t="s">
        <v>412</v>
      </c>
      <c r="B40" s="83">
        <f>'Schedule 1 True Up'!$G$10/12</f>
        <v>150290.19172544763</v>
      </c>
      <c r="D40" s="92">
        <f>'Schedule 1 True Up'!$G$48</f>
        <v>3.2716666666666666E-3</v>
      </c>
      <c r="F40" s="221">
        <v>10</v>
      </c>
      <c r="H40" s="39">
        <f t="shared" si="10"/>
        <v>4916.9941059508947</v>
      </c>
      <c r="L40" s="221" t="s">
        <v>417</v>
      </c>
      <c r="M40" s="39">
        <f t="shared" ref="M40:M48" si="13">U39</f>
        <v>1568960.5304256207</v>
      </c>
      <c r="O40" s="324">
        <v>3.7000000000000002E-3</v>
      </c>
      <c r="Q40" s="39">
        <f t="shared" si="11"/>
        <v>5805.1539625747973</v>
      </c>
      <c r="S40" s="93">
        <f t="shared" ref="S40:S49" si="14">$S$38</f>
        <v>159575.97526494658</v>
      </c>
      <c r="U40" s="39">
        <f t="shared" si="12"/>
        <v>1415189.7091232492</v>
      </c>
    </row>
    <row r="41" spans="1:21" x14ac:dyDescent="0.25">
      <c r="A41" s="221" t="s">
        <v>413</v>
      </c>
      <c r="B41" s="83">
        <f>'Schedule 1 True Up'!$G$10/12</f>
        <v>150290.19172544763</v>
      </c>
      <c r="D41" s="92">
        <f>'Schedule 1 True Up'!$G$48</f>
        <v>3.2716666666666666E-3</v>
      </c>
      <c r="F41" s="221">
        <v>9</v>
      </c>
      <c r="H41" s="39">
        <f t="shared" si="10"/>
        <v>4425.2946953558057</v>
      </c>
      <c r="L41" s="221" t="s">
        <v>418</v>
      </c>
      <c r="M41" s="39">
        <f t="shared" si="13"/>
        <v>1415189.7091232492</v>
      </c>
      <c r="O41" s="324">
        <v>3.7000000000000002E-3</v>
      </c>
      <c r="Q41" s="39">
        <f t="shared" si="11"/>
        <v>5236.2019237560226</v>
      </c>
      <c r="S41" s="93">
        <f t="shared" si="14"/>
        <v>159575.97526494658</v>
      </c>
      <c r="U41" s="39">
        <f t="shared" si="12"/>
        <v>1260849.9357820586</v>
      </c>
    </row>
    <row r="42" spans="1:21" x14ac:dyDescent="0.25">
      <c r="A42" s="221" t="s">
        <v>414</v>
      </c>
      <c r="B42" s="83">
        <f>'Schedule 1 True Up'!$G$10/12</f>
        <v>150290.19172544763</v>
      </c>
      <c r="D42" s="92">
        <f>'Schedule 1 True Up'!$G$48</f>
        <v>3.2716666666666666E-3</v>
      </c>
      <c r="F42" s="221">
        <v>8</v>
      </c>
      <c r="H42" s="39">
        <f t="shared" si="10"/>
        <v>3933.5952847607159</v>
      </c>
      <c r="L42" s="221" t="s">
        <v>419</v>
      </c>
      <c r="M42" s="39">
        <f t="shared" si="13"/>
        <v>1260849.9357820586</v>
      </c>
      <c r="O42" s="324">
        <v>3.7000000000000002E-3</v>
      </c>
      <c r="Q42" s="39">
        <f t="shared" si="11"/>
        <v>4665.1447623936174</v>
      </c>
      <c r="S42" s="93">
        <f t="shared" si="14"/>
        <v>159575.97526494658</v>
      </c>
      <c r="U42" s="39">
        <f t="shared" si="12"/>
        <v>1105939.1052795057</v>
      </c>
    </row>
    <row r="43" spans="1:21" x14ac:dyDescent="0.25">
      <c r="A43" s="221" t="s">
        <v>415</v>
      </c>
      <c r="B43" s="83">
        <f>'Schedule 1 True Up'!$G$10/12</f>
        <v>150290.19172544763</v>
      </c>
      <c r="D43" s="92">
        <f>'Schedule 1 True Up'!$G$48</f>
        <v>3.2716666666666666E-3</v>
      </c>
      <c r="F43" s="221">
        <v>7</v>
      </c>
      <c r="H43" s="39">
        <f t="shared" si="10"/>
        <v>3441.8958741656265</v>
      </c>
      <c r="L43" s="221" t="s">
        <v>420</v>
      </c>
      <c r="M43" s="39">
        <f t="shared" si="13"/>
        <v>1105939.1052795057</v>
      </c>
      <c r="O43" s="324">
        <v>3.7000000000000002E-3</v>
      </c>
      <c r="Q43" s="39">
        <f t="shared" si="11"/>
        <v>4091.9746895341714</v>
      </c>
      <c r="S43" s="93">
        <f t="shared" si="14"/>
        <v>159575.97526494658</v>
      </c>
      <c r="U43" s="39">
        <f t="shared" si="12"/>
        <v>950455.1047040933</v>
      </c>
    </row>
    <row r="44" spans="1:21" x14ac:dyDescent="0.25">
      <c r="A44" s="221" t="s">
        <v>416</v>
      </c>
      <c r="B44" s="83">
        <f>'Schedule 1 True Up'!$G$10/12</f>
        <v>150290.19172544763</v>
      </c>
      <c r="D44" s="92">
        <f>'Schedule 1 True Up'!$G$48</f>
        <v>3.2716666666666666E-3</v>
      </c>
      <c r="F44" s="221">
        <v>6</v>
      </c>
      <c r="H44" s="39">
        <f t="shared" si="10"/>
        <v>2950.1964635705372</v>
      </c>
      <c r="L44" s="221" t="s">
        <v>421</v>
      </c>
      <c r="M44" s="39">
        <f t="shared" si="13"/>
        <v>950455.1047040933</v>
      </c>
      <c r="O44" s="324">
        <v>3.7000000000000002E-3</v>
      </c>
      <c r="Q44" s="39">
        <f t="shared" si="11"/>
        <v>3516.6838874051455</v>
      </c>
      <c r="S44" s="93">
        <f t="shared" si="14"/>
        <v>159575.97526494658</v>
      </c>
      <c r="U44" s="39">
        <f t="shared" si="12"/>
        <v>794395.81332655181</v>
      </c>
    </row>
    <row r="45" spans="1:21" x14ac:dyDescent="0.25">
      <c r="A45" s="221" t="s">
        <v>417</v>
      </c>
      <c r="B45" s="83">
        <f>'Schedule 1 True Up'!$G$10/12</f>
        <v>150290.19172544763</v>
      </c>
      <c r="D45" s="92">
        <f>'Schedule 1 True Up'!$G$48</f>
        <v>3.2716666666666666E-3</v>
      </c>
      <c r="F45" s="221">
        <v>5</v>
      </c>
      <c r="H45" s="39">
        <f t="shared" si="10"/>
        <v>2458.4970529754473</v>
      </c>
      <c r="L45" s="25" t="str">
        <f>+L10</f>
        <v>January (2019)</v>
      </c>
      <c r="M45" s="39">
        <f t="shared" si="13"/>
        <v>794395.81332655181</v>
      </c>
      <c r="O45" s="324">
        <v>3.7000000000000002E-3</v>
      </c>
      <c r="Q45" s="39">
        <f t="shared" si="11"/>
        <v>2939.2645093082419</v>
      </c>
      <c r="S45" s="93">
        <f t="shared" si="14"/>
        <v>159575.97526494658</v>
      </c>
      <c r="U45" s="39">
        <f t="shared" si="12"/>
        <v>637759.1025709135</v>
      </c>
    </row>
    <row r="46" spans="1:21" x14ac:dyDescent="0.25">
      <c r="A46" s="221" t="s">
        <v>418</v>
      </c>
      <c r="B46" s="83">
        <f>'Schedule 1 True Up'!$G$10/12</f>
        <v>150290.19172544763</v>
      </c>
      <c r="D46" s="92">
        <f>'Schedule 1 True Up'!$G$48</f>
        <v>3.2716666666666666E-3</v>
      </c>
      <c r="F46" s="221">
        <v>4</v>
      </c>
      <c r="H46" s="39">
        <f t="shared" si="10"/>
        <v>1966.797642380358</v>
      </c>
      <c r="L46" s="221" t="s">
        <v>411</v>
      </c>
      <c r="M46" s="39">
        <f t="shared" si="13"/>
        <v>637759.1025709135</v>
      </c>
      <c r="O46" s="324">
        <v>3.7000000000000002E-3</v>
      </c>
      <c r="Q46" s="39">
        <f t="shared" si="11"/>
        <v>2359.7086795123801</v>
      </c>
      <c r="S46" s="93">
        <f t="shared" si="14"/>
        <v>159575.97526494658</v>
      </c>
      <c r="U46" s="39">
        <f t="shared" si="12"/>
        <v>480542.83598547929</v>
      </c>
    </row>
    <row r="47" spans="1:21" x14ac:dyDescent="0.25">
      <c r="A47" s="221" t="s">
        <v>419</v>
      </c>
      <c r="B47" s="83">
        <f>'Schedule 1 True Up'!$G$10/12</f>
        <v>150290.19172544763</v>
      </c>
      <c r="D47" s="92">
        <f>'Schedule 1 True Up'!$G$48</f>
        <v>3.2716666666666666E-3</v>
      </c>
      <c r="F47" s="221">
        <v>3</v>
      </c>
      <c r="H47" s="39">
        <f t="shared" si="10"/>
        <v>1475.0982317852686</v>
      </c>
      <c r="L47" s="221" t="s">
        <v>412</v>
      </c>
      <c r="M47" s="39">
        <f t="shared" si="13"/>
        <v>480542.83598547929</v>
      </c>
      <c r="O47" s="324">
        <v>3.7000000000000002E-3</v>
      </c>
      <c r="Q47" s="39">
        <f t="shared" si="11"/>
        <v>1778.0084931462734</v>
      </c>
      <c r="S47" s="93">
        <f t="shared" si="14"/>
        <v>159575.97526494658</v>
      </c>
      <c r="U47" s="39">
        <f t="shared" si="12"/>
        <v>322744.86921367899</v>
      </c>
    </row>
    <row r="48" spans="1:21" x14ac:dyDescent="0.25">
      <c r="A48" s="221" t="s">
        <v>420</v>
      </c>
      <c r="B48" s="83">
        <f>'Schedule 1 True Up'!$G$10/12</f>
        <v>150290.19172544763</v>
      </c>
      <c r="D48" s="92">
        <f>'Schedule 1 True Up'!$G$48</f>
        <v>3.2716666666666666E-3</v>
      </c>
      <c r="F48" s="221">
        <v>2</v>
      </c>
      <c r="H48" s="39">
        <f t="shared" si="10"/>
        <v>983.39882119017898</v>
      </c>
      <c r="L48" s="221" t="s">
        <v>413</v>
      </c>
      <c r="M48" s="39">
        <f t="shared" si="13"/>
        <v>322744.86921367899</v>
      </c>
      <c r="O48" s="324">
        <v>3.7000000000000002E-3</v>
      </c>
      <c r="Q48" s="39">
        <f t="shared" si="11"/>
        <v>1194.1560160906124</v>
      </c>
      <c r="S48" s="93">
        <f t="shared" si="14"/>
        <v>159575.97526494658</v>
      </c>
      <c r="U48" s="39">
        <f t="shared" si="12"/>
        <v>164363.049964823</v>
      </c>
    </row>
    <row r="49" spans="1:21" x14ac:dyDescent="0.25">
      <c r="A49" s="221" t="s">
        <v>421</v>
      </c>
      <c r="B49" s="2">
        <f>'Schedule 1 True Up'!$G$10/12</f>
        <v>150290.19172544763</v>
      </c>
      <c r="D49" s="92">
        <f>'Schedule 1 True Up'!$G$48</f>
        <v>3.2716666666666666E-3</v>
      </c>
      <c r="F49" s="221">
        <v>1</v>
      </c>
      <c r="H49" s="2">
        <f>B49*D49*F49</f>
        <v>491.69941059508949</v>
      </c>
      <c r="L49" s="221" t="s">
        <v>414</v>
      </c>
      <c r="M49" s="39">
        <f>U48</f>
        <v>164363.049964823</v>
      </c>
      <c r="O49" s="324">
        <v>3.7000000000000002E-3</v>
      </c>
      <c r="Q49" s="94">
        <f t="shared" si="11"/>
        <v>608.14328486984516</v>
      </c>
      <c r="S49" s="93">
        <f t="shared" si="14"/>
        <v>159575.97526494658</v>
      </c>
      <c r="U49" s="39">
        <f t="shared" si="12"/>
        <v>5395.2179847462685</v>
      </c>
    </row>
    <row r="50" spans="1:21" x14ac:dyDescent="0.25">
      <c r="B50" s="39">
        <f>SUM(B38:B49)</f>
        <v>1803482.3007053712</v>
      </c>
      <c r="H50" s="39">
        <f>SUM(H38:H49)</f>
        <v>38352.554026416983</v>
      </c>
      <c r="J50" s="39">
        <f>B50+H50</f>
        <v>1841834.8547317882</v>
      </c>
      <c r="K50" s="39"/>
      <c r="Q50" s="39">
        <f>SUM(Q38:Q49)</f>
        <v>45503.222532618085</v>
      </c>
    </row>
    <row r="52" spans="1:21" x14ac:dyDescent="0.25">
      <c r="A52" s="221" t="str">
        <f>+A17</f>
        <v>January - May (2018)</v>
      </c>
      <c r="B52" s="39">
        <f>J50</f>
        <v>1841834.8547317882</v>
      </c>
      <c r="D52" s="324">
        <v>3.5799999999999998E-3</v>
      </c>
      <c r="F52" s="221">
        <v>5</v>
      </c>
      <c r="H52" s="39">
        <f>B52*D52*F52</f>
        <v>32968.843899699008</v>
      </c>
      <c r="J52" s="39">
        <f>J50+H52</f>
        <v>1874803.6986314871</v>
      </c>
      <c r="K52" s="39"/>
    </row>
    <row r="53" spans="1:21" x14ac:dyDescent="0.25">
      <c r="B53" s="39"/>
      <c r="D53" s="92"/>
      <c r="H53" s="39"/>
      <c r="J53" s="39"/>
      <c r="K53" s="39"/>
    </row>
    <row r="55" spans="1:21" ht="48" customHeight="1" x14ac:dyDescent="0.25">
      <c r="A55" s="290" t="s">
        <v>491</v>
      </c>
      <c r="B55" s="49" t="s">
        <v>492</v>
      </c>
      <c r="D55" s="49" t="s">
        <v>447</v>
      </c>
      <c r="F55" s="49" t="s">
        <v>449</v>
      </c>
      <c r="H55" s="49" t="s">
        <v>277</v>
      </c>
      <c r="J55" s="49" t="s">
        <v>448</v>
      </c>
      <c r="K55" s="49"/>
      <c r="L55" s="290" t="s">
        <v>491</v>
      </c>
      <c r="M55" s="49" t="s">
        <v>450</v>
      </c>
      <c r="O55" s="49" t="s">
        <v>447</v>
      </c>
      <c r="Q55" s="49" t="s">
        <v>451</v>
      </c>
      <c r="S55" s="49" t="s">
        <v>452</v>
      </c>
      <c r="U55" s="49" t="s">
        <v>448</v>
      </c>
    </row>
    <row r="56" spans="1:21" x14ac:dyDescent="0.25">
      <c r="A56" s="25" t="str">
        <f>+$A$3</f>
        <v>January (2017)</v>
      </c>
      <c r="B56" s="83">
        <f>'Schedule 1 True Up'!$G$25/12</f>
        <v>90680.027500000011</v>
      </c>
      <c r="D56" s="92">
        <f>'Schedule 1 True Up'!$G$48</f>
        <v>3.2716666666666666E-3</v>
      </c>
      <c r="F56" s="221">
        <v>12</v>
      </c>
      <c r="H56" s="39">
        <f>B56*D56*F56</f>
        <v>3560.0978796500003</v>
      </c>
      <c r="L56" s="25" t="str">
        <f>+L3</f>
        <v>June (2018)</v>
      </c>
      <c r="M56" s="39">
        <f>J70</f>
        <v>1131193.2535130221</v>
      </c>
      <c r="O56" s="324">
        <v>3.7000000000000002E-3</v>
      </c>
      <c r="Q56" s="39">
        <f>M56*O56</f>
        <v>4185.415037998182</v>
      </c>
      <c r="S56" s="93">
        <f>-PMT('Schedule 1 True Up'!$G$48,12,M56)</f>
        <v>96282.755775568745</v>
      </c>
      <c r="U56" s="39">
        <f>M56+Q56-S56</f>
        <v>1039095.9127754516</v>
      </c>
    </row>
    <row r="57" spans="1:21" x14ac:dyDescent="0.25">
      <c r="A57" s="221" t="s">
        <v>411</v>
      </c>
      <c r="B57" s="83">
        <f>'Schedule 1 True Up'!$G$25/12</f>
        <v>90680.027500000011</v>
      </c>
      <c r="D57" s="92">
        <f>'Schedule 1 True Up'!$G$48</f>
        <v>3.2716666666666666E-3</v>
      </c>
      <c r="F57" s="221">
        <v>11</v>
      </c>
      <c r="H57" s="39">
        <f t="shared" ref="H57:H66" si="15">B57*D57*F57</f>
        <v>3263.4230563458336</v>
      </c>
      <c r="L57" s="221" t="s">
        <v>416</v>
      </c>
      <c r="M57" s="39">
        <f>U56</f>
        <v>1039095.9127754516</v>
      </c>
      <c r="O57" s="324">
        <v>3.7000000000000002E-3</v>
      </c>
      <c r="Q57" s="39">
        <f t="shared" ref="Q57:Q67" si="16">M57*O57</f>
        <v>3844.6548772691708</v>
      </c>
      <c r="S57" s="93">
        <f>S56</f>
        <v>96282.755775568745</v>
      </c>
      <c r="U57" s="39">
        <f t="shared" ref="U57:U67" si="17">M57+Q57-S57</f>
        <v>946657.81187715195</v>
      </c>
    </row>
    <row r="58" spans="1:21" x14ac:dyDescent="0.25">
      <c r="A58" s="221" t="s">
        <v>412</v>
      </c>
      <c r="B58" s="83">
        <f>'Schedule 1 True Up'!$G$25/12</f>
        <v>90680.027500000011</v>
      </c>
      <c r="D58" s="92">
        <f>'Schedule 1 True Up'!$G$48</f>
        <v>3.2716666666666666E-3</v>
      </c>
      <c r="F58" s="221">
        <v>10</v>
      </c>
      <c r="H58" s="39">
        <f t="shared" si="15"/>
        <v>2966.7482330416669</v>
      </c>
      <c r="L58" s="221" t="s">
        <v>417</v>
      </c>
      <c r="M58" s="39">
        <f t="shared" ref="M58:M66" si="18">U57</f>
        <v>946657.81187715195</v>
      </c>
      <c r="O58" s="324">
        <v>3.7000000000000002E-3</v>
      </c>
      <c r="Q58" s="39">
        <f t="shared" si="16"/>
        <v>3502.6339039454624</v>
      </c>
      <c r="S58" s="93">
        <f t="shared" ref="S58:S67" si="19">S57</f>
        <v>96282.755775568745</v>
      </c>
      <c r="U58" s="39">
        <f t="shared" si="17"/>
        <v>853877.69000552862</v>
      </c>
    </row>
    <row r="59" spans="1:21" x14ac:dyDescent="0.25">
      <c r="A59" s="221" t="s">
        <v>413</v>
      </c>
      <c r="B59" s="83">
        <f>'Schedule 1 True Up'!$G$25/12</f>
        <v>90680.027500000011</v>
      </c>
      <c r="D59" s="92">
        <f>'Schedule 1 True Up'!$G$48</f>
        <v>3.2716666666666666E-3</v>
      </c>
      <c r="F59" s="221">
        <v>9</v>
      </c>
      <c r="H59" s="39">
        <f t="shared" si="15"/>
        <v>2670.0734097375002</v>
      </c>
      <c r="L59" s="221" t="s">
        <v>418</v>
      </c>
      <c r="M59" s="39">
        <f t="shared" si="18"/>
        <v>853877.69000552862</v>
      </c>
      <c r="O59" s="324">
        <v>3.7000000000000002E-3</v>
      </c>
      <c r="Q59" s="39">
        <f t="shared" si="16"/>
        <v>3159.3474530204562</v>
      </c>
      <c r="S59" s="93">
        <f t="shared" si="19"/>
        <v>96282.755775568745</v>
      </c>
      <c r="U59" s="39">
        <f t="shared" si="17"/>
        <v>760754.28168298036</v>
      </c>
    </row>
    <row r="60" spans="1:21" x14ac:dyDescent="0.25">
      <c r="A60" s="221" t="s">
        <v>414</v>
      </c>
      <c r="B60" s="83">
        <f>'Schedule 1 True Up'!$G$25/12</f>
        <v>90680.027500000011</v>
      </c>
      <c r="D60" s="92">
        <f>'Schedule 1 True Up'!$G$48</f>
        <v>3.2716666666666666E-3</v>
      </c>
      <c r="F60" s="221">
        <v>8</v>
      </c>
      <c r="H60" s="39">
        <f t="shared" si="15"/>
        <v>2373.3985864333335</v>
      </c>
      <c r="L60" s="221" t="s">
        <v>419</v>
      </c>
      <c r="M60" s="39">
        <f t="shared" si="18"/>
        <v>760754.28168298036</v>
      </c>
      <c r="O60" s="324">
        <v>3.7000000000000002E-3</v>
      </c>
      <c r="Q60" s="39">
        <f t="shared" si="16"/>
        <v>2814.7908422270275</v>
      </c>
      <c r="S60" s="93">
        <f t="shared" si="19"/>
        <v>96282.755775568745</v>
      </c>
      <c r="U60" s="39">
        <f t="shared" si="17"/>
        <v>667286.31674963864</v>
      </c>
    </row>
    <row r="61" spans="1:21" x14ac:dyDescent="0.25">
      <c r="A61" s="221" t="s">
        <v>415</v>
      </c>
      <c r="B61" s="83">
        <f>'Schedule 1 True Up'!$G$25/12</f>
        <v>90680.027500000011</v>
      </c>
      <c r="D61" s="92">
        <f>'Schedule 1 True Up'!$G$48</f>
        <v>3.2716666666666666E-3</v>
      </c>
      <c r="F61" s="221">
        <v>7</v>
      </c>
      <c r="H61" s="39">
        <f t="shared" si="15"/>
        <v>2076.7237631291669</v>
      </c>
      <c r="L61" s="221" t="s">
        <v>420</v>
      </c>
      <c r="M61" s="39">
        <f t="shared" si="18"/>
        <v>667286.31674963864</v>
      </c>
      <c r="O61" s="324">
        <v>3.7000000000000002E-3</v>
      </c>
      <c r="Q61" s="39">
        <f t="shared" si="16"/>
        <v>2468.9593719736631</v>
      </c>
      <c r="S61" s="93">
        <f t="shared" si="19"/>
        <v>96282.755775568745</v>
      </c>
      <c r="U61" s="39">
        <f t="shared" si="17"/>
        <v>573472.52034604352</v>
      </c>
    </row>
    <row r="62" spans="1:21" x14ac:dyDescent="0.25">
      <c r="A62" s="221" t="s">
        <v>416</v>
      </c>
      <c r="B62" s="83">
        <f>'Schedule 1 True Up'!$G$25/12</f>
        <v>90680.027500000011</v>
      </c>
      <c r="D62" s="92">
        <f>'Schedule 1 True Up'!$G$48</f>
        <v>3.2716666666666666E-3</v>
      </c>
      <c r="F62" s="221">
        <v>6</v>
      </c>
      <c r="H62" s="39">
        <f t="shared" si="15"/>
        <v>1780.0489398250002</v>
      </c>
      <c r="L62" s="221" t="s">
        <v>421</v>
      </c>
      <c r="M62" s="39">
        <f t="shared" si="18"/>
        <v>573472.52034604352</v>
      </c>
      <c r="O62" s="324">
        <v>3.7000000000000002E-3</v>
      </c>
      <c r="Q62" s="39">
        <f t="shared" si="16"/>
        <v>2121.8483252803612</v>
      </c>
      <c r="S62" s="93">
        <f t="shared" si="19"/>
        <v>96282.755775568745</v>
      </c>
      <c r="U62" s="39">
        <f t="shared" si="17"/>
        <v>479311.6128957551</v>
      </c>
    </row>
    <row r="63" spans="1:21" x14ac:dyDescent="0.25">
      <c r="A63" s="221" t="s">
        <v>417</v>
      </c>
      <c r="B63" s="83">
        <f>'Schedule 1 True Up'!$G$25/12</f>
        <v>90680.027500000011</v>
      </c>
      <c r="D63" s="92">
        <f>'Schedule 1 True Up'!$G$48</f>
        <v>3.2716666666666666E-3</v>
      </c>
      <c r="F63" s="221">
        <v>5</v>
      </c>
      <c r="H63" s="39">
        <f t="shared" si="15"/>
        <v>1483.3741165208335</v>
      </c>
      <c r="L63" s="25" t="str">
        <f>+L10</f>
        <v>January (2019)</v>
      </c>
      <c r="M63" s="39">
        <f t="shared" si="18"/>
        <v>479311.6128957551</v>
      </c>
      <c r="O63" s="324">
        <v>3.7000000000000002E-3</v>
      </c>
      <c r="Q63" s="39">
        <f t="shared" si="16"/>
        <v>1773.4529677142939</v>
      </c>
      <c r="S63" s="93">
        <f t="shared" si="19"/>
        <v>96282.755775568745</v>
      </c>
      <c r="U63" s="39">
        <f t="shared" si="17"/>
        <v>384802.31008790061</v>
      </c>
    </row>
    <row r="64" spans="1:21" x14ac:dyDescent="0.25">
      <c r="A64" s="221" t="s">
        <v>418</v>
      </c>
      <c r="B64" s="83">
        <f>'Schedule 1 True Up'!$G$25/12</f>
        <v>90680.027500000011</v>
      </c>
      <c r="D64" s="92">
        <f>'Schedule 1 True Up'!$G$48</f>
        <v>3.2716666666666666E-3</v>
      </c>
      <c r="F64" s="221">
        <v>4</v>
      </c>
      <c r="H64" s="39">
        <f t="shared" si="15"/>
        <v>1186.6992932166668</v>
      </c>
      <c r="L64" s="221" t="s">
        <v>411</v>
      </c>
      <c r="M64" s="39">
        <f t="shared" si="18"/>
        <v>384802.31008790061</v>
      </c>
      <c r="O64" s="324">
        <v>3.7000000000000002E-3</v>
      </c>
      <c r="Q64" s="39">
        <f t="shared" si="16"/>
        <v>1423.7685473252322</v>
      </c>
      <c r="S64" s="93">
        <f t="shared" si="19"/>
        <v>96282.755775568745</v>
      </c>
      <c r="U64" s="39">
        <f t="shared" si="17"/>
        <v>289943.32285965711</v>
      </c>
    </row>
    <row r="65" spans="1:21" x14ac:dyDescent="0.25">
      <c r="A65" s="221" t="s">
        <v>419</v>
      </c>
      <c r="B65" s="83">
        <f>'Schedule 1 True Up'!$G$25/12</f>
        <v>90680.027500000011</v>
      </c>
      <c r="D65" s="92">
        <f>'Schedule 1 True Up'!$G$48</f>
        <v>3.2716666666666666E-3</v>
      </c>
      <c r="F65" s="221">
        <v>3</v>
      </c>
      <c r="H65" s="39">
        <f t="shared" si="15"/>
        <v>890.02446991250008</v>
      </c>
      <c r="L65" s="221" t="s">
        <v>412</v>
      </c>
      <c r="M65" s="39">
        <f t="shared" si="18"/>
        <v>289943.32285965711</v>
      </c>
      <c r="O65" s="324">
        <v>3.7000000000000002E-3</v>
      </c>
      <c r="Q65" s="39">
        <f t="shared" si="16"/>
        <v>1072.7902945807314</v>
      </c>
      <c r="S65" s="93">
        <f t="shared" si="19"/>
        <v>96282.755775568745</v>
      </c>
      <c r="U65" s="39">
        <f t="shared" si="17"/>
        <v>194733.35737866911</v>
      </c>
    </row>
    <row r="66" spans="1:21" x14ac:dyDescent="0.25">
      <c r="A66" s="221" t="s">
        <v>420</v>
      </c>
      <c r="B66" s="83">
        <f>'Schedule 1 True Up'!$G$25/12</f>
        <v>90680.027500000011</v>
      </c>
      <c r="D66" s="92">
        <f>'Schedule 1 True Up'!$G$48</f>
        <v>3.2716666666666666E-3</v>
      </c>
      <c r="F66" s="221">
        <v>2</v>
      </c>
      <c r="H66" s="39">
        <f t="shared" si="15"/>
        <v>593.34964660833339</v>
      </c>
      <c r="L66" s="221" t="s">
        <v>413</v>
      </c>
      <c r="M66" s="39">
        <f t="shared" si="18"/>
        <v>194733.35737866911</v>
      </c>
      <c r="O66" s="324">
        <v>3.7000000000000002E-3</v>
      </c>
      <c r="Q66" s="39">
        <f t="shared" si="16"/>
        <v>720.51342230107571</v>
      </c>
      <c r="S66" s="93">
        <f t="shared" si="19"/>
        <v>96282.755775568745</v>
      </c>
      <c r="U66" s="39">
        <f t="shared" si="17"/>
        <v>99171.115025401436</v>
      </c>
    </row>
    <row r="67" spans="1:21" x14ac:dyDescent="0.25">
      <c r="A67" s="221" t="s">
        <v>421</v>
      </c>
      <c r="B67" s="2">
        <f>'Schedule 1 True Up'!$G$25/12</f>
        <v>90680.027500000011</v>
      </c>
      <c r="D67" s="92">
        <f>'Schedule 1 True Up'!$G$48</f>
        <v>3.2716666666666666E-3</v>
      </c>
      <c r="F67" s="221">
        <v>1</v>
      </c>
      <c r="H67" s="2">
        <f>B67*D67*F67</f>
        <v>296.67482330416669</v>
      </c>
      <c r="L67" s="221" t="s">
        <v>414</v>
      </c>
      <c r="M67" s="39">
        <f>U66</f>
        <v>99171.115025401436</v>
      </c>
      <c r="O67" s="324">
        <v>3.7000000000000002E-3</v>
      </c>
      <c r="Q67" s="94">
        <f t="shared" si="16"/>
        <v>366.93312559398532</v>
      </c>
      <c r="S67" s="93">
        <f t="shared" si="19"/>
        <v>96282.755775568745</v>
      </c>
      <c r="U67" s="39">
        <f t="shared" si="17"/>
        <v>3255.2923754266812</v>
      </c>
    </row>
    <row r="68" spans="1:21" x14ac:dyDescent="0.25">
      <c r="B68" s="39">
        <f>SUM(B56:B67)</f>
        <v>1088160.3299999998</v>
      </c>
      <c r="H68" s="39">
        <f>SUM(H56:H67)</f>
        <v>23140.636217724998</v>
      </c>
      <c r="J68" s="39">
        <f>B68+H68</f>
        <v>1111300.9662177248</v>
      </c>
      <c r="K68" s="39"/>
      <c r="Q68" s="39">
        <f>SUM(Q56:Q67)</f>
        <v>27455.108169229643</v>
      </c>
    </row>
    <row r="70" spans="1:21" x14ac:dyDescent="0.25">
      <c r="A70" s="25" t="str">
        <f>+A17</f>
        <v>January - May (2018)</v>
      </c>
      <c r="B70" s="39">
        <f>J68</f>
        <v>1111300.9662177248</v>
      </c>
      <c r="D70" s="324">
        <v>3.5799999999999998E-3</v>
      </c>
      <c r="F70" s="221">
        <v>5</v>
      </c>
      <c r="H70" s="39">
        <f>B70*D70*F70</f>
        <v>19892.287295297276</v>
      </c>
      <c r="J70" s="39">
        <f>J68+H70</f>
        <v>1131193.2535130221</v>
      </c>
      <c r="K70" s="39"/>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80" fitToPage="1">
      <selection activeCell="AA51" sqref="AA51"/>
      <rowBreaks count="1" manualBreakCount="1">
        <brk id="35" max="16383" man="1"/>
      </rowBreaks>
      <pageMargins left="0.7" right="0.7" top="0.75" bottom="0.75" header="0.3" footer="0.3"/>
      <pageSetup scale="39" orientation="portrait" r:id="rId1"/>
      <headerFooter>
        <oddFooter>&amp;L&amp;Z&amp;F</oddFooter>
      </headerFooter>
    </customSheetView>
    <customSheetView guid="{C0F5889E-F852-4CB9-B477-759ADBCFF6D5}" scale="80" fitToPage="1">
      <selection activeCell="AA51" sqref="AA51"/>
      <rowBreaks count="1" manualBreakCount="1">
        <brk id="35" max="16383" man="1"/>
      </rowBreaks>
      <pageMargins left="0.7" right="0.7" top="0.75" bottom="0.75" header="0.3" footer="0.3"/>
      <pageSetup scale="39" orientation="portrait" r:id="rId2"/>
      <headerFooter>
        <oddFooter>&amp;L&amp;Z&amp;F</oddFooter>
      </headerFooter>
    </customSheetView>
  </customSheetViews>
  <pageMargins left="0.7" right="0.7" top="0.75" bottom="0.75" header="0.3" footer="0.3"/>
  <pageSetup scale="39" orientation="portrait" r:id="rId3"/>
  <headerFooter>
    <oddFooter>&amp;L&amp;Z&amp;F</oddFoot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O96"/>
  <sheetViews>
    <sheetView zoomScale="80" zoomScaleNormal="80" workbookViewId="0">
      <selection activeCell="L33" sqref="L33"/>
    </sheetView>
  </sheetViews>
  <sheetFormatPr defaultRowHeight="15" x14ac:dyDescent="0.25"/>
  <cols>
    <col min="1" max="1" width="5.28515625" style="86" bestFit="1" customWidth="1"/>
    <col min="2" max="2" width="47.5703125" style="86" bestFit="1" customWidth="1"/>
    <col min="3" max="3" width="8.7109375" style="86" customWidth="1"/>
    <col min="4" max="5" width="9.140625" style="86"/>
    <col min="6" max="6" width="7.140625" style="86" customWidth="1"/>
    <col min="7" max="7" width="46.28515625" style="86" customWidth="1"/>
    <col min="8" max="8" width="1.7109375" style="86" customWidth="1"/>
    <col min="9" max="9" width="16.28515625" style="83" bestFit="1" customWidth="1"/>
    <col min="10" max="10" width="1.7109375" style="86" customWidth="1"/>
    <col min="11" max="11" width="18.140625" style="86" customWidth="1"/>
    <col min="12" max="12" width="27.140625" style="86" customWidth="1"/>
    <col min="13" max="13" width="1.5703125" style="86" bestFit="1" customWidth="1"/>
    <col min="14" max="14" width="15.28515625" style="86" bestFit="1" customWidth="1"/>
    <col min="15" max="15" width="13.42578125" style="86" bestFit="1" customWidth="1"/>
    <col min="16" max="16384" width="9.140625" style="86"/>
  </cols>
  <sheetData>
    <row r="1" spans="1:11" x14ac:dyDescent="0.25">
      <c r="A1" s="329" t="s">
        <v>0</v>
      </c>
      <c r="B1" s="329"/>
      <c r="C1" s="329"/>
      <c r="D1" s="329"/>
      <c r="E1" s="329"/>
      <c r="F1" s="329"/>
      <c r="G1" s="329"/>
      <c r="H1" s="329"/>
      <c r="I1" s="11" t="s">
        <v>700</v>
      </c>
      <c r="J1" s="119"/>
    </row>
    <row r="2" spans="1:11" x14ac:dyDescent="0.25">
      <c r="A2" s="329" t="s">
        <v>203</v>
      </c>
      <c r="B2" s="329"/>
      <c r="C2" s="329"/>
      <c r="D2" s="329"/>
      <c r="E2" s="329"/>
      <c r="F2" s="329"/>
      <c r="G2" s="329"/>
      <c r="H2" s="329"/>
      <c r="I2" s="11" t="s">
        <v>699</v>
      </c>
      <c r="J2" s="119"/>
    </row>
    <row r="3" spans="1:11" x14ac:dyDescent="0.25">
      <c r="A3" s="329" t="s">
        <v>1318</v>
      </c>
      <c r="B3" s="329"/>
      <c r="C3" s="329"/>
      <c r="D3" s="329"/>
      <c r="E3" s="329"/>
      <c r="F3" s="329"/>
      <c r="G3" s="329"/>
      <c r="H3" s="329"/>
      <c r="I3" s="119"/>
      <c r="J3" s="119"/>
      <c r="K3" s="257"/>
    </row>
    <row r="4" spans="1:11" x14ac:dyDescent="0.25">
      <c r="A4" s="329" t="s">
        <v>109</v>
      </c>
      <c r="B4" s="329"/>
      <c r="C4" s="329"/>
      <c r="D4" s="329"/>
      <c r="E4" s="329"/>
      <c r="F4" s="329"/>
      <c r="G4" s="329"/>
      <c r="H4" s="329"/>
      <c r="I4" s="326" t="s">
        <v>1358</v>
      </c>
      <c r="J4" s="326"/>
      <c r="K4" s="326" t="s">
        <v>1359</v>
      </c>
    </row>
    <row r="5" spans="1:11" x14ac:dyDescent="0.25">
      <c r="A5" s="221"/>
      <c r="B5" s="221"/>
      <c r="C5" s="221"/>
      <c r="D5" s="221"/>
      <c r="E5" s="221"/>
      <c r="F5" s="76"/>
      <c r="G5" s="76"/>
      <c r="H5" s="221"/>
      <c r="I5" s="73" t="s">
        <v>110</v>
      </c>
      <c r="J5" s="221"/>
      <c r="K5" s="73" t="s">
        <v>110</v>
      </c>
    </row>
    <row r="6" spans="1:11" x14ac:dyDescent="0.25">
      <c r="A6" s="11" t="s">
        <v>2</v>
      </c>
      <c r="B6" s="221"/>
      <c r="C6" s="221"/>
      <c r="D6" s="221"/>
      <c r="E6" s="221"/>
      <c r="F6" s="76"/>
      <c r="G6" s="290" t="s">
        <v>4</v>
      </c>
      <c r="H6" s="76"/>
      <c r="I6" s="73" t="s">
        <v>167</v>
      </c>
      <c r="J6" s="10"/>
      <c r="K6" s="73" t="s">
        <v>167</v>
      </c>
    </row>
    <row r="7" spans="1:11" x14ac:dyDescent="0.25">
      <c r="A7" s="221"/>
      <c r="B7" s="221"/>
      <c r="C7" s="221"/>
      <c r="D7" s="221"/>
      <c r="E7" s="221"/>
      <c r="F7" s="221"/>
      <c r="G7" s="221"/>
      <c r="H7" s="221"/>
      <c r="J7" s="221"/>
      <c r="K7" s="83"/>
    </row>
    <row r="8" spans="1:11" x14ac:dyDescent="0.25">
      <c r="A8" s="221">
        <v>1</v>
      </c>
      <c r="B8" s="11" t="s">
        <v>176</v>
      </c>
      <c r="C8" s="221"/>
      <c r="D8" s="221"/>
      <c r="E8" s="221"/>
      <c r="F8" s="221"/>
      <c r="G8" s="221" t="s">
        <v>571</v>
      </c>
      <c r="H8" s="221"/>
      <c r="I8" s="83">
        <f>'Revenue Requirement'!J63</f>
        <v>321564495.59671104</v>
      </c>
      <c r="J8" s="221"/>
      <c r="K8" s="83">
        <f>I8</f>
        <v>321564495.59671104</v>
      </c>
    </row>
    <row r="9" spans="1:11" x14ac:dyDescent="0.25">
      <c r="A9" s="221"/>
      <c r="B9" s="221"/>
      <c r="C9" s="221"/>
      <c r="D9" s="221"/>
      <c r="E9" s="221"/>
      <c r="F9" s="221"/>
      <c r="G9" s="221"/>
      <c r="H9" s="221"/>
      <c r="J9" s="221"/>
      <c r="K9" s="83"/>
    </row>
    <row r="10" spans="1:11" x14ac:dyDescent="0.25">
      <c r="A10" s="221"/>
      <c r="B10" s="11" t="s">
        <v>111</v>
      </c>
      <c r="C10" s="221"/>
      <c r="D10" s="221"/>
      <c r="E10" s="221"/>
      <c r="F10" s="221"/>
      <c r="G10" s="221"/>
      <c r="H10" s="221"/>
      <c r="J10" s="221"/>
      <c r="K10" s="83"/>
    </row>
    <row r="11" spans="1:11" x14ac:dyDescent="0.25">
      <c r="A11" s="221">
        <v>2</v>
      </c>
      <c r="B11" s="221" t="s">
        <v>175</v>
      </c>
      <c r="C11" s="221"/>
      <c r="D11" s="221"/>
      <c r="E11" s="221"/>
      <c r="F11" s="221"/>
      <c r="G11" s="221" t="s">
        <v>324</v>
      </c>
      <c r="H11" s="221"/>
      <c r="I11" s="83">
        <f>'Attach G - Acct 454'!G18</f>
        <v>5539367.9573658863</v>
      </c>
      <c r="J11" s="221"/>
      <c r="K11" s="83">
        <f>I11</f>
        <v>5539367.9573658863</v>
      </c>
    </row>
    <row r="12" spans="1:11" x14ac:dyDescent="0.25">
      <c r="A12" s="221">
        <v>3</v>
      </c>
      <c r="B12" s="221" t="s">
        <v>202</v>
      </c>
      <c r="C12" s="221"/>
      <c r="D12" s="221"/>
      <c r="E12" s="221"/>
      <c r="F12" s="221"/>
      <c r="G12" s="221" t="s">
        <v>236</v>
      </c>
      <c r="H12" s="221"/>
      <c r="I12" s="2">
        <f>'Attach I - Acct 456.1'!K97</f>
        <v>10263372.120000001</v>
      </c>
      <c r="J12" s="221"/>
      <c r="K12" s="2">
        <f>I12</f>
        <v>10263372.120000001</v>
      </c>
    </row>
    <row r="13" spans="1:11" x14ac:dyDescent="0.25">
      <c r="A13" s="221">
        <v>4</v>
      </c>
      <c r="B13" s="11" t="s">
        <v>112</v>
      </c>
      <c r="C13" s="221"/>
      <c r="D13" s="221"/>
      <c r="E13" s="221"/>
      <c r="F13" s="221"/>
      <c r="G13" s="221"/>
      <c r="H13" s="221"/>
      <c r="I13" s="83">
        <f>SUM(I11:I12)</f>
        <v>15802740.077365886</v>
      </c>
      <c r="J13" s="221"/>
      <c r="K13" s="83">
        <f>SUM(K11:K12)</f>
        <v>15802740.077365886</v>
      </c>
    </row>
    <row r="14" spans="1:11" x14ac:dyDescent="0.25">
      <c r="A14" s="221"/>
      <c r="B14" s="221"/>
      <c r="C14" s="221"/>
      <c r="D14" s="221"/>
      <c r="E14" s="221"/>
      <c r="F14" s="221"/>
      <c r="G14" s="221"/>
      <c r="H14" s="221"/>
      <c r="J14" s="221"/>
      <c r="K14" s="83"/>
    </row>
    <row r="15" spans="1:11" x14ac:dyDescent="0.25">
      <c r="A15" s="221">
        <v>5</v>
      </c>
      <c r="B15" s="11" t="s">
        <v>113</v>
      </c>
      <c r="C15" s="221"/>
      <c r="D15" s="221"/>
      <c r="E15" s="221"/>
      <c r="F15" s="221"/>
      <c r="G15" s="221" t="s">
        <v>272</v>
      </c>
      <c r="H15" s="221"/>
      <c r="I15" s="83">
        <f>'Attach J - Prepayment'!E45</f>
        <v>0</v>
      </c>
      <c r="J15" s="221"/>
      <c r="K15" s="83">
        <f>'Attach J - Prepayment'!G45</f>
        <v>0</v>
      </c>
    </row>
    <row r="16" spans="1:11" x14ac:dyDescent="0.25">
      <c r="A16" s="221"/>
      <c r="B16" s="221"/>
      <c r="C16" s="221"/>
      <c r="D16" s="221"/>
      <c r="E16" s="221"/>
      <c r="F16" s="221"/>
      <c r="G16" s="221"/>
      <c r="H16" s="221"/>
      <c r="J16" s="221"/>
      <c r="K16" s="83"/>
    </row>
    <row r="17" spans="1:15" x14ac:dyDescent="0.25">
      <c r="A17" s="221">
        <v>6</v>
      </c>
      <c r="B17" s="11" t="s">
        <v>192</v>
      </c>
      <c r="C17" s="221"/>
      <c r="D17" s="221"/>
      <c r="E17" s="221"/>
      <c r="F17" s="221"/>
      <c r="G17" s="221"/>
      <c r="H17" s="221"/>
      <c r="I17" s="226">
        <v>971491.32</v>
      </c>
      <c r="J17" s="221"/>
      <c r="K17" s="226">
        <v>971491.32</v>
      </c>
    </row>
    <row r="18" spans="1:15" x14ac:dyDescent="0.25">
      <c r="A18" s="221"/>
      <c r="B18" s="221"/>
      <c r="C18" s="221"/>
      <c r="D18" s="221"/>
      <c r="E18" s="221"/>
      <c r="F18" s="221"/>
      <c r="G18" s="221"/>
      <c r="H18" s="221"/>
      <c r="J18" s="221"/>
      <c r="K18" s="83"/>
    </row>
    <row r="19" spans="1:15" x14ac:dyDescent="0.25">
      <c r="A19" s="221">
        <v>7</v>
      </c>
      <c r="B19" s="11" t="s">
        <v>767</v>
      </c>
      <c r="C19" s="221"/>
      <c r="D19" s="221"/>
      <c r="E19" s="221"/>
      <c r="F19" s="221"/>
      <c r="G19" s="221" t="s">
        <v>265</v>
      </c>
      <c r="H19" s="221"/>
      <c r="I19" s="83">
        <f>'Attach K - GridSouth'!D11</f>
        <v>0</v>
      </c>
      <c r="J19" s="221"/>
      <c r="K19" s="83">
        <f>'Attach K - GridSouth'!F11</f>
        <v>0</v>
      </c>
      <c r="L19" s="83"/>
      <c r="M19" s="39"/>
    </row>
    <row r="20" spans="1:15" x14ac:dyDescent="0.25">
      <c r="A20" s="221"/>
      <c r="B20" s="11"/>
      <c r="C20" s="221"/>
      <c r="D20" s="221"/>
      <c r="E20" s="221"/>
      <c r="F20" s="221"/>
      <c r="G20" s="221"/>
      <c r="H20" s="221"/>
      <c r="J20" s="221"/>
      <c r="K20" s="83"/>
      <c r="L20" s="83"/>
      <c r="M20" s="39"/>
    </row>
    <row r="21" spans="1:15" x14ac:dyDescent="0.25">
      <c r="A21" s="221">
        <v>8</v>
      </c>
      <c r="B21" s="11" t="s">
        <v>559</v>
      </c>
      <c r="C21" s="221"/>
      <c r="D21" s="221"/>
      <c r="E21" s="221"/>
      <c r="F21" s="221"/>
      <c r="G21" s="221" t="s">
        <v>558</v>
      </c>
      <c r="H21" s="221"/>
      <c r="I21" s="226">
        <v>0</v>
      </c>
      <c r="J21" s="221"/>
      <c r="K21" s="226">
        <v>0</v>
      </c>
      <c r="L21" s="83"/>
      <c r="M21" s="39"/>
    </row>
    <row r="22" spans="1:15" x14ac:dyDescent="0.25">
      <c r="A22" s="221"/>
      <c r="B22" s="221"/>
      <c r="C22" s="221"/>
      <c r="D22" s="221"/>
      <c r="E22" s="221"/>
      <c r="F22" s="221"/>
      <c r="G22" s="221"/>
      <c r="H22" s="221"/>
      <c r="J22" s="221"/>
      <c r="K22" s="83"/>
    </row>
    <row r="23" spans="1:15" x14ac:dyDescent="0.25">
      <c r="A23" s="221">
        <v>9</v>
      </c>
      <c r="B23" s="11" t="s">
        <v>193</v>
      </c>
      <c r="C23" s="221"/>
      <c r="D23" s="221"/>
      <c r="E23" s="221"/>
      <c r="F23" s="221"/>
      <c r="G23" s="221" t="s">
        <v>557</v>
      </c>
      <c r="H23" s="221"/>
      <c r="I23" s="83">
        <f>I8-I13+I15+I17+I19+I21</f>
        <v>306733246.83934516</v>
      </c>
      <c r="J23" s="221"/>
      <c r="K23" s="83">
        <f>K8-K13+K15+K17+K19+K21</f>
        <v>306733246.83934516</v>
      </c>
      <c r="L23" s="39"/>
      <c r="M23" s="39"/>
      <c r="N23" s="23"/>
    </row>
    <row r="24" spans="1:15" x14ac:dyDescent="0.25">
      <c r="A24" s="221">
        <v>10</v>
      </c>
      <c r="B24" s="11" t="s">
        <v>188</v>
      </c>
      <c r="C24" s="221"/>
      <c r="D24" s="221"/>
      <c r="E24" s="221"/>
      <c r="F24" s="221"/>
      <c r="G24" s="221" t="s">
        <v>1266</v>
      </c>
      <c r="H24" s="221"/>
      <c r="I24" s="327">
        <f>(1+0.022)</f>
        <v>1.022</v>
      </c>
      <c r="J24" s="328"/>
      <c r="K24" s="327">
        <f>(1+0.0217)</f>
        <v>1.0217000000000001</v>
      </c>
      <c r="L24" s="231"/>
      <c r="M24" s="39"/>
    </row>
    <row r="25" spans="1:15" x14ac:dyDescent="0.25">
      <c r="A25" s="86">
        <v>11</v>
      </c>
      <c r="B25" s="11" t="s">
        <v>720</v>
      </c>
      <c r="G25" s="221" t="s">
        <v>561</v>
      </c>
      <c r="H25" s="221"/>
      <c r="I25" s="227">
        <v>1</v>
      </c>
      <c r="K25" s="227">
        <v>1</v>
      </c>
      <c r="L25" s="83"/>
      <c r="M25" s="39"/>
    </row>
    <row r="26" spans="1:15" x14ac:dyDescent="0.25">
      <c r="A26" s="86">
        <v>12</v>
      </c>
      <c r="B26" s="11" t="s">
        <v>697</v>
      </c>
      <c r="G26" s="221" t="s">
        <v>1267</v>
      </c>
      <c r="H26" s="221"/>
      <c r="I26" s="83">
        <f>(I23*I24)/I25</f>
        <v>313481378.26981074</v>
      </c>
      <c r="K26" s="83">
        <f>(K23*K24)/K25</f>
        <v>313389358.29575896</v>
      </c>
      <c r="L26" s="83"/>
      <c r="M26" s="39"/>
      <c r="N26" s="231"/>
      <c r="O26" s="23"/>
    </row>
    <row r="27" spans="1:15" x14ac:dyDescent="0.25">
      <c r="B27" s="11"/>
      <c r="K27" s="83"/>
      <c r="L27" s="83"/>
      <c r="M27" s="39"/>
      <c r="N27" s="39"/>
      <c r="O27" s="6"/>
    </row>
    <row r="28" spans="1:15" x14ac:dyDescent="0.25">
      <c r="A28" s="86">
        <v>13</v>
      </c>
      <c r="B28" s="11" t="s">
        <v>194</v>
      </c>
      <c r="G28" s="5" t="s">
        <v>1192</v>
      </c>
      <c r="I28" s="6">
        <f>'Attach K - GridSouth'!E20/12</f>
        <v>19434.583333333332</v>
      </c>
      <c r="K28" s="6">
        <f>I28</f>
        <v>19434.583333333332</v>
      </c>
    </row>
    <row r="29" spans="1:15" x14ac:dyDescent="0.25">
      <c r="B29" s="11"/>
      <c r="K29" s="83"/>
    </row>
    <row r="30" spans="1:15" x14ac:dyDescent="0.25">
      <c r="A30" s="86">
        <v>14</v>
      </c>
      <c r="B30" s="11" t="s">
        <v>476</v>
      </c>
      <c r="G30" s="86" t="s">
        <v>537</v>
      </c>
      <c r="I30" s="24">
        <f>I26/I28/1000</f>
        <v>16.130079708585335</v>
      </c>
      <c r="K30" s="24">
        <f>K26/K28/1000</f>
        <v>16.125344851528023</v>
      </c>
    </row>
    <row r="31" spans="1:15" x14ac:dyDescent="0.25">
      <c r="I31" s="22"/>
      <c r="K31" s="22"/>
    </row>
    <row r="32" spans="1:15" x14ac:dyDescent="0.25">
      <c r="A32" s="86">
        <v>15</v>
      </c>
      <c r="B32" s="11" t="s">
        <v>477</v>
      </c>
      <c r="G32" s="86" t="s">
        <v>538</v>
      </c>
      <c r="I32" s="288">
        <f>I30/12</f>
        <v>1.344173309048778</v>
      </c>
      <c r="K32" s="24">
        <f>K30/12</f>
        <v>1.3437787376273354</v>
      </c>
      <c r="L32" s="23"/>
    </row>
    <row r="33" spans="1:12" x14ac:dyDescent="0.25">
      <c r="I33" s="22"/>
      <c r="K33" s="22"/>
      <c r="L33" s="23"/>
    </row>
    <row r="34" spans="1:12" x14ac:dyDescent="0.25">
      <c r="A34" s="86">
        <v>16</v>
      </c>
      <c r="B34" s="11" t="s">
        <v>478</v>
      </c>
      <c r="G34" s="86" t="s">
        <v>539</v>
      </c>
      <c r="I34" s="47">
        <f>ROUND(I30/52,3)</f>
        <v>0.31</v>
      </c>
      <c r="K34" s="47">
        <f>ROUND(K30/52,3)</f>
        <v>0.31</v>
      </c>
    </row>
    <row r="35" spans="1:12" x14ac:dyDescent="0.25">
      <c r="I35" s="22"/>
      <c r="K35" s="22"/>
    </row>
    <row r="36" spans="1:12" x14ac:dyDescent="0.25">
      <c r="B36" s="11" t="s">
        <v>479</v>
      </c>
      <c r="I36" s="22"/>
      <c r="K36" s="22"/>
    </row>
    <row r="37" spans="1:12" x14ac:dyDescent="0.25">
      <c r="A37" s="86">
        <v>17</v>
      </c>
      <c r="B37" s="86" t="s">
        <v>114</v>
      </c>
      <c r="G37" s="86" t="s">
        <v>540</v>
      </c>
      <c r="I37" s="81">
        <f>ROUND(I34/5,5)</f>
        <v>6.2E-2</v>
      </c>
      <c r="K37" s="81">
        <f>ROUND(K34/5,5)</f>
        <v>6.2E-2</v>
      </c>
    </row>
    <row r="38" spans="1:12" x14ac:dyDescent="0.25">
      <c r="A38" s="86">
        <v>18</v>
      </c>
      <c r="B38" s="5" t="s">
        <v>115</v>
      </c>
      <c r="G38" s="86" t="s">
        <v>541</v>
      </c>
      <c r="I38" s="81">
        <f>ROUND(I34/7,5)</f>
        <v>4.4290000000000003E-2</v>
      </c>
      <c r="K38" s="81">
        <f>ROUND(K34/7,5)</f>
        <v>4.4290000000000003E-2</v>
      </c>
    </row>
    <row r="39" spans="1:12" x14ac:dyDescent="0.25">
      <c r="I39" s="22"/>
      <c r="K39" s="22"/>
    </row>
    <row r="40" spans="1:12" x14ac:dyDescent="0.25">
      <c r="B40" s="11" t="s">
        <v>480</v>
      </c>
      <c r="I40" s="22"/>
      <c r="K40" s="22"/>
    </row>
    <row r="41" spans="1:12" x14ac:dyDescent="0.25">
      <c r="A41" s="86">
        <v>19</v>
      </c>
      <c r="B41" s="86" t="s">
        <v>1155</v>
      </c>
      <c r="G41" s="86" t="s">
        <v>542</v>
      </c>
      <c r="I41" s="81">
        <f>ROUND(I37/16,5)</f>
        <v>3.8800000000000002E-3</v>
      </c>
      <c r="K41" s="81">
        <f>ROUND(K37/16,5)</f>
        <v>3.8800000000000002E-3</v>
      </c>
    </row>
    <row r="42" spans="1:12" x14ac:dyDescent="0.25">
      <c r="A42" s="86">
        <v>20</v>
      </c>
      <c r="B42" s="5" t="s">
        <v>1156</v>
      </c>
      <c r="G42" s="86" t="s">
        <v>543</v>
      </c>
      <c r="I42" s="81">
        <f>ROUND(I38/24,5)</f>
        <v>1.8500000000000001E-3</v>
      </c>
      <c r="K42" s="81">
        <f>ROUND(K38/24,5)</f>
        <v>1.8500000000000001E-3</v>
      </c>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80" showPageBreaks="1" printArea="1">
      <selection activeCell="I23" sqref="I23"/>
      <pageMargins left="0.7" right="0.7" top="0.75" bottom="0.75" header="0.3" footer="0.3"/>
      <pageSetup scale="60" orientation="portrait" r:id="rId1"/>
      <headerFooter>
        <oddFooter>&amp;L&amp;Z&amp;F</oddFooter>
      </headerFooter>
    </customSheetView>
    <customSheetView guid="{C0F5889E-F852-4CB9-B477-759ADBCFF6D5}" scale="80" showPageBreaks="1" printArea="1">
      <selection activeCell="I17" sqref="I17"/>
      <pageMargins left="0.7" right="0.7" top="0.75" bottom="0.75" header="0.3" footer="0.3"/>
      <pageSetup scale="60" orientation="portrait" r:id="rId2"/>
      <headerFooter>
        <oddFooter>&amp;L&amp;Z&amp;F</oddFooter>
      </headerFooter>
    </customSheetView>
  </customSheetViews>
  <mergeCells count="4">
    <mergeCell ref="A1:H1"/>
    <mergeCell ref="A2:H2"/>
    <mergeCell ref="A3:H3"/>
    <mergeCell ref="A4:H4"/>
  </mergeCells>
  <pageMargins left="0.7" right="0.7" top="0.75" bottom="0.75" header="0.3" footer="0.3"/>
  <pageSetup scale="60" orientation="portrait" r:id="rId3"/>
  <headerFooter>
    <oddFooter>&amp;L&amp;Z&amp;F</oddFooter>
  </headerFooter>
  <legacy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96"/>
  <sheetViews>
    <sheetView zoomScale="90" zoomScaleNormal="90" workbookViewId="0"/>
  </sheetViews>
  <sheetFormatPr defaultRowHeight="15" x14ac:dyDescent="0.25"/>
  <cols>
    <col min="1" max="1" width="34" style="221" customWidth="1"/>
    <col min="2" max="2" width="18.7109375" style="221" customWidth="1"/>
    <col min="3" max="3" width="18" style="221" customWidth="1"/>
    <col min="4" max="4" width="20.140625" style="221" customWidth="1"/>
    <col min="5" max="5" width="16" style="221" customWidth="1"/>
    <col min="6" max="6" width="1.7109375" style="221" customWidth="1"/>
    <col min="7" max="7" width="20.85546875" style="221" customWidth="1"/>
    <col min="8" max="9" width="16" style="221" customWidth="1"/>
    <col min="10" max="10" width="14.7109375" style="221" bestFit="1" customWidth="1"/>
    <col min="11" max="11" width="1.7109375" style="221" customWidth="1"/>
    <col min="12" max="12" width="15.5703125" style="221" bestFit="1" customWidth="1"/>
    <col min="13" max="13" width="12.5703125" style="221" customWidth="1"/>
    <col min="14" max="14" width="17.5703125" style="221" bestFit="1" customWidth="1"/>
    <col min="15" max="15" width="1.7109375" style="1" customWidth="1"/>
    <col min="16" max="17" width="16.42578125" style="221" bestFit="1" customWidth="1"/>
    <col min="18" max="18" width="14.7109375" style="221" customWidth="1"/>
    <col min="19" max="19" width="1.7109375" style="221" customWidth="1"/>
    <col min="20" max="16384" width="9.140625" style="221"/>
  </cols>
  <sheetData>
    <row r="1" spans="1:18" ht="15.75" thickBot="1" x14ac:dyDescent="0.3">
      <c r="A1" s="11" t="s">
        <v>753</v>
      </c>
    </row>
    <row r="2" spans="1:18" ht="15.75" customHeight="1" thickBot="1" x14ac:dyDescent="0.3">
      <c r="B2" s="338" t="s">
        <v>455</v>
      </c>
      <c r="C2" s="339"/>
      <c r="D2" s="339"/>
      <c r="E2" s="340"/>
      <c r="G2" s="338" t="s">
        <v>1078</v>
      </c>
      <c r="H2" s="339"/>
      <c r="I2" s="339"/>
      <c r="J2" s="340"/>
      <c r="L2" s="338" t="s">
        <v>766</v>
      </c>
      <c r="M2" s="339"/>
      <c r="N2" s="340"/>
      <c r="P2" s="338" t="s">
        <v>765</v>
      </c>
      <c r="Q2" s="339"/>
      <c r="R2" s="340"/>
    </row>
    <row r="3" spans="1:18" ht="106.5" customHeight="1" thickBot="1" x14ac:dyDescent="0.3">
      <c r="B3" s="121" t="s">
        <v>456</v>
      </c>
      <c r="C3" s="121" t="s">
        <v>457</v>
      </c>
      <c r="D3" s="121" t="s">
        <v>458</v>
      </c>
      <c r="E3" s="122" t="s">
        <v>133</v>
      </c>
      <c r="F3" s="76"/>
      <c r="G3" s="123" t="s">
        <v>456</v>
      </c>
      <c r="H3" s="123" t="s">
        <v>1079</v>
      </c>
      <c r="I3" s="123" t="s">
        <v>458</v>
      </c>
      <c r="J3" s="124" t="s">
        <v>133</v>
      </c>
      <c r="K3" s="76"/>
      <c r="L3" s="125" t="s">
        <v>471</v>
      </c>
      <c r="M3" s="59" t="s">
        <v>472</v>
      </c>
      <c r="N3" s="126" t="s">
        <v>473</v>
      </c>
      <c r="O3" s="127"/>
      <c r="P3" s="58" t="s">
        <v>474</v>
      </c>
      <c r="Q3" s="59" t="s">
        <v>475</v>
      </c>
      <c r="R3" s="126" t="s">
        <v>473</v>
      </c>
    </row>
    <row r="4" spans="1:18" x14ac:dyDescent="0.25">
      <c r="A4" s="221" t="s">
        <v>1320</v>
      </c>
      <c r="B4" s="297">
        <v>15357</v>
      </c>
      <c r="C4" s="297">
        <v>4421</v>
      </c>
      <c r="D4" s="297">
        <v>2114</v>
      </c>
      <c r="E4" s="28">
        <f>B4+C4+D4</f>
        <v>21892</v>
      </c>
      <c r="G4" s="297">
        <v>14050757</v>
      </c>
      <c r="H4" s="297">
        <v>3777827</v>
      </c>
      <c r="I4" s="297">
        <v>2114000</v>
      </c>
      <c r="J4" s="28">
        <f>G4+H4+I4</f>
        <v>19942584</v>
      </c>
      <c r="L4" s="226">
        <v>25347843.837956324</v>
      </c>
      <c r="M4" s="56">
        <f t="shared" ref="M4:M15" si="0">H4/J4</f>
        <v>0.18943518051622599</v>
      </c>
      <c r="N4" s="83">
        <f t="shared" ref="N4:N15" si="1">L4*M4</f>
        <v>4801773.373140363</v>
      </c>
      <c r="P4" s="325">
        <v>1.3082533034075798</v>
      </c>
      <c r="Q4" s="33">
        <f t="shared" ref="Q4:Q15" si="2">D4*1000</f>
        <v>2114000</v>
      </c>
      <c r="R4" s="83">
        <f t="shared" ref="R4:R15" si="3">P4*Q4</f>
        <v>2765647.4834036236</v>
      </c>
    </row>
    <row r="5" spans="1:18" x14ac:dyDescent="0.25">
      <c r="A5" s="221" t="s">
        <v>459</v>
      </c>
      <c r="B5" s="297">
        <v>14687</v>
      </c>
      <c r="C5" s="297">
        <v>4182</v>
      </c>
      <c r="D5" s="297">
        <v>2114</v>
      </c>
      <c r="E5" s="28">
        <f t="shared" ref="E5:E15" si="4">B5+C5+D5</f>
        <v>20983</v>
      </c>
      <c r="G5" s="297">
        <v>13876096</v>
      </c>
      <c r="H5" s="297">
        <v>3710654</v>
      </c>
      <c r="I5" s="297">
        <v>2114000</v>
      </c>
      <c r="J5" s="28">
        <f t="shared" ref="J5:J15" si="5">G5+H5+I5</f>
        <v>19700750</v>
      </c>
      <c r="L5" s="226">
        <v>25347843.837956324</v>
      </c>
      <c r="M5" s="56">
        <f t="shared" si="0"/>
        <v>0.18835090034643351</v>
      </c>
      <c r="N5" s="83">
        <f t="shared" si="1"/>
        <v>4774289.2087198701</v>
      </c>
      <c r="P5" s="325">
        <v>1.3082533034075798</v>
      </c>
      <c r="Q5" s="33">
        <f t="shared" si="2"/>
        <v>2114000</v>
      </c>
      <c r="R5" s="83">
        <f t="shared" si="3"/>
        <v>2765647.4834036236</v>
      </c>
    </row>
    <row r="6" spans="1:18" x14ac:dyDescent="0.25">
      <c r="A6" s="221" t="s">
        <v>460</v>
      </c>
      <c r="B6" s="297">
        <v>11878</v>
      </c>
      <c r="C6" s="297">
        <v>3099</v>
      </c>
      <c r="D6" s="297">
        <v>2114</v>
      </c>
      <c r="E6" s="28">
        <f t="shared" si="4"/>
        <v>17091</v>
      </c>
      <c r="G6" s="297">
        <v>13773993</v>
      </c>
      <c r="H6" s="297">
        <v>3675007</v>
      </c>
      <c r="I6" s="297">
        <v>2114000</v>
      </c>
      <c r="J6" s="28">
        <f t="shared" si="5"/>
        <v>19563000</v>
      </c>
      <c r="L6" s="226">
        <v>25347843.837956324</v>
      </c>
      <c r="M6" s="56">
        <f t="shared" si="0"/>
        <v>0.18785498134232992</v>
      </c>
      <c r="N6" s="83">
        <f t="shared" si="1"/>
        <v>4761718.7312475778</v>
      </c>
      <c r="P6" s="325">
        <v>1.3082533034075798</v>
      </c>
      <c r="Q6" s="33">
        <f t="shared" si="2"/>
        <v>2114000</v>
      </c>
      <c r="R6" s="83">
        <f t="shared" si="3"/>
        <v>2765647.4834036236</v>
      </c>
    </row>
    <row r="7" spans="1:18" x14ac:dyDescent="0.25">
      <c r="A7" s="221" t="s">
        <v>461</v>
      </c>
      <c r="B7" s="297">
        <v>12089</v>
      </c>
      <c r="C7" s="297">
        <v>3230</v>
      </c>
      <c r="D7" s="297">
        <v>2114</v>
      </c>
      <c r="E7" s="28">
        <f t="shared" si="4"/>
        <v>17433</v>
      </c>
      <c r="G7" s="297">
        <v>13880970</v>
      </c>
      <c r="H7" s="297">
        <v>3709280</v>
      </c>
      <c r="I7" s="297">
        <v>2114000</v>
      </c>
      <c r="J7" s="28">
        <f t="shared" si="5"/>
        <v>19704250</v>
      </c>
      <c r="L7" s="226">
        <v>25347843.837956324</v>
      </c>
      <c r="M7" s="56">
        <f t="shared" si="0"/>
        <v>0.18824771305682783</v>
      </c>
      <c r="N7" s="83">
        <f t="shared" si="1"/>
        <v>4771673.6334168836</v>
      </c>
      <c r="P7" s="325">
        <v>1.3082533034075798</v>
      </c>
      <c r="Q7" s="33">
        <f t="shared" si="2"/>
        <v>2114000</v>
      </c>
      <c r="R7" s="83">
        <f t="shared" si="3"/>
        <v>2765647.4834036236</v>
      </c>
    </row>
    <row r="8" spans="1:18" x14ac:dyDescent="0.25">
      <c r="A8" s="221" t="s">
        <v>414</v>
      </c>
      <c r="B8" s="297">
        <v>13002</v>
      </c>
      <c r="C8" s="297">
        <v>3634</v>
      </c>
      <c r="D8" s="297">
        <v>2114</v>
      </c>
      <c r="E8" s="28">
        <f t="shared" si="4"/>
        <v>18750</v>
      </c>
      <c r="G8" s="297">
        <v>13847714</v>
      </c>
      <c r="H8" s="297">
        <v>3695619</v>
      </c>
      <c r="I8" s="297">
        <v>2114000</v>
      </c>
      <c r="J8" s="28">
        <f t="shared" si="5"/>
        <v>19657333</v>
      </c>
      <c r="L8" s="226">
        <v>25347843.837956324</v>
      </c>
      <c r="M8" s="56">
        <f t="shared" si="0"/>
        <v>0.18800205500919173</v>
      </c>
      <c r="N8" s="83">
        <f t="shared" si="1"/>
        <v>4765446.7315878663</v>
      </c>
      <c r="P8" s="325">
        <v>1.3082533034075798</v>
      </c>
      <c r="Q8" s="33">
        <f t="shared" si="2"/>
        <v>2114000</v>
      </c>
      <c r="R8" s="83">
        <f t="shared" si="3"/>
        <v>2765647.4834036236</v>
      </c>
    </row>
    <row r="9" spans="1:18" x14ac:dyDescent="0.25">
      <c r="A9" s="221" t="s">
        <v>462</v>
      </c>
      <c r="B9" s="297">
        <v>15104</v>
      </c>
      <c r="C9" s="297">
        <v>4459</v>
      </c>
      <c r="D9" s="297">
        <v>2514</v>
      </c>
      <c r="E9" s="28">
        <f t="shared" si="4"/>
        <v>22077</v>
      </c>
      <c r="G9" s="297">
        <v>13773687</v>
      </c>
      <c r="H9" s="297">
        <v>3686647</v>
      </c>
      <c r="I9" s="297">
        <v>2147333</v>
      </c>
      <c r="J9" s="28">
        <f t="shared" si="5"/>
        <v>19607667</v>
      </c>
      <c r="L9" s="226">
        <v>25347843.837956324</v>
      </c>
      <c r="M9" s="56">
        <f t="shared" si="0"/>
        <v>0.18802068598982224</v>
      </c>
      <c r="N9" s="83">
        <f t="shared" si="1"/>
        <v>4765918.9867754364</v>
      </c>
      <c r="O9" s="52"/>
      <c r="P9" s="325">
        <v>1.3082533034075798</v>
      </c>
      <c r="Q9" s="33">
        <f t="shared" si="2"/>
        <v>2514000</v>
      </c>
      <c r="R9" s="83">
        <f t="shared" si="3"/>
        <v>3288948.8047666559</v>
      </c>
    </row>
    <row r="10" spans="1:18" x14ac:dyDescent="0.25">
      <c r="A10" s="221" t="s">
        <v>463</v>
      </c>
      <c r="B10" s="297">
        <v>16368</v>
      </c>
      <c r="C10" s="297">
        <v>4740</v>
      </c>
      <c r="D10" s="297">
        <v>2514</v>
      </c>
      <c r="E10" s="28">
        <f t="shared" si="4"/>
        <v>23622</v>
      </c>
      <c r="G10" s="297">
        <v>13816893</v>
      </c>
      <c r="H10" s="297">
        <v>3704107</v>
      </c>
      <c r="I10" s="297">
        <v>2180667</v>
      </c>
      <c r="J10" s="28">
        <f t="shared" si="5"/>
        <v>19701667</v>
      </c>
      <c r="L10" s="226">
        <v>25347843.837956324</v>
      </c>
      <c r="M10" s="56">
        <f t="shared" si="0"/>
        <v>0.18800982678267783</v>
      </c>
      <c r="N10" s="83">
        <f t="shared" si="1"/>
        <v>4765643.7292885361</v>
      </c>
      <c r="O10" s="52"/>
      <c r="P10" s="325">
        <v>1.3082533034075798</v>
      </c>
      <c r="Q10" s="33">
        <f t="shared" si="2"/>
        <v>2514000</v>
      </c>
      <c r="R10" s="83">
        <f t="shared" si="3"/>
        <v>3288948.8047666559</v>
      </c>
    </row>
    <row r="11" spans="1:18" x14ac:dyDescent="0.25">
      <c r="A11" s="221" t="s">
        <v>464</v>
      </c>
      <c r="B11" s="297">
        <v>15910</v>
      </c>
      <c r="C11" s="297">
        <v>4522</v>
      </c>
      <c r="D11" s="297">
        <v>2514</v>
      </c>
      <c r="E11" s="28">
        <f t="shared" si="4"/>
        <v>22946</v>
      </c>
      <c r="G11" s="297">
        <v>13823526</v>
      </c>
      <c r="H11" s="297">
        <v>3708391</v>
      </c>
      <c r="I11" s="297">
        <v>2214000</v>
      </c>
      <c r="J11" s="28">
        <f t="shared" si="5"/>
        <v>19745917</v>
      </c>
      <c r="L11" s="226">
        <v>25128331.510319624</v>
      </c>
      <c r="M11" s="56">
        <f t="shared" si="0"/>
        <v>0.18780545871837706</v>
      </c>
      <c r="N11" s="83">
        <f t="shared" si="1"/>
        <v>4719237.8261230253</v>
      </c>
      <c r="O11" s="52"/>
      <c r="P11" s="325">
        <v>1.2969238298000703</v>
      </c>
      <c r="Q11" s="33">
        <f t="shared" si="2"/>
        <v>2514000</v>
      </c>
      <c r="R11" s="83">
        <f t="shared" si="3"/>
        <v>3260466.5081173768</v>
      </c>
    </row>
    <row r="12" spans="1:18" x14ac:dyDescent="0.25">
      <c r="A12" s="221" t="s">
        <v>465</v>
      </c>
      <c r="B12" s="297">
        <v>14721</v>
      </c>
      <c r="C12" s="297">
        <v>4293</v>
      </c>
      <c r="D12" s="297">
        <v>2314</v>
      </c>
      <c r="E12" s="28">
        <f t="shared" si="4"/>
        <v>21328</v>
      </c>
      <c r="G12" s="297">
        <v>13802229</v>
      </c>
      <c r="H12" s="297">
        <v>3720354</v>
      </c>
      <c r="I12" s="297">
        <v>2230667</v>
      </c>
      <c r="J12" s="28">
        <f t="shared" si="5"/>
        <v>19753250</v>
      </c>
      <c r="L12" s="226">
        <v>25128331.510319624</v>
      </c>
      <c r="M12" s="56">
        <f t="shared" si="0"/>
        <v>0.18834136154809969</v>
      </c>
      <c r="N12" s="83">
        <f t="shared" si="1"/>
        <v>4732704.1700856145</v>
      </c>
      <c r="O12" s="52"/>
      <c r="P12" s="325">
        <v>1.2969238298000703</v>
      </c>
      <c r="Q12" s="33">
        <f t="shared" si="2"/>
        <v>2314000</v>
      </c>
      <c r="R12" s="83">
        <f t="shared" si="3"/>
        <v>3001081.7421573624</v>
      </c>
    </row>
    <row r="13" spans="1:18" x14ac:dyDescent="0.25">
      <c r="A13" s="221" t="s">
        <v>466</v>
      </c>
      <c r="B13" s="297">
        <v>11920</v>
      </c>
      <c r="C13" s="297">
        <v>3294</v>
      </c>
      <c r="D13" s="297">
        <v>2360</v>
      </c>
      <c r="E13" s="28">
        <f t="shared" si="4"/>
        <v>17574</v>
      </c>
      <c r="G13" s="297">
        <v>13910977</v>
      </c>
      <c r="H13" s="297">
        <v>3760690</v>
      </c>
      <c r="I13" s="297">
        <v>2251167</v>
      </c>
      <c r="J13" s="28">
        <f t="shared" si="5"/>
        <v>19922834</v>
      </c>
      <c r="L13" s="226">
        <v>25128331.510319624</v>
      </c>
      <c r="M13" s="56">
        <f t="shared" si="0"/>
        <v>0.1887628035248399</v>
      </c>
      <c r="N13" s="83">
        <f t="shared" si="1"/>
        <v>4743294.3037895067</v>
      </c>
      <c r="O13" s="52"/>
      <c r="P13" s="325">
        <v>1.2969238298000703</v>
      </c>
      <c r="Q13" s="33">
        <f t="shared" si="2"/>
        <v>2360000</v>
      </c>
      <c r="R13" s="83">
        <f t="shared" si="3"/>
        <v>3060740.2383281658</v>
      </c>
    </row>
    <row r="14" spans="1:18" x14ac:dyDescent="0.25">
      <c r="A14" s="221" t="s">
        <v>467</v>
      </c>
      <c r="B14" s="297">
        <v>11560</v>
      </c>
      <c r="C14" s="297">
        <v>3246</v>
      </c>
      <c r="D14" s="297">
        <v>2314</v>
      </c>
      <c r="E14" s="28">
        <f t="shared" si="4"/>
        <v>17120</v>
      </c>
      <c r="G14" s="297">
        <v>13847334</v>
      </c>
      <c r="H14" s="297">
        <v>3747999</v>
      </c>
      <c r="I14" s="297">
        <v>2267833</v>
      </c>
      <c r="J14" s="28">
        <f t="shared" si="5"/>
        <v>19863166</v>
      </c>
      <c r="L14" s="226">
        <v>25128331.510319624</v>
      </c>
      <c r="M14" s="56">
        <f t="shared" si="0"/>
        <v>0.18869091664440604</v>
      </c>
      <c r="N14" s="83">
        <f t="shared" si="1"/>
        <v>4741487.9064267222</v>
      </c>
      <c r="O14" s="52"/>
      <c r="P14" s="325">
        <v>1.2969238298000703</v>
      </c>
      <c r="Q14" s="33">
        <f t="shared" si="2"/>
        <v>2314000</v>
      </c>
      <c r="R14" s="83">
        <f t="shared" si="3"/>
        <v>3001081.7421573624</v>
      </c>
    </row>
    <row r="15" spans="1:18" x14ac:dyDescent="0.25">
      <c r="A15" s="221" t="s">
        <v>468</v>
      </c>
      <c r="B15" s="297">
        <v>13738</v>
      </c>
      <c r="C15" s="297">
        <v>3993</v>
      </c>
      <c r="D15" s="297">
        <v>2314</v>
      </c>
      <c r="E15" s="28">
        <f t="shared" si="4"/>
        <v>20045</v>
      </c>
      <c r="G15" s="297">
        <v>13978949</v>
      </c>
      <c r="H15" s="297">
        <v>3808301</v>
      </c>
      <c r="I15" s="297">
        <v>2284500</v>
      </c>
      <c r="J15" s="28">
        <f t="shared" si="5"/>
        <v>20071750</v>
      </c>
      <c r="L15" s="226">
        <v>25128331.510319624</v>
      </c>
      <c r="M15" s="56">
        <f t="shared" si="0"/>
        <v>0.18973437791921482</v>
      </c>
      <c r="N15" s="83">
        <f t="shared" si="1"/>
        <v>4767708.3472582977</v>
      </c>
      <c r="O15" s="52"/>
      <c r="P15" s="325">
        <v>1.2969238298000703</v>
      </c>
      <c r="Q15" s="33">
        <f t="shared" si="2"/>
        <v>2314000</v>
      </c>
      <c r="R15" s="83">
        <f t="shared" si="3"/>
        <v>3001081.7421573624</v>
      </c>
    </row>
    <row r="16" spans="1:18" x14ac:dyDescent="0.25">
      <c r="A16" s="221" t="s">
        <v>1321</v>
      </c>
      <c r="B16" s="28">
        <f>E16-D16-C16</f>
        <v>15149</v>
      </c>
      <c r="C16" s="297">
        <v>4346</v>
      </c>
      <c r="D16" s="297">
        <v>2324</v>
      </c>
      <c r="E16" s="297">
        <v>21819</v>
      </c>
      <c r="G16" s="28">
        <f>J16-I16-H16</f>
        <v>13961428.333333334</v>
      </c>
      <c r="H16" s="6">
        <f>AVERAGE(C5:C16)*1000*0.97</f>
        <v>3802238.3333333335</v>
      </c>
      <c r="I16" s="6">
        <f t="shared" ref="I16:I20" si="6">AVERAGE(D5:D16)*1000</f>
        <v>2302000</v>
      </c>
      <c r="J16" s="6">
        <f t="shared" ref="J16:J20" si="7">AVERAGE(E5:E16)*1000</f>
        <v>20065666.666666668</v>
      </c>
      <c r="L16" s="83">
        <f>Summary!$I$26/12</f>
        <v>26123448.189150896</v>
      </c>
      <c r="M16" s="56">
        <f>H16/J16</f>
        <v>0.18948975862584513</v>
      </c>
      <c r="N16" s="83">
        <f t="shared" ref="N16:N22" si="8">L16*M16</f>
        <v>4950125.8918369748</v>
      </c>
      <c r="P16" s="23">
        <f>Summary!$I$32</f>
        <v>1.344173309048778</v>
      </c>
      <c r="Q16" s="33">
        <f t="shared" ref="Q16:Q22" si="9">D16*1000</f>
        <v>2324000</v>
      </c>
      <c r="R16" s="83">
        <f t="shared" ref="R16:R22" si="10">P16*Q16</f>
        <v>3123858.7702293601</v>
      </c>
    </row>
    <row r="17" spans="1:18" x14ac:dyDescent="0.25">
      <c r="A17" s="221" t="s">
        <v>459</v>
      </c>
      <c r="B17" s="28">
        <f t="shared" ref="B17:B27" si="11">E17-D17-C17</f>
        <v>12664</v>
      </c>
      <c r="C17" s="297">
        <v>3469</v>
      </c>
      <c r="D17" s="297">
        <v>2346</v>
      </c>
      <c r="E17" s="297">
        <v>18479</v>
      </c>
      <c r="G17" s="28">
        <f t="shared" ref="G17:G20" si="12">J17-I17-H17</f>
        <v>13791062.500000002</v>
      </c>
      <c r="H17" s="6">
        <f t="shared" ref="H17:H20" si="13">AVERAGE(C6:C17)*1000*0.97</f>
        <v>3744604.1666666665</v>
      </c>
      <c r="I17" s="6">
        <f t="shared" si="6"/>
        <v>2321333.3333333335</v>
      </c>
      <c r="J17" s="6">
        <f t="shared" si="7"/>
        <v>19857000</v>
      </c>
      <c r="L17" s="83">
        <f>Summary!$I$26/12</f>
        <v>26123448.189150896</v>
      </c>
      <c r="M17" s="56">
        <f t="shared" ref="M17:M22" si="14">H17/J17</f>
        <v>0.18857854492957982</v>
      </c>
      <c r="N17" s="83">
        <f t="shared" si="8"/>
        <v>4926321.8480533427</v>
      </c>
      <c r="P17" s="23">
        <f>Summary!$I$32</f>
        <v>1.344173309048778</v>
      </c>
      <c r="Q17" s="33">
        <f t="shared" si="9"/>
        <v>2346000</v>
      </c>
      <c r="R17" s="83">
        <f t="shared" si="10"/>
        <v>3153430.5830284329</v>
      </c>
    </row>
    <row r="18" spans="1:18" x14ac:dyDescent="0.25">
      <c r="A18" s="221" t="s">
        <v>460</v>
      </c>
      <c r="B18" s="28">
        <f t="shared" si="11"/>
        <v>14002</v>
      </c>
      <c r="C18" s="297">
        <v>3927</v>
      </c>
      <c r="D18" s="297">
        <v>2346</v>
      </c>
      <c r="E18" s="297">
        <v>20275</v>
      </c>
      <c r="G18" s="28">
        <f t="shared" si="12"/>
        <v>13970132.499999998</v>
      </c>
      <c r="H18" s="6">
        <f t="shared" si="13"/>
        <v>3811534.1666666665</v>
      </c>
      <c r="I18" s="6">
        <f t="shared" si="6"/>
        <v>2340666.6666666665</v>
      </c>
      <c r="J18" s="6">
        <f t="shared" si="7"/>
        <v>20122333.333333332</v>
      </c>
      <c r="L18" s="83">
        <f>Summary!$I$26/12</f>
        <v>26123448.189150896</v>
      </c>
      <c r="M18" s="56">
        <f t="shared" si="14"/>
        <v>0.18941810094919409</v>
      </c>
      <c r="N18" s="83">
        <f t="shared" si="8"/>
        <v>4948253.9462336255</v>
      </c>
      <c r="P18" s="23">
        <f>Summary!$I$32</f>
        <v>1.344173309048778</v>
      </c>
      <c r="Q18" s="33">
        <f t="shared" si="9"/>
        <v>2346000</v>
      </c>
      <c r="R18" s="83">
        <f t="shared" si="10"/>
        <v>3153430.5830284329</v>
      </c>
    </row>
    <row r="19" spans="1:18" x14ac:dyDescent="0.25">
      <c r="A19" s="221" t="s">
        <v>461</v>
      </c>
      <c r="B19" s="28">
        <f t="shared" si="11"/>
        <v>11645</v>
      </c>
      <c r="C19" s="297">
        <v>3355</v>
      </c>
      <c r="D19" s="297">
        <v>2333</v>
      </c>
      <c r="E19" s="297">
        <v>17333</v>
      </c>
      <c r="G19" s="28">
        <f t="shared" si="12"/>
        <v>13933444.999999998</v>
      </c>
      <c r="H19" s="6">
        <f t="shared" si="13"/>
        <v>3821638.3333333335</v>
      </c>
      <c r="I19" s="6">
        <f t="shared" si="6"/>
        <v>2358916.6666666665</v>
      </c>
      <c r="J19" s="6">
        <f t="shared" si="7"/>
        <v>20114000</v>
      </c>
      <c r="L19" s="83">
        <f>Summary!$I$26/12</f>
        <v>26123448.189150896</v>
      </c>
      <c r="M19" s="56">
        <f t="shared" si="14"/>
        <v>0.18999892280666866</v>
      </c>
      <c r="N19" s="83">
        <f t="shared" si="8"/>
        <v>4963427.0159344897</v>
      </c>
      <c r="P19" s="23">
        <f>Summary!$I$32</f>
        <v>1.344173309048778</v>
      </c>
      <c r="Q19" s="33">
        <f t="shared" si="9"/>
        <v>2333000</v>
      </c>
      <c r="R19" s="83">
        <f t="shared" si="10"/>
        <v>3135956.3300107988</v>
      </c>
    </row>
    <row r="20" spans="1:18" x14ac:dyDescent="0.25">
      <c r="A20" s="221" t="s">
        <v>414</v>
      </c>
      <c r="B20" s="28">
        <f t="shared" si="11"/>
        <v>13380</v>
      </c>
      <c r="C20" s="297">
        <v>3622</v>
      </c>
      <c r="D20" s="297">
        <v>2346</v>
      </c>
      <c r="E20" s="297">
        <v>19348</v>
      </c>
      <c r="G20" s="28">
        <f t="shared" si="12"/>
        <v>13964914.999999998</v>
      </c>
      <c r="H20" s="6">
        <f t="shared" si="13"/>
        <v>3820668.3333333335</v>
      </c>
      <c r="I20" s="6">
        <f t="shared" si="6"/>
        <v>2378250</v>
      </c>
      <c r="J20" s="6">
        <f t="shared" si="7"/>
        <v>20163833.333333332</v>
      </c>
      <c r="L20" s="83">
        <f>Summary!$I$26/12</f>
        <v>26123448.189150896</v>
      </c>
      <c r="M20" s="56">
        <f t="shared" si="14"/>
        <v>0.18948124943173836</v>
      </c>
      <c r="N20" s="83">
        <f t="shared" si="8"/>
        <v>4949903.6023455942</v>
      </c>
      <c r="P20" s="23">
        <f>Summary!$I$32</f>
        <v>1.344173309048778</v>
      </c>
      <c r="Q20" s="33">
        <f t="shared" si="9"/>
        <v>2346000</v>
      </c>
      <c r="R20" s="83">
        <f t="shared" si="10"/>
        <v>3153430.5830284329</v>
      </c>
    </row>
    <row r="21" spans="1:18" x14ac:dyDescent="0.25">
      <c r="A21" s="221" t="s">
        <v>462</v>
      </c>
      <c r="B21" s="28">
        <f t="shared" si="11"/>
        <v>14586</v>
      </c>
      <c r="C21" s="297">
        <v>4054</v>
      </c>
      <c r="D21" s="297">
        <v>2094</v>
      </c>
      <c r="E21" s="297">
        <v>20734</v>
      </c>
      <c r="G21" s="28">
        <f t="shared" ref="G21:G27" si="15">J21-I21-H21</f>
        <v>13920735.833333334</v>
      </c>
      <c r="H21" s="6">
        <f>AVERAGE(C10:C21)*1000*0.97</f>
        <v>3787930.8333333335</v>
      </c>
      <c r="I21" s="6">
        <f t="shared" ref="I21:J27" si="16">AVERAGE(D10:D21)*1000</f>
        <v>2343250</v>
      </c>
      <c r="J21" s="6">
        <f t="shared" si="16"/>
        <v>20051916.666666668</v>
      </c>
      <c r="L21" s="83">
        <f>Summary!$I$26/12</f>
        <v>26123448.189150896</v>
      </c>
      <c r="M21" s="56">
        <f t="shared" si="14"/>
        <v>0.18890617272663046</v>
      </c>
      <c r="N21" s="83">
        <f t="shared" si="8"/>
        <v>4934880.6158349207</v>
      </c>
      <c r="P21" s="23">
        <f>Summary!$I$32</f>
        <v>1.344173309048778</v>
      </c>
      <c r="Q21" s="33">
        <f t="shared" si="9"/>
        <v>2094000</v>
      </c>
      <c r="R21" s="83">
        <f t="shared" si="10"/>
        <v>2814698.9091481413</v>
      </c>
    </row>
    <row r="22" spans="1:18" x14ac:dyDescent="0.25">
      <c r="A22" s="221" t="s">
        <v>463</v>
      </c>
      <c r="B22" s="28">
        <f t="shared" si="11"/>
        <v>15619</v>
      </c>
      <c r="C22" s="297">
        <v>4540</v>
      </c>
      <c r="D22" s="297">
        <v>2146</v>
      </c>
      <c r="E22" s="297">
        <v>22305</v>
      </c>
      <c r="G22" s="28">
        <f t="shared" si="15"/>
        <v>13857819.16666667</v>
      </c>
      <c r="H22" s="6">
        <f t="shared" ref="H22:H27" si="17">AVERAGE(C11:C22)*1000*0.97</f>
        <v>3771764.1666666665</v>
      </c>
      <c r="I22" s="6">
        <f t="shared" si="16"/>
        <v>2312583.3333333335</v>
      </c>
      <c r="J22" s="6">
        <f t="shared" si="16"/>
        <v>19942166.666666668</v>
      </c>
      <c r="L22" s="83">
        <f>Summary!$I$26/12</f>
        <v>26123448.189150896</v>
      </c>
      <c r="M22" s="56">
        <f t="shared" si="14"/>
        <v>0.18913512406709398</v>
      </c>
      <c r="N22" s="83">
        <f t="shared" si="8"/>
        <v>4940861.6143153561</v>
      </c>
      <c r="P22" s="23">
        <f>Summary!$I$32</f>
        <v>1.344173309048778</v>
      </c>
      <c r="Q22" s="33">
        <f t="shared" si="9"/>
        <v>2146000</v>
      </c>
      <c r="R22" s="83">
        <f t="shared" si="10"/>
        <v>2884595.9212186774</v>
      </c>
    </row>
    <row r="23" spans="1:18" x14ac:dyDescent="0.25">
      <c r="A23" s="221" t="s">
        <v>464</v>
      </c>
      <c r="B23" s="28">
        <f t="shared" si="11"/>
        <v>15790</v>
      </c>
      <c r="C23" s="297">
        <v>4557</v>
      </c>
      <c r="D23" s="297">
        <v>2146</v>
      </c>
      <c r="E23" s="297">
        <v>22493</v>
      </c>
      <c r="G23" s="28">
        <f t="shared" si="15"/>
        <v>13847906.666666666</v>
      </c>
      <c r="H23" s="6">
        <f t="shared" si="17"/>
        <v>3774593.3333333335</v>
      </c>
      <c r="I23" s="6">
        <f t="shared" si="16"/>
        <v>2281916.6666666665</v>
      </c>
      <c r="J23" s="6">
        <f t="shared" si="16"/>
        <v>19904416.666666668</v>
      </c>
      <c r="L23" s="83">
        <f>Summary!$K$26/12</f>
        <v>26115779.857979912</v>
      </c>
      <c r="M23" s="56">
        <f t="shared" ref="M23:M27" si="18">H23/J23</f>
        <v>0.18963596856644044</v>
      </c>
      <c r="N23" s="83">
        <f t="shared" ref="N23:N27" si="19">L23*M23</f>
        <v>4952491.2082359567</v>
      </c>
      <c r="P23" s="23">
        <f>Summary!$K$32</f>
        <v>1.3437787376273354</v>
      </c>
      <c r="Q23" s="33">
        <f t="shared" ref="Q23:Q27" si="20">D23*1000</f>
        <v>2146000</v>
      </c>
      <c r="R23" s="83">
        <f t="shared" ref="R23:R27" si="21">P23*Q23</f>
        <v>2883749.1709482619</v>
      </c>
    </row>
    <row r="24" spans="1:18" x14ac:dyDescent="0.25">
      <c r="A24" s="221" t="s">
        <v>465</v>
      </c>
      <c r="B24" s="28">
        <f t="shared" si="11"/>
        <v>14114</v>
      </c>
      <c r="C24" s="297">
        <v>3929</v>
      </c>
      <c r="D24" s="297">
        <v>2146</v>
      </c>
      <c r="E24" s="297">
        <v>20189</v>
      </c>
      <c r="G24" s="28">
        <f t="shared" si="15"/>
        <v>13796413.333333332</v>
      </c>
      <c r="H24" s="6">
        <f t="shared" si="17"/>
        <v>3745170</v>
      </c>
      <c r="I24" s="6">
        <f t="shared" si="16"/>
        <v>2267916.6666666665</v>
      </c>
      <c r="J24" s="6">
        <f t="shared" si="16"/>
        <v>19809500</v>
      </c>
      <c r="L24" s="83">
        <f>Summary!$K$26/12</f>
        <v>26115779.857979912</v>
      </c>
      <c r="M24" s="56">
        <f t="shared" si="18"/>
        <v>0.18905928973472325</v>
      </c>
      <c r="N24" s="83">
        <f t="shared" si="19"/>
        <v>4937430.7908180738</v>
      </c>
      <c r="P24" s="23">
        <f>Summary!$K$32</f>
        <v>1.3437787376273354</v>
      </c>
      <c r="Q24" s="33">
        <f t="shared" si="20"/>
        <v>2146000</v>
      </c>
      <c r="R24" s="83">
        <f t="shared" si="21"/>
        <v>2883749.1709482619</v>
      </c>
    </row>
    <row r="25" spans="1:18" x14ac:dyDescent="0.25">
      <c r="A25" s="221" t="s">
        <v>466</v>
      </c>
      <c r="B25" s="28">
        <f>E25-D25-C25</f>
        <v>13676</v>
      </c>
      <c r="C25" s="297">
        <v>3784</v>
      </c>
      <c r="D25" s="297">
        <v>2146</v>
      </c>
      <c r="E25" s="297">
        <v>19606</v>
      </c>
      <c r="G25" s="28">
        <f t="shared" si="15"/>
        <v>13943971.666666666</v>
      </c>
      <c r="H25" s="6">
        <f t="shared" si="17"/>
        <v>3784778.3333333335</v>
      </c>
      <c r="I25" s="6">
        <f t="shared" si="16"/>
        <v>2250083.3333333335</v>
      </c>
      <c r="J25" s="6">
        <f t="shared" si="16"/>
        <v>19978833.333333332</v>
      </c>
      <c r="L25" s="83">
        <f>Summary!$K$26/12</f>
        <v>26115779.857979912</v>
      </c>
      <c r="M25" s="56">
        <f t="shared" si="18"/>
        <v>0.18943940670542994</v>
      </c>
      <c r="N25" s="83">
        <f t="shared" si="19"/>
        <v>4947357.8419453315</v>
      </c>
      <c r="P25" s="23">
        <f>Summary!$K$32</f>
        <v>1.3437787376273354</v>
      </c>
      <c r="Q25" s="33">
        <f t="shared" si="20"/>
        <v>2146000</v>
      </c>
      <c r="R25" s="83">
        <f t="shared" si="21"/>
        <v>2883749.1709482619</v>
      </c>
    </row>
    <row r="26" spans="1:18" x14ac:dyDescent="0.25">
      <c r="A26" s="221" t="s">
        <v>467</v>
      </c>
      <c r="B26" s="28">
        <f t="shared" si="11"/>
        <v>12126</v>
      </c>
      <c r="C26" s="297">
        <v>3325</v>
      </c>
      <c r="D26" s="297">
        <v>2132</v>
      </c>
      <c r="E26" s="297">
        <v>17583</v>
      </c>
      <c r="G26" s="28">
        <f t="shared" si="15"/>
        <v>13991335.833333334</v>
      </c>
      <c r="H26" s="6">
        <f t="shared" si="17"/>
        <v>3791164.1666666665</v>
      </c>
      <c r="I26" s="6">
        <f t="shared" si="16"/>
        <v>2234916.6666666665</v>
      </c>
      <c r="J26" s="6">
        <f t="shared" si="16"/>
        <v>20017416.666666668</v>
      </c>
      <c r="L26" s="83">
        <f>Summary!$K$26/12</f>
        <v>26115779.857979912</v>
      </c>
      <c r="M26" s="56">
        <f t="shared" si="18"/>
        <v>0.18939327835343386</v>
      </c>
      <c r="N26" s="83">
        <f t="shared" si="19"/>
        <v>4946153.1640593912</v>
      </c>
      <c r="P26" s="23">
        <f>Summary!$K$32</f>
        <v>1.3437787376273354</v>
      </c>
      <c r="Q26" s="33">
        <f t="shared" si="20"/>
        <v>2132000</v>
      </c>
      <c r="R26" s="83">
        <f t="shared" si="21"/>
        <v>2864936.2686214792</v>
      </c>
    </row>
    <row r="27" spans="1:18" x14ac:dyDescent="0.25">
      <c r="A27" s="221" t="s">
        <v>468</v>
      </c>
      <c r="B27" s="28">
        <f t="shared" si="11"/>
        <v>13582</v>
      </c>
      <c r="C27" s="297">
        <v>3804</v>
      </c>
      <c r="D27" s="297">
        <v>2146</v>
      </c>
      <c r="E27" s="297">
        <v>19532</v>
      </c>
      <c r="G27" s="28">
        <f t="shared" si="15"/>
        <v>13977863.333333334</v>
      </c>
      <c r="H27" s="6">
        <f t="shared" si="17"/>
        <v>3775886.6666666665</v>
      </c>
      <c r="I27" s="6">
        <f t="shared" si="16"/>
        <v>2220916.6666666665</v>
      </c>
      <c r="J27" s="6">
        <f t="shared" si="16"/>
        <v>19974666.666666668</v>
      </c>
      <c r="L27" s="83">
        <f>Summary!$K$26/12</f>
        <v>26115779.857979912</v>
      </c>
      <c r="M27" s="56">
        <f t="shared" si="18"/>
        <v>0.18903377611641412</v>
      </c>
      <c r="N27" s="83">
        <f t="shared" si="19"/>
        <v>4936764.482778932</v>
      </c>
      <c r="P27" s="23">
        <f>Summary!$K$32</f>
        <v>1.3437787376273354</v>
      </c>
      <c r="Q27" s="33">
        <f t="shared" si="20"/>
        <v>2146000</v>
      </c>
      <c r="R27" s="83">
        <f t="shared" si="21"/>
        <v>2883749.1709482619</v>
      </c>
    </row>
    <row r="28" spans="1:18" x14ac:dyDescent="0.25">
      <c r="B28" s="6"/>
      <c r="C28" s="6"/>
      <c r="D28" s="6"/>
      <c r="E28" s="6"/>
      <c r="G28" s="6"/>
      <c r="H28" s="6"/>
      <c r="I28" s="6"/>
      <c r="J28" s="33"/>
      <c r="L28" s="35"/>
      <c r="M28" s="35"/>
      <c r="N28" s="35"/>
      <c r="Q28" s="39"/>
    </row>
    <row r="29" spans="1:18" x14ac:dyDescent="0.25">
      <c r="A29" s="221" t="s">
        <v>469</v>
      </c>
      <c r="D29" s="128">
        <f>SUM(D16:D27)*1000</f>
        <v>26651000</v>
      </c>
      <c r="E29" s="128">
        <f>SUM(E16:E27)*1000</f>
        <v>239696000</v>
      </c>
      <c r="H29" s="128">
        <f>SUM(H16:H28)</f>
        <v>45431970.833333328</v>
      </c>
      <c r="J29" s="128">
        <f>SUM(J16:J28)</f>
        <v>240001749.99999997</v>
      </c>
      <c r="N29" s="129">
        <f>SUM(N16:N28)</f>
        <v>59333972.02239199</v>
      </c>
      <c r="Q29" s="130">
        <f>SUM(Q16:Q28)</f>
        <v>26651000</v>
      </c>
      <c r="R29" s="129">
        <f>SUM(R16:R28)</f>
        <v>35819334.632106803</v>
      </c>
    </row>
    <row r="31" spans="1:18" x14ac:dyDescent="0.25">
      <c r="A31" s="221" t="s">
        <v>527</v>
      </c>
      <c r="E31" s="56">
        <f>D29/E29</f>
        <v>0.11118666978172352</v>
      </c>
      <c r="J31" s="56">
        <f>H29/J29</f>
        <v>0.18929849817067307</v>
      </c>
    </row>
    <row r="32" spans="1:18" x14ac:dyDescent="0.25">
      <c r="A32" s="221" t="s">
        <v>526</v>
      </c>
      <c r="L32" s="39"/>
      <c r="N32" s="23"/>
    </row>
    <row r="34" spans="5:7" x14ac:dyDescent="0.25">
      <c r="E34" s="33"/>
      <c r="G34" s="33"/>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90" fitToPage="1">
      <selection activeCell="M36" sqref="M36"/>
      <pageMargins left="0.7" right="0.7" top="0.75" bottom="0.75" header="0.3" footer="0.3"/>
      <pageSetup scale="33" orientation="portrait" r:id="rId1"/>
      <headerFooter>
        <oddFooter>&amp;L&amp;Z&amp;F</oddFooter>
      </headerFooter>
    </customSheetView>
    <customSheetView guid="{C0F5889E-F852-4CB9-B477-759ADBCFF6D5}" scale="90" fitToPage="1">
      <selection activeCell="M36" sqref="M36"/>
      <pageMargins left="0.7" right="0.7" top="0.75" bottom="0.75" header="0.3" footer="0.3"/>
      <pageSetup scale="33" orientation="portrait" r:id="rId2"/>
      <headerFooter>
        <oddFooter>&amp;L&amp;Z&amp;F</oddFooter>
      </headerFooter>
    </customSheetView>
  </customSheetViews>
  <mergeCells count="4">
    <mergeCell ref="B2:E2"/>
    <mergeCell ref="G2:J2"/>
    <mergeCell ref="L2:N2"/>
    <mergeCell ref="P2:R2"/>
  </mergeCells>
  <pageMargins left="0.7" right="0.7" top="0.75" bottom="0.75" header="0.3" footer="0.3"/>
  <pageSetup scale="33" orientation="portrait" r:id="rId3"/>
  <headerFooter>
    <oddFooter>&amp;L&amp;Z&amp;F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96"/>
  <sheetViews>
    <sheetView zoomScale="80" zoomScaleNormal="80" workbookViewId="0"/>
  </sheetViews>
  <sheetFormatPr defaultRowHeight="15" x14ac:dyDescent="0.25"/>
  <cols>
    <col min="1" max="1" width="22.140625" style="221" customWidth="1"/>
    <col min="2" max="2" width="18.7109375" style="221" customWidth="1"/>
    <col min="3" max="3" width="18" style="221" customWidth="1"/>
    <col min="4" max="4" width="20.140625" style="221" customWidth="1"/>
    <col min="5" max="5" width="14.7109375" style="221" bestFit="1" customWidth="1"/>
    <col min="6" max="6" width="1.7109375" style="221" customWidth="1"/>
    <col min="7" max="7" width="20.85546875" style="221" customWidth="1"/>
    <col min="8" max="9" width="16" style="221" customWidth="1"/>
    <col min="10" max="10" width="14.140625" style="221" bestFit="1" customWidth="1"/>
    <col min="11" max="11" width="1.7109375" style="221" customWidth="1"/>
    <col min="12" max="12" width="15.42578125" style="221" bestFit="1" customWidth="1"/>
    <col min="13" max="13" width="12.5703125" style="221" customWidth="1"/>
    <col min="14" max="14" width="28" style="221" bestFit="1" customWidth="1"/>
    <col min="15" max="15" width="1.7109375" style="1" customWidth="1"/>
    <col min="16" max="17" width="16.28515625" style="221" bestFit="1" customWidth="1"/>
    <col min="18" max="18" width="20.85546875" style="221" bestFit="1" customWidth="1"/>
    <col min="19" max="19" width="1.7109375" style="221" customWidth="1"/>
    <col min="20" max="16384" width="9.140625" style="221"/>
  </cols>
  <sheetData>
    <row r="1" spans="1:18" ht="15.75" thickBot="1" x14ac:dyDescent="0.3">
      <c r="A1" s="11" t="s">
        <v>754</v>
      </c>
    </row>
    <row r="2" spans="1:18" ht="15.75" customHeight="1" thickBot="1" x14ac:dyDescent="0.3">
      <c r="B2" s="338" t="s">
        <v>455</v>
      </c>
      <c r="C2" s="339"/>
      <c r="D2" s="339"/>
      <c r="E2" s="340"/>
      <c r="G2" s="338" t="s">
        <v>1078</v>
      </c>
      <c r="H2" s="339"/>
      <c r="I2" s="339"/>
      <c r="J2" s="340"/>
      <c r="L2" s="338" t="s">
        <v>766</v>
      </c>
      <c r="M2" s="339"/>
      <c r="N2" s="340"/>
      <c r="P2" s="338" t="s">
        <v>765</v>
      </c>
      <c r="Q2" s="339"/>
      <c r="R2" s="340"/>
    </row>
    <row r="3" spans="1:18" ht="99.75" customHeight="1" thickBot="1" x14ac:dyDescent="0.3">
      <c r="B3" s="121" t="s">
        <v>456</v>
      </c>
      <c r="C3" s="121" t="s">
        <v>457</v>
      </c>
      <c r="D3" s="121" t="s">
        <v>458</v>
      </c>
      <c r="E3" s="122" t="s">
        <v>133</v>
      </c>
      <c r="F3" s="76"/>
      <c r="G3" s="123" t="s">
        <v>456</v>
      </c>
      <c r="H3" s="123" t="s">
        <v>1079</v>
      </c>
      <c r="I3" s="123" t="s">
        <v>458</v>
      </c>
      <c r="J3" s="124" t="s">
        <v>133</v>
      </c>
      <c r="K3" s="76"/>
      <c r="L3" s="125" t="s">
        <v>471</v>
      </c>
      <c r="M3" s="59" t="s">
        <v>472</v>
      </c>
      <c r="N3" s="126" t="s">
        <v>494</v>
      </c>
      <c r="O3" s="127"/>
      <c r="P3" s="58" t="s">
        <v>474</v>
      </c>
      <c r="Q3" s="59" t="s">
        <v>475</v>
      </c>
      <c r="R3" s="126" t="s">
        <v>494</v>
      </c>
    </row>
    <row r="4" spans="1:18" x14ac:dyDescent="0.25">
      <c r="A4" s="221" t="s">
        <v>1320</v>
      </c>
      <c r="B4" s="297">
        <v>15357</v>
      </c>
      <c r="C4" s="297">
        <v>4421</v>
      </c>
      <c r="D4" s="297">
        <v>2114</v>
      </c>
      <c r="E4" s="28">
        <f>B4+C4+D4</f>
        <v>21892</v>
      </c>
      <c r="G4" s="297">
        <v>14050757</v>
      </c>
      <c r="H4" s="297">
        <v>3777827</v>
      </c>
      <c r="I4" s="297">
        <v>2114000</v>
      </c>
      <c r="J4" s="28">
        <f>G4+H4+I4</f>
        <v>19942584</v>
      </c>
      <c r="L4" s="226">
        <v>616926.94644840399</v>
      </c>
      <c r="M4" s="56">
        <f t="shared" ref="M4:M15" si="0">H4/J4</f>
        <v>0.18943518051622599</v>
      </c>
      <c r="N4" s="26">
        <f t="shared" ref="N4:N15" si="1">L4*M4</f>
        <v>116867.6674657775</v>
      </c>
      <c r="P4" s="325">
        <v>3.1669999999999997E-2</v>
      </c>
      <c r="Q4" s="202">
        <f t="shared" ref="Q4:Q15" si="2">D4*1000</f>
        <v>2114000</v>
      </c>
      <c r="R4" s="83">
        <f>P4*Q4</f>
        <v>66950.37999999999</v>
      </c>
    </row>
    <row r="5" spans="1:18" x14ac:dyDescent="0.25">
      <c r="A5" s="221" t="s">
        <v>459</v>
      </c>
      <c r="B5" s="297">
        <v>14687</v>
      </c>
      <c r="C5" s="297">
        <v>4182</v>
      </c>
      <c r="D5" s="297">
        <v>2114</v>
      </c>
      <c r="E5" s="28">
        <f t="shared" ref="E5:E15" si="3">B5+C5+D5</f>
        <v>20983</v>
      </c>
      <c r="G5" s="297">
        <v>13876096</v>
      </c>
      <c r="H5" s="297">
        <v>3710654</v>
      </c>
      <c r="I5" s="297">
        <v>2114000</v>
      </c>
      <c r="J5" s="28">
        <f t="shared" ref="J5:J15" si="4">G5+H5+I5</f>
        <v>19700750</v>
      </c>
      <c r="L5" s="226">
        <v>616926.94644840399</v>
      </c>
      <c r="M5" s="56">
        <f t="shared" si="0"/>
        <v>0.18835090034643351</v>
      </c>
      <c r="N5" s="26">
        <f t="shared" si="1"/>
        <v>116198.74581153286</v>
      </c>
      <c r="P5" s="325">
        <v>3.1669999999999997E-2</v>
      </c>
      <c r="Q5" s="202">
        <f t="shared" si="2"/>
        <v>2114000</v>
      </c>
      <c r="R5" s="83">
        <f t="shared" ref="R5:R15" si="5">P5*Q5</f>
        <v>66950.37999999999</v>
      </c>
    </row>
    <row r="6" spans="1:18" x14ac:dyDescent="0.25">
      <c r="A6" s="221" t="s">
        <v>460</v>
      </c>
      <c r="B6" s="297">
        <v>11878</v>
      </c>
      <c r="C6" s="297">
        <v>3099</v>
      </c>
      <c r="D6" s="297">
        <v>2114</v>
      </c>
      <c r="E6" s="28">
        <f t="shared" si="3"/>
        <v>17091</v>
      </c>
      <c r="G6" s="297">
        <v>13773993</v>
      </c>
      <c r="H6" s="297">
        <v>3675007</v>
      </c>
      <c r="I6" s="297">
        <v>2114000</v>
      </c>
      <c r="J6" s="28">
        <f t="shared" si="4"/>
        <v>19563000</v>
      </c>
      <c r="L6" s="226">
        <v>616926.94644840399</v>
      </c>
      <c r="M6" s="56">
        <f t="shared" si="0"/>
        <v>0.18785498134232992</v>
      </c>
      <c r="N6" s="26">
        <f t="shared" si="1"/>
        <v>115892.8000146455</v>
      </c>
      <c r="P6" s="325">
        <v>3.1669999999999997E-2</v>
      </c>
      <c r="Q6" s="202">
        <f t="shared" si="2"/>
        <v>2114000</v>
      </c>
      <c r="R6" s="83">
        <f t="shared" si="5"/>
        <v>66950.37999999999</v>
      </c>
    </row>
    <row r="7" spans="1:18" x14ac:dyDescent="0.25">
      <c r="A7" s="221" t="s">
        <v>461</v>
      </c>
      <c r="B7" s="297">
        <v>12089</v>
      </c>
      <c r="C7" s="297">
        <v>3230</v>
      </c>
      <c r="D7" s="297">
        <v>2114</v>
      </c>
      <c r="E7" s="28">
        <f t="shared" si="3"/>
        <v>17433</v>
      </c>
      <c r="G7" s="297">
        <v>13880970</v>
      </c>
      <c r="H7" s="297">
        <v>3709280</v>
      </c>
      <c r="I7" s="297">
        <v>2114000</v>
      </c>
      <c r="J7" s="28">
        <f t="shared" si="4"/>
        <v>19704250</v>
      </c>
      <c r="L7" s="226">
        <v>616926.94644840399</v>
      </c>
      <c r="M7" s="56">
        <f t="shared" si="0"/>
        <v>0.18824771305682783</v>
      </c>
      <c r="N7" s="26">
        <f t="shared" si="1"/>
        <v>116135.08679204414</v>
      </c>
      <c r="P7" s="325">
        <v>3.1669999999999997E-2</v>
      </c>
      <c r="Q7" s="202">
        <f t="shared" si="2"/>
        <v>2114000</v>
      </c>
      <c r="R7" s="83">
        <f t="shared" si="5"/>
        <v>66950.37999999999</v>
      </c>
    </row>
    <row r="8" spans="1:18" x14ac:dyDescent="0.25">
      <c r="A8" s="221" t="s">
        <v>414</v>
      </c>
      <c r="B8" s="297">
        <v>13002</v>
      </c>
      <c r="C8" s="297">
        <v>3634</v>
      </c>
      <c r="D8" s="297">
        <v>2114</v>
      </c>
      <c r="E8" s="28">
        <f t="shared" si="3"/>
        <v>18750</v>
      </c>
      <c r="G8" s="297">
        <v>13847714</v>
      </c>
      <c r="H8" s="297">
        <v>3695619</v>
      </c>
      <c r="I8" s="297">
        <v>2114000</v>
      </c>
      <c r="J8" s="28">
        <f t="shared" si="4"/>
        <v>19657333</v>
      </c>
      <c r="L8" s="226">
        <v>616926.94644840399</v>
      </c>
      <c r="M8" s="56">
        <f t="shared" si="0"/>
        <v>0.18800205500919173</v>
      </c>
      <c r="N8" s="26">
        <f t="shared" si="1"/>
        <v>115983.53372284553</v>
      </c>
      <c r="P8" s="325">
        <v>3.1669999999999997E-2</v>
      </c>
      <c r="Q8" s="202">
        <f t="shared" si="2"/>
        <v>2114000</v>
      </c>
      <c r="R8" s="83">
        <f t="shared" si="5"/>
        <v>66950.37999999999</v>
      </c>
    </row>
    <row r="9" spans="1:18" x14ac:dyDescent="0.25">
      <c r="A9" s="221" t="s">
        <v>462</v>
      </c>
      <c r="B9" s="297">
        <v>15104</v>
      </c>
      <c r="C9" s="297">
        <v>4459</v>
      </c>
      <c r="D9" s="297">
        <v>2514</v>
      </c>
      <c r="E9" s="28">
        <f t="shared" si="3"/>
        <v>22077</v>
      </c>
      <c r="G9" s="297">
        <v>13773687</v>
      </c>
      <c r="H9" s="297">
        <v>3686647</v>
      </c>
      <c r="I9" s="297">
        <v>2147333</v>
      </c>
      <c r="J9" s="28">
        <f t="shared" si="4"/>
        <v>19607667</v>
      </c>
      <c r="L9" s="226">
        <v>616926.94644840399</v>
      </c>
      <c r="M9" s="56">
        <f t="shared" si="0"/>
        <v>0.18802068598982224</v>
      </c>
      <c r="N9" s="26">
        <f t="shared" si="1"/>
        <v>115995.02767683525</v>
      </c>
      <c r="P9" s="325">
        <v>3.1669999999999997E-2</v>
      </c>
      <c r="Q9" s="202">
        <f t="shared" si="2"/>
        <v>2514000</v>
      </c>
      <c r="R9" s="83">
        <f t="shared" si="5"/>
        <v>79618.37999999999</v>
      </c>
    </row>
    <row r="10" spans="1:18" x14ac:dyDescent="0.25">
      <c r="A10" s="221" t="s">
        <v>463</v>
      </c>
      <c r="B10" s="297">
        <v>16368</v>
      </c>
      <c r="C10" s="297">
        <v>4740</v>
      </c>
      <c r="D10" s="297">
        <v>2514</v>
      </c>
      <c r="E10" s="28">
        <f t="shared" si="3"/>
        <v>23622</v>
      </c>
      <c r="G10" s="297">
        <v>13816893</v>
      </c>
      <c r="H10" s="297">
        <v>3704107</v>
      </c>
      <c r="I10" s="297">
        <v>2180667</v>
      </c>
      <c r="J10" s="28">
        <f t="shared" si="4"/>
        <v>19701667</v>
      </c>
      <c r="L10" s="226">
        <v>616926.94644840399</v>
      </c>
      <c r="M10" s="56">
        <f t="shared" si="0"/>
        <v>0.18800982678267783</v>
      </c>
      <c r="N10" s="26">
        <f t="shared" si="1"/>
        <v>115988.32833933079</v>
      </c>
      <c r="P10" s="325">
        <v>3.1669999999999997E-2</v>
      </c>
      <c r="Q10" s="202">
        <f t="shared" si="2"/>
        <v>2514000</v>
      </c>
      <c r="R10" s="83">
        <f t="shared" si="5"/>
        <v>79618.37999999999</v>
      </c>
    </row>
    <row r="11" spans="1:18" x14ac:dyDescent="0.25">
      <c r="A11" s="221" t="s">
        <v>464</v>
      </c>
      <c r="B11" s="297">
        <v>15910</v>
      </c>
      <c r="C11" s="297">
        <v>4522</v>
      </c>
      <c r="D11" s="297">
        <v>2514</v>
      </c>
      <c r="E11" s="28">
        <f t="shared" si="3"/>
        <v>22946</v>
      </c>
      <c r="G11" s="297">
        <v>13823526</v>
      </c>
      <c r="H11" s="297">
        <v>3708391</v>
      </c>
      <c r="I11" s="297">
        <v>2214000</v>
      </c>
      <c r="J11" s="28">
        <f t="shared" si="4"/>
        <v>19745917</v>
      </c>
      <c r="L11" s="226">
        <v>611584.35909216094</v>
      </c>
      <c r="M11" s="56">
        <f t="shared" si="0"/>
        <v>0.18780545871837706</v>
      </c>
      <c r="N11" s="26">
        <f t="shared" si="1"/>
        <v>114858.88110428792</v>
      </c>
      <c r="P11" s="325">
        <v>3.1669999999999997E-2</v>
      </c>
      <c r="Q11" s="202">
        <f t="shared" si="2"/>
        <v>2514000</v>
      </c>
      <c r="R11" s="83">
        <f t="shared" si="5"/>
        <v>79618.37999999999</v>
      </c>
    </row>
    <row r="12" spans="1:18" x14ac:dyDescent="0.25">
      <c r="A12" s="221" t="s">
        <v>465</v>
      </c>
      <c r="B12" s="297">
        <v>14721</v>
      </c>
      <c r="C12" s="297">
        <v>4293</v>
      </c>
      <c r="D12" s="297">
        <v>2314</v>
      </c>
      <c r="E12" s="28">
        <f t="shared" si="3"/>
        <v>21328</v>
      </c>
      <c r="G12" s="297">
        <v>13802229</v>
      </c>
      <c r="H12" s="297">
        <v>3720354</v>
      </c>
      <c r="I12" s="297">
        <v>2230667</v>
      </c>
      <c r="J12" s="28">
        <f t="shared" si="4"/>
        <v>19753250</v>
      </c>
      <c r="L12" s="226">
        <v>611584.35909216094</v>
      </c>
      <c r="M12" s="56">
        <f t="shared" si="0"/>
        <v>0.18834136154809969</v>
      </c>
      <c r="N12" s="26">
        <f t="shared" si="1"/>
        <v>115186.63089293952</v>
      </c>
      <c r="P12" s="325">
        <v>3.1669999999999997E-2</v>
      </c>
      <c r="Q12" s="202">
        <f t="shared" si="2"/>
        <v>2314000</v>
      </c>
      <c r="R12" s="83">
        <f t="shared" si="5"/>
        <v>73284.37999999999</v>
      </c>
    </row>
    <row r="13" spans="1:18" x14ac:dyDescent="0.25">
      <c r="A13" s="221" t="s">
        <v>466</v>
      </c>
      <c r="B13" s="297">
        <v>11920</v>
      </c>
      <c r="C13" s="297">
        <v>3294</v>
      </c>
      <c r="D13" s="297">
        <v>2360</v>
      </c>
      <c r="E13" s="28">
        <f t="shared" si="3"/>
        <v>17574</v>
      </c>
      <c r="G13" s="297">
        <v>13910977</v>
      </c>
      <c r="H13" s="297">
        <v>3760690</v>
      </c>
      <c r="I13" s="297">
        <v>2251167</v>
      </c>
      <c r="J13" s="28">
        <f t="shared" si="4"/>
        <v>19922834</v>
      </c>
      <c r="L13" s="226">
        <v>611584.35909216094</v>
      </c>
      <c r="M13" s="56">
        <f t="shared" si="0"/>
        <v>0.1887628035248399</v>
      </c>
      <c r="N13" s="26">
        <f t="shared" si="1"/>
        <v>115444.37821417871</v>
      </c>
      <c r="P13" s="325">
        <v>3.1669999999999997E-2</v>
      </c>
      <c r="Q13" s="202">
        <f t="shared" si="2"/>
        <v>2360000</v>
      </c>
      <c r="R13" s="83">
        <f t="shared" si="5"/>
        <v>74741.2</v>
      </c>
    </row>
    <row r="14" spans="1:18" x14ac:dyDescent="0.25">
      <c r="A14" s="221" t="s">
        <v>467</v>
      </c>
      <c r="B14" s="297">
        <v>11560</v>
      </c>
      <c r="C14" s="297">
        <v>3246</v>
      </c>
      <c r="D14" s="297">
        <v>2314</v>
      </c>
      <c r="E14" s="28">
        <f t="shared" si="3"/>
        <v>17120</v>
      </c>
      <c r="G14" s="297">
        <v>13847334</v>
      </c>
      <c r="H14" s="297">
        <v>3747999</v>
      </c>
      <c r="I14" s="297">
        <v>2267833</v>
      </c>
      <c r="J14" s="28">
        <f t="shared" si="4"/>
        <v>19863166</v>
      </c>
      <c r="L14" s="226">
        <v>611584.35909216094</v>
      </c>
      <c r="M14" s="56">
        <f t="shared" si="0"/>
        <v>0.18869091664440604</v>
      </c>
      <c r="N14" s="26">
        <f t="shared" si="1"/>
        <v>115400.41332248143</v>
      </c>
      <c r="P14" s="325">
        <v>3.1669999999999997E-2</v>
      </c>
      <c r="Q14" s="202">
        <f t="shared" si="2"/>
        <v>2314000</v>
      </c>
      <c r="R14" s="83">
        <f t="shared" si="5"/>
        <v>73284.37999999999</v>
      </c>
    </row>
    <row r="15" spans="1:18" x14ac:dyDescent="0.25">
      <c r="A15" s="221" t="s">
        <v>468</v>
      </c>
      <c r="B15" s="297">
        <v>13738</v>
      </c>
      <c r="C15" s="297">
        <v>3993</v>
      </c>
      <c r="D15" s="297">
        <v>2314</v>
      </c>
      <c r="E15" s="28">
        <f t="shared" si="3"/>
        <v>20045</v>
      </c>
      <c r="G15" s="297">
        <v>13978949</v>
      </c>
      <c r="H15" s="297">
        <v>3808301</v>
      </c>
      <c r="I15" s="297">
        <v>2284500</v>
      </c>
      <c r="J15" s="28">
        <f t="shared" si="4"/>
        <v>20071750</v>
      </c>
      <c r="L15" s="226">
        <v>611584.35909216094</v>
      </c>
      <c r="M15" s="56">
        <f t="shared" si="0"/>
        <v>0.18973437791921482</v>
      </c>
      <c r="N15" s="26">
        <f t="shared" si="1"/>
        <v>116038.57791747285</v>
      </c>
      <c r="P15" s="325">
        <v>3.1669999999999997E-2</v>
      </c>
      <c r="Q15" s="202">
        <f t="shared" si="2"/>
        <v>2314000</v>
      </c>
      <c r="R15" s="83">
        <f t="shared" si="5"/>
        <v>73284.37999999999</v>
      </c>
    </row>
    <row r="16" spans="1:18" x14ac:dyDescent="0.25">
      <c r="A16" s="221" t="s">
        <v>1322</v>
      </c>
      <c r="B16" s="6">
        <f>E16-D16-C16</f>
        <v>15149</v>
      </c>
      <c r="C16" s="297">
        <v>4346</v>
      </c>
      <c r="D16" s="297">
        <v>2324</v>
      </c>
      <c r="E16" s="297">
        <v>21819</v>
      </c>
      <c r="G16" s="6">
        <f t="shared" ref="G16:G20" si="6">J16-I16-H16</f>
        <v>13961428.333333334</v>
      </c>
      <c r="H16" s="6">
        <f t="shared" ref="H16:H20" si="7">AVERAGE(C5:C16)*1000*0.97</f>
        <v>3802238.3333333335</v>
      </c>
      <c r="I16" s="6">
        <f t="shared" ref="I16:I20" si="8">AVERAGE(D5:D16)*1000</f>
        <v>2302000</v>
      </c>
      <c r="J16" s="6">
        <f t="shared" ref="J16:J20" si="9">AVERAGE(E5:E16)*1000</f>
        <v>20065666.666666668</v>
      </c>
      <c r="L16" s="83">
        <f>'Schedule 1'!$G$34/12</f>
        <v>1372167.8739666857</v>
      </c>
      <c r="M16" s="56">
        <f t="shared" ref="M16:M20" si="10">H16/J16</f>
        <v>0.18948975862584513</v>
      </c>
      <c r="N16" s="83">
        <f t="shared" ref="N16:N20" si="11">L16*M16</f>
        <v>260011.75923208636</v>
      </c>
      <c r="P16" s="23">
        <f>'Schedule 1'!$G$39</f>
        <v>7.0830000000000004E-2</v>
      </c>
      <c r="Q16" s="33">
        <f t="shared" ref="Q16:Q20" si="12">D16*1000</f>
        <v>2324000</v>
      </c>
      <c r="R16" s="83">
        <f>P16*Q16</f>
        <v>164608.92000000001</v>
      </c>
    </row>
    <row r="17" spans="1:18" x14ac:dyDescent="0.25">
      <c r="A17" s="221" t="s">
        <v>459</v>
      </c>
      <c r="B17" s="6">
        <f t="shared" ref="B17:B27" si="13">E17-D17-C17</f>
        <v>12664</v>
      </c>
      <c r="C17" s="297">
        <v>3469</v>
      </c>
      <c r="D17" s="297">
        <v>2346</v>
      </c>
      <c r="E17" s="297">
        <v>18479</v>
      </c>
      <c r="G17" s="6">
        <f t="shared" si="6"/>
        <v>13791062.500000002</v>
      </c>
      <c r="H17" s="6">
        <f t="shared" si="7"/>
        <v>3744604.1666666665</v>
      </c>
      <c r="I17" s="6">
        <f t="shared" si="8"/>
        <v>2321333.3333333335</v>
      </c>
      <c r="J17" s="6">
        <f t="shared" si="9"/>
        <v>19857000</v>
      </c>
      <c r="L17" s="83">
        <f>'Schedule 1'!$G$34/12</f>
        <v>1372167.8739666857</v>
      </c>
      <c r="M17" s="56">
        <f t="shared" si="10"/>
        <v>0.18857854492957982</v>
      </c>
      <c r="N17" s="83">
        <f>L17*M17</f>
        <v>258761.42107175267</v>
      </c>
      <c r="P17" s="23">
        <f>'Schedule 1'!$G$39</f>
        <v>7.0830000000000004E-2</v>
      </c>
      <c r="Q17" s="33">
        <f t="shared" si="12"/>
        <v>2346000</v>
      </c>
      <c r="R17" s="83">
        <f t="shared" ref="R17:R20" si="14">P17*Q17</f>
        <v>166167.18000000002</v>
      </c>
    </row>
    <row r="18" spans="1:18" x14ac:dyDescent="0.25">
      <c r="A18" s="221" t="s">
        <v>460</v>
      </c>
      <c r="B18" s="6">
        <f t="shared" si="13"/>
        <v>14002</v>
      </c>
      <c r="C18" s="297">
        <v>3927</v>
      </c>
      <c r="D18" s="297">
        <v>2346</v>
      </c>
      <c r="E18" s="297">
        <v>20275</v>
      </c>
      <c r="G18" s="6">
        <f t="shared" si="6"/>
        <v>13970132.499999998</v>
      </c>
      <c r="H18" s="6">
        <f t="shared" si="7"/>
        <v>3811534.1666666665</v>
      </c>
      <c r="I18" s="6">
        <f t="shared" si="8"/>
        <v>2340666.6666666665</v>
      </c>
      <c r="J18" s="6">
        <f t="shared" si="9"/>
        <v>20122333.333333332</v>
      </c>
      <c r="L18" s="83">
        <f>'Schedule 1'!$G$34/12</f>
        <v>1372167.8739666857</v>
      </c>
      <c r="M18" s="56">
        <f t="shared" si="10"/>
        <v>0.18941810094919409</v>
      </c>
      <c r="N18" s="83">
        <f t="shared" si="11"/>
        <v>259913.43287026271</v>
      </c>
      <c r="P18" s="23">
        <f>'Schedule 1'!$G$39</f>
        <v>7.0830000000000004E-2</v>
      </c>
      <c r="Q18" s="33">
        <f t="shared" si="12"/>
        <v>2346000</v>
      </c>
      <c r="R18" s="83">
        <f t="shared" si="14"/>
        <v>166167.18000000002</v>
      </c>
    </row>
    <row r="19" spans="1:18" x14ac:dyDescent="0.25">
      <c r="A19" s="221" t="s">
        <v>461</v>
      </c>
      <c r="B19" s="6">
        <f t="shared" si="13"/>
        <v>11645</v>
      </c>
      <c r="C19" s="297">
        <v>3355</v>
      </c>
      <c r="D19" s="297">
        <v>2333</v>
      </c>
      <c r="E19" s="297">
        <v>17333</v>
      </c>
      <c r="G19" s="6">
        <f t="shared" si="6"/>
        <v>13933444.999999998</v>
      </c>
      <c r="H19" s="6">
        <f t="shared" si="7"/>
        <v>3821638.3333333335</v>
      </c>
      <c r="I19" s="6">
        <f t="shared" si="8"/>
        <v>2358916.6666666665</v>
      </c>
      <c r="J19" s="6">
        <f t="shared" si="9"/>
        <v>20114000</v>
      </c>
      <c r="L19" s="83">
        <f>'Schedule 1'!$G$34/12</f>
        <v>1372167.8739666857</v>
      </c>
      <c r="M19" s="56">
        <f t="shared" si="10"/>
        <v>0.18999892280666866</v>
      </c>
      <c r="N19" s="83">
        <f t="shared" si="11"/>
        <v>260710.41796358698</v>
      </c>
      <c r="P19" s="23">
        <f>'Schedule 1'!$G$39</f>
        <v>7.0830000000000004E-2</v>
      </c>
      <c r="Q19" s="33">
        <f t="shared" si="12"/>
        <v>2333000</v>
      </c>
      <c r="R19" s="83">
        <f t="shared" si="14"/>
        <v>165246.39000000001</v>
      </c>
    </row>
    <row r="20" spans="1:18" x14ac:dyDescent="0.25">
      <c r="A20" s="221" t="s">
        <v>414</v>
      </c>
      <c r="B20" s="6">
        <f t="shared" si="13"/>
        <v>13380</v>
      </c>
      <c r="C20" s="297">
        <v>3622</v>
      </c>
      <c r="D20" s="297">
        <v>2346</v>
      </c>
      <c r="E20" s="297">
        <v>19348</v>
      </c>
      <c r="G20" s="6">
        <f t="shared" si="6"/>
        <v>13964914.999999998</v>
      </c>
      <c r="H20" s="6">
        <f t="shared" si="7"/>
        <v>3820668.3333333335</v>
      </c>
      <c r="I20" s="6">
        <f t="shared" si="8"/>
        <v>2378250</v>
      </c>
      <c r="J20" s="6">
        <f t="shared" si="9"/>
        <v>20163833.333333332</v>
      </c>
      <c r="L20" s="83">
        <f>'Schedule 1'!$G$34/12</f>
        <v>1372167.8739666857</v>
      </c>
      <c r="M20" s="56">
        <f t="shared" si="10"/>
        <v>0.18948124943173836</v>
      </c>
      <c r="N20" s="83">
        <f t="shared" si="11"/>
        <v>260000.08318929971</v>
      </c>
      <c r="P20" s="23">
        <f>'Schedule 1'!$G$39</f>
        <v>7.0830000000000004E-2</v>
      </c>
      <c r="Q20" s="33">
        <f t="shared" si="12"/>
        <v>2346000</v>
      </c>
      <c r="R20" s="83">
        <f t="shared" si="14"/>
        <v>166167.18000000002</v>
      </c>
    </row>
    <row r="21" spans="1:18" x14ac:dyDescent="0.25">
      <c r="A21" s="221" t="s">
        <v>462</v>
      </c>
      <c r="B21" s="6">
        <f t="shared" si="13"/>
        <v>14586</v>
      </c>
      <c r="C21" s="297">
        <v>4054</v>
      </c>
      <c r="D21" s="297">
        <v>2094</v>
      </c>
      <c r="E21" s="297">
        <v>20734</v>
      </c>
      <c r="G21" s="6">
        <f t="shared" ref="G21:G27" si="15">J21-I21-H21</f>
        <v>13920735.833333334</v>
      </c>
      <c r="H21" s="6">
        <f>AVERAGE(C10:C21)*1000*0.97</f>
        <v>3787930.8333333335</v>
      </c>
      <c r="I21" s="6">
        <f t="shared" ref="I21:J27" si="16">AVERAGE(D10:D21)*1000</f>
        <v>2343250</v>
      </c>
      <c r="J21" s="6">
        <f t="shared" si="16"/>
        <v>20051916.666666668</v>
      </c>
      <c r="L21" s="83">
        <f>'Schedule 1'!$G$34/12</f>
        <v>1372167.8739666857</v>
      </c>
      <c r="M21" s="56">
        <f t="shared" ref="M21:M27" si="17">H21/J21</f>
        <v>0.18890617272663046</v>
      </c>
      <c r="N21" s="83">
        <f t="shared" ref="N21:N27" si="18">L21*M21</f>
        <v>259210.98140948403</v>
      </c>
      <c r="P21" s="23">
        <f>'Schedule 1'!$G$39</f>
        <v>7.0830000000000004E-2</v>
      </c>
      <c r="Q21" s="33">
        <f t="shared" ref="Q21:Q27" si="19">D21*1000</f>
        <v>2094000</v>
      </c>
      <c r="R21" s="83">
        <f t="shared" ref="R21:R27" si="20">P21*Q21</f>
        <v>148318.02000000002</v>
      </c>
    </row>
    <row r="22" spans="1:18" x14ac:dyDescent="0.25">
      <c r="A22" s="221" t="s">
        <v>463</v>
      </c>
      <c r="B22" s="6">
        <f t="shared" si="13"/>
        <v>15619</v>
      </c>
      <c r="C22" s="297">
        <v>4540</v>
      </c>
      <c r="D22" s="297">
        <v>2146</v>
      </c>
      <c r="E22" s="297">
        <v>22305</v>
      </c>
      <c r="G22" s="6">
        <f t="shared" si="15"/>
        <v>13857819.16666667</v>
      </c>
      <c r="H22" s="6">
        <f t="shared" ref="H22:H27" si="21">AVERAGE(C11:C22)*1000*0.97</f>
        <v>3771764.1666666665</v>
      </c>
      <c r="I22" s="6">
        <f t="shared" si="16"/>
        <v>2312583.3333333335</v>
      </c>
      <c r="J22" s="6">
        <f t="shared" si="16"/>
        <v>19942166.666666668</v>
      </c>
      <c r="L22" s="83">
        <f>'Schedule 1'!$G$34/12</f>
        <v>1372167.8739666857</v>
      </c>
      <c r="M22" s="56">
        <f t="shared" si="17"/>
        <v>0.18913512406709398</v>
      </c>
      <c r="N22" s="83">
        <f t="shared" si="18"/>
        <v>259525.14108356967</v>
      </c>
      <c r="P22" s="23">
        <f>'Schedule 1'!$G$39</f>
        <v>7.0830000000000004E-2</v>
      </c>
      <c r="Q22" s="33">
        <f t="shared" si="19"/>
        <v>2146000</v>
      </c>
      <c r="R22" s="83">
        <f t="shared" si="20"/>
        <v>152001.18000000002</v>
      </c>
    </row>
    <row r="23" spans="1:18" x14ac:dyDescent="0.25">
      <c r="A23" s="221" t="s">
        <v>464</v>
      </c>
      <c r="B23" s="6">
        <f t="shared" si="13"/>
        <v>15790</v>
      </c>
      <c r="C23" s="297">
        <v>4557</v>
      </c>
      <c r="D23" s="297">
        <v>2146</v>
      </c>
      <c r="E23" s="297">
        <v>22493</v>
      </c>
      <c r="G23" s="6">
        <f t="shared" si="15"/>
        <v>13847906.666666666</v>
      </c>
      <c r="H23" s="6">
        <f t="shared" si="21"/>
        <v>3774593.3333333335</v>
      </c>
      <c r="I23" s="6">
        <f t="shared" si="16"/>
        <v>2281916.6666666665</v>
      </c>
      <c r="J23" s="6">
        <f t="shared" si="16"/>
        <v>19904416.666666668</v>
      </c>
      <c r="L23" s="83">
        <f>'Schedule 1'!$H$34/12</f>
        <v>1371765.0849625862</v>
      </c>
      <c r="M23" s="56">
        <f t="shared" si="17"/>
        <v>0.18963596856644044</v>
      </c>
      <c r="N23" s="83">
        <f t="shared" si="18"/>
        <v>260136.00053250548</v>
      </c>
      <c r="P23" s="23">
        <f>'Schedule 1'!$H$39</f>
        <v>7.0830000000000004E-2</v>
      </c>
      <c r="Q23" s="33">
        <f t="shared" si="19"/>
        <v>2146000</v>
      </c>
      <c r="R23" s="83">
        <f t="shared" si="20"/>
        <v>152001.18000000002</v>
      </c>
    </row>
    <row r="24" spans="1:18" x14ac:dyDescent="0.25">
      <c r="A24" s="221" t="s">
        <v>465</v>
      </c>
      <c r="B24" s="6">
        <f t="shared" si="13"/>
        <v>14114</v>
      </c>
      <c r="C24" s="297">
        <v>3929</v>
      </c>
      <c r="D24" s="297">
        <v>2146</v>
      </c>
      <c r="E24" s="297">
        <v>20189</v>
      </c>
      <c r="G24" s="6">
        <f t="shared" si="15"/>
        <v>13796413.333333332</v>
      </c>
      <c r="H24" s="6">
        <f t="shared" si="21"/>
        <v>3745170</v>
      </c>
      <c r="I24" s="6">
        <f t="shared" si="16"/>
        <v>2267916.6666666665</v>
      </c>
      <c r="J24" s="6">
        <f t="shared" si="16"/>
        <v>19809500</v>
      </c>
      <c r="L24" s="83">
        <f>'Schedule 1'!$H$34/12</f>
        <v>1371765.0849625862</v>
      </c>
      <c r="M24" s="56">
        <f t="shared" si="17"/>
        <v>0.18905928973472325</v>
      </c>
      <c r="N24" s="83">
        <f t="shared" si="18"/>
        <v>259344.93264591883</v>
      </c>
      <c r="P24" s="23">
        <f>'Schedule 1'!$H$39</f>
        <v>7.0830000000000004E-2</v>
      </c>
      <c r="Q24" s="33">
        <f t="shared" si="19"/>
        <v>2146000</v>
      </c>
      <c r="R24" s="83">
        <f t="shared" si="20"/>
        <v>152001.18000000002</v>
      </c>
    </row>
    <row r="25" spans="1:18" x14ac:dyDescent="0.25">
      <c r="A25" s="221" t="s">
        <v>466</v>
      </c>
      <c r="B25" s="6">
        <f>E25-D25-C25</f>
        <v>13676</v>
      </c>
      <c r="C25" s="297">
        <v>3784</v>
      </c>
      <c r="D25" s="297">
        <v>2146</v>
      </c>
      <c r="E25" s="297">
        <v>19606</v>
      </c>
      <c r="G25" s="6">
        <f t="shared" si="15"/>
        <v>13943971.666666666</v>
      </c>
      <c r="H25" s="6">
        <f t="shared" si="21"/>
        <v>3784778.3333333335</v>
      </c>
      <c r="I25" s="6">
        <f t="shared" si="16"/>
        <v>2250083.3333333335</v>
      </c>
      <c r="J25" s="6">
        <f t="shared" si="16"/>
        <v>19978833.333333332</v>
      </c>
      <c r="L25" s="83">
        <f>'Schedule 1'!$H$34/12</f>
        <v>1371765.0849625862</v>
      </c>
      <c r="M25" s="56">
        <f t="shared" si="17"/>
        <v>0.18943940670542994</v>
      </c>
      <c r="N25" s="83">
        <f t="shared" si="18"/>
        <v>259866.36383453602</v>
      </c>
      <c r="P25" s="23">
        <f>'Schedule 1'!$H$39</f>
        <v>7.0830000000000004E-2</v>
      </c>
      <c r="Q25" s="33">
        <f t="shared" si="19"/>
        <v>2146000</v>
      </c>
      <c r="R25" s="83">
        <f t="shared" si="20"/>
        <v>152001.18000000002</v>
      </c>
    </row>
    <row r="26" spans="1:18" x14ac:dyDescent="0.25">
      <c r="A26" s="221" t="s">
        <v>467</v>
      </c>
      <c r="B26" s="6">
        <f t="shared" si="13"/>
        <v>12126</v>
      </c>
      <c r="C26" s="297">
        <v>3325</v>
      </c>
      <c r="D26" s="297">
        <v>2132</v>
      </c>
      <c r="E26" s="297">
        <v>17583</v>
      </c>
      <c r="G26" s="6">
        <f t="shared" si="15"/>
        <v>13991335.833333334</v>
      </c>
      <c r="H26" s="6">
        <f t="shared" si="21"/>
        <v>3791164.1666666665</v>
      </c>
      <c r="I26" s="6">
        <f t="shared" si="16"/>
        <v>2234916.6666666665</v>
      </c>
      <c r="J26" s="6">
        <f t="shared" si="16"/>
        <v>20017416.666666668</v>
      </c>
      <c r="L26" s="83">
        <f>'Schedule 1'!$H$34/12</f>
        <v>1371765.0849625862</v>
      </c>
      <c r="M26" s="56">
        <f t="shared" si="17"/>
        <v>0.18939327835343386</v>
      </c>
      <c r="N26" s="83">
        <f t="shared" si="18"/>
        <v>259803.08657184095</v>
      </c>
      <c r="P26" s="23">
        <f>'Schedule 1'!$H$39</f>
        <v>7.0830000000000004E-2</v>
      </c>
      <c r="Q26" s="33">
        <f t="shared" si="19"/>
        <v>2132000</v>
      </c>
      <c r="R26" s="83">
        <f t="shared" si="20"/>
        <v>151009.56</v>
      </c>
    </row>
    <row r="27" spans="1:18" x14ac:dyDescent="0.25">
      <c r="A27" s="221" t="s">
        <v>468</v>
      </c>
      <c r="B27" s="6">
        <f t="shared" si="13"/>
        <v>13582</v>
      </c>
      <c r="C27" s="297">
        <v>3804</v>
      </c>
      <c r="D27" s="297">
        <v>2146</v>
      </c>
      <c r="E27" s="297">
        <v>19532</v>
      </c>
      <c r="G27" s="6">
        <f t="shared" si="15"/>
        <v>13977863.333333334</v>
      </c>
      <c r="H27" s="6">
        <f t="shared" si="21"/>
        <v>3775886.6666666665</v>
      </c>
      <c r="I27" s="6">
        <f t="shared" si="16"/>
        <v>2220916.6666666665</v>
      </c>
      <c r="J27" s="6">
        <f t="shared" si="16"/>
        <v>19974666.666666668</v>
      </c>
      <c r="L27" s="83">
        <f>'Schedule 1'!$H$34/12</f>
        <v>1371765.0849625862</v>
      </c>
      <c r="M27" s="56">
        <f t="shared" si="17"/>
        <v>0.18903377611641412</v>
      </c>
      <c r="N27" s="83">
        <f t="shared" si="18"/>
        <v>259309.9339551313</v>
      </c>
      <c r="P27" s="23">
        <f>'Schedule 1'!$H$39</f>
        <v>7.0830000000000004E-2</v>
      </c>
      <c r="Q27" s="33">
        <f t="shared" si="19"/>
        <v>2146000</v>
      </c>
      <c r="R27" s="83">
        <f t="shared" si="20"/>
        <v>152001.18000000002</v>
      </c>
    </row>
    <row r="28" spans="1:18" x14ac:dyDescent="0.25">
      <c r="B28" s="6"/>
      <c r="C28" s="6"/>
      <c r="D28" s="6"/>
      <c r="E28" s="6"/>
      <c r="G28" s="6"/>
      <c r="H28" s="6"/>
      <c r="I28" s="6"/>
      <c r="J28" s="33"/>
      <c r="L28" s="35"/>
      <c r="M28" s="35"/>
      <c r="N28" s="35"/>
      <c r="Q28" s="39"/>
    </row>
    <row r="29" spans="1:18" x14ac:dyDescent="0.25">
      <c r="A29" s="221" t="s">
        <v>469</v>
      </c>
      <c r="D29" s="128">
        <f>SUM(D16:D27)*1000</f>
        <v>26651000</v>
      </c>
      <c r="E29" s="128">
        <f>SUM(E16:E27)*1000</f>
        <v>239696000</v>
      </c>
      <c r="H29" s="128">
        <f>SUM(H16:H28)</f>
        <v>45431970.833333328</v>
      </c>
      <c r="J29" s="128">
        <f>SUM(J16:J28)</f>
        <v>240001749.99999997</v>
      </c>
      <c r="N29" s="129">
        <f>SUM(N16:N28)</f>
        <v>3116593.5543599753</v>
      </c>
      <c r="Q29" s="130">
        <f>SUM(Q16:Q28)</f>
        <v>26651000</v>
      </c>
      <c r="R29" s="129">
        <f>SUM(R16:R28)</f>
        <v>1887690.3299999998</v>
      </c>
    </row>
    <row r="31" spans="1:18" x14ac:dyDescent="0.25">
      <c r="A31" s="221" t="s">
        <v>470</v>
      </c>
      <c r="E31" s="56">
        <f>D29/E29</f>
        <v>0.11118666978172352</v>
      </c>
      <c r="F31" s="183"/>
      <c r="G31" s="183"/>
      <c r="H31" s="183"/>
      <c r="I31" s="183"/>
      <c r="J31" s="56">
        <f>H29/J29</f>
        <v>0.18929849817067307</v>
      </c>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80" fitToPage="1">
      <selection activeCell="A18" sqref="A18"/>
      <pageMargins left="0.7" right="0.7" top="0.75" bottom="0.75" header="0.3" footer="0.3"/>
      <pageSetup scale="33" orientation="portrait" r:id="rId1"/>
      <headerFooter>
        <oddFooter>&amp;L&amp;Z&amp;F</oddFooter>
      </headerFooter>
    </customSheetView>
    <customSheetView guid="{C0F5889E-F852-4CB9-B477-759ADBCFF6D5}" scale="80" fitToPage="1">
      <selection activeCell="A18" sqref="A18"/>
      <pageMargins left="0.7" right="0.7" top="0.75" bottom="0.75" header="0.3" footer="0.3"/>
      <pageSetup scale="33" orientation="portrait" r:id="rId2"/>
      <headerFooter>
        <oddFooter>&amp;L&amp;Z&amp;F</oddFooter>
      </headerFooter>
    </customSheetView>
  </customSheetViews>
  <mergeCells count="4">
    <mergeCell ref="B2:E2"/>
    <mergeCell ref="G2:J2"/>
    <mergeCell ref="L2:N2"/>
    <mergeCell ref="P2:R2"/>
  </mergeCells>
  <pageMargins left="0.7" right="0.7" top="0.75" bottom="0.75" header="0.3" footer="0.3"/>
  <pageSetup scale="33" orientation="portrait" r:id="rId3"/>
  <headerFooter>
    <oddFooter>&amp;L&amp;Z&amp;F</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customSheetViews>
    <customSheetView guid="{589A2A1C-99B3-4A22-A52E-EECEEAD60ADB}">
      <pageMargins left="0.7" right="0.7" top="0.75" bottom="0.75" header="0.3" footer="0.3"/>
      <pageSetup orientation="portrait" r:id="rId1"/>
    </customSheetView>
    <customSheetView guid="{C0F5889E-F852-4CB9-B477-759ADBCFF6D5}">
      <pageMargins left="0.7" right="0.7" top="0.75" bottom="0.75" header="0.3" footer="0.3"/>
      <pageSetup orientation="portrait" r:id="rId2"/>
    </customSheetView>
  </customSheetView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97"/>
  <sheetViews>
    <sheetView zoomScale="90" zoomScaleNormal="90" workbookViewId="0">
      <selection sqref="A1:L1"/>
    </sheetView>
  </sheetViews>
  <sheetFormatPr defaultRowHeight="15" x14ac:dyDescent="0.25"/>
  <cols>
    <col min="1" max="1" width="4.28515625" style="25" customWidth="1"/>
    <col min="2" max="2" width="54.140625" style="86" customWidth="1"/>
    <col min="3" max="3" width="1.7109375" style="86" customWidth="1"/>
    <col min="4" max="4" width="33" style="76" customWidth="1"/>
    <col min="5" max="5" width="1.7109375" style="86" customWidth="1"/>
    <col min="6" max="6" width="22" style="86" bestFit="1" customWidth="1"/>
    <col min="7" max="7" width="22.5703125" style="86" bestFit="1" customWidth="1"/>
    <col min="8" max="8" width="1.7109375" style="86" customWidth="1"/>
    <col min="9" max="9" width="23" style="83" bestFit="1" customWidth="1"/>
    <col min="10" max="10" width="1.7109375" style="86" customWidth="1"/>
    <col min="11" max="11" width="13.5703125" style="86" customWidth="1"/>
    <col min="12" max="12" width="14.85546875" style="21" customWidth="1"/>
    <col min="13" max="13" width="24.140625" style="86" bestFit="1" customWidth="1"/>
    <col min="14" max="14" width="105.140625" style="5" bestFit="1" customWidth="1"/>
    <col min="15" max="16" width="1.140625" style="86"/>
    <col min="17" max="17" width="2" style="86" bestFit="1" customWidth="1"/>
    <col min="18" max="18" width="13" style="86" bestFit="1" customWidth="1"/>
    <col min="19" max="16384" width="9.140625" style="86"/>
  </cols>
  <sheetData>
    <row r="1" spans="1:14" x14ac:dyDescent="0.25">
      <c r="A1" s="329" t="s">
        <v>0</v>
      </c>
      <c r="B1" s="329"/>
      <c r="C1" s="329"/>
      <c r="D1" s="329"/>
      <c r="E1" s="329"/>
      <c r="F1" s="329"/>
      <c r="G1" s="329"/>
      <c r="H1" s="329"/>
      <c r="I1" s="329"/>
      <c r="J1" s="329"/>
      <c r="K1" s="329"/>
      <c r="L1" s="329"/>
      <c r="M1" s="11" t="s">
        <v>700</v>
      </c>
    </row>
    <row r="2" spans="1:14" x14ac:dyDescent="0.25">
      <c r="A2" s="329" t="s">
        <v>204</v>
      </c>
      <c r="B2" s="329"/>
      <c r="C2" s="329"/>
      <c r="D2" s="329"/>
      <c r="E2" s="329"/>
      <c r="F2" s="329"/>
      <c r="G2" s="329"/>
      <c r="H2" s="329"/>
      <c r="I2" s="329"/>
      <c r="J2" s="329"/>
      <c r="K2" s="329"/>
      <c r="L2" s="329"/>
      <c r="M2" s="11" t="s">
        <v>701</v>
      </c>
    </row>
    <row r="3" spans="1:14" x14ac:dyDescent="0.25">
      <c r="A3" s="329" t="str">
        <f>+Summary!A3</f>
        <v>Utilizing Historic Cost Data for (2017) with Year-End Average Balances</v>
      </c>
      <c r="B3" s="329"/>
      <c r="C3" s="329"/>
      <c r="D3" s="329"/>
      <c r="E3" s="329"/>
      <c r="F3" s="329"/>
      <c r="G3" s="329"/>
      <c r="H3" s="329"/>
      <c r="I3" s="329"/>
      <c r="J3" s="329"/>
      <c r="K3" s="329"/>
      <c r="L3" s="329"/>
    </row>
    <row r="4" spans="1:14" x14ac:dyDescent="0.25">
      <c r="A4" s="329" t="s">
        <v>1</v>
      </c>
      <c r="B4" s="329"/>
      <c r="C4" s="329"/>
      <c r="D4" s="329"/>
      <c r="E4" s="329"/>
      <c r="F4" s="329"/>
      <c r="G4" s="329"/>
      <c r="H4" s="329"/>
      <c r="I4" s="329"/>
      <c r="J4" s="329"/>
      <c r="K4" s="329"/>
      <c r="L4" s="329"/>
      <c r="M4" s="76"/>
      <c r="N4" s="234"/>
    </row>
    <row r="5" spans="1:14" x14ac:dyDescent="0.25">
      <c r="A5" s="198"/>
      <c r="B5" s="290"/>
      <c r="C5" s="290"/>
      <c r="D5" s="290"/>
      <c r="E5" s="290"/>
      <c r="F5" s="290"/>
      <c r="G5" s="290"/>
      <c r="H5" s="290"/>
      <c r="I5" s="260"/>
      <c r="J5" s="290"/>
      <c r="K5" s="290"/>
      <c r="L5" s="290"/>
      <c r="M5" s="76"/>
      <c r="N5" s="234"/>
    </row>
    <row r="6" spans="1:14" x14ac:dyDescent="0.25">
      <c r="B6" s="221"/>
      <c r="C6" s="221"/>
      <c r="E6" s="221"/>
      <c r="F6" s="221"/>
      <c r="G6" s="221"/>
      <c r="H6" s="221"/>
      <c r="I6" s="261"/>
      <c r="J6" s="221"/>
      <c r="K6" s="221"/>
      <c r="M6" s="73" t="s">
        <v>7</v>
      </c>
      <c r="N6" s="234"/>
    </row>
    <row r="7" spans="1:14" x14ac:dyDescent="0.25">
      <c r="A7" s="60" t="s">
        <v>2</v>
      </c>
      <c r="B7" s="11" t="s">
        <v>3</v>
      </c>
      <c r="C7" s="11"/>
      <c r="D7" s="290" t="s">
        <v>4</v>
      </c>
      <c r="E7" s="11"/>
      <c r="F7" s="73" t="s">
        <v>190</v>
      </c>
      <c r="G7" s="73" t="s">
        <v>189</v>
      </c>
      <c r="H7" s="11"/>
      <c r="I7" s="73" t="s">
        <v>195</v>
      </c>
      <c r="J7" s="221"/>
      <c r="K7" s="329" t="s">
        <v>6</v>
      </c>
      <c r="L7" s="329"/>
      <c r="M7" s="73" t="s">
        <v>167</v>
      </c>
      <c r="N7" s="234"/>
    </row>
    <row r="8" spans="1:14" x14ac:dyDescent="0.25">
      <c r="B8" s="221"/>
      <c r="C8" s="221"/>
      <c r="E8" s="221"/>
      <c r="F8" s="10"/>
      <c r="G8" s="10"/>
      <c r="H8" s="221"/>
      <c r="I8" s="10"/>
      <c r="J8" s="221"/>
      <c r="K8" s="76"/>
      <c r="M8" s="10"/>
      <c r="N8" s="234"/>
    </row>
    <row r="9" spans="1:14" x14ac:dyDescent="0.25">
      <c r="B9" s="11" t="s">
        <v>755</v>
      </c>
      <c r="C9" s="221"/>
      <c r="E9" s="221"/>
      <c r="F9" s="173"/>
      <c r="G9" s="83"/>
      <c r="H9" s="221"/>
      <c r="J9" s="221"/>
      <c r="K9" s="221"/>
      <c r="M9" s="83"/>
      <c r="N9" s="234"/>
    </row>
    <row r="10" spans="1:14" x14ac:dyDescent="0.25">
      <c r="A10" s="25">
        <v>1</v>
      </c>
      <c r="B10" s="221" t="s">
        <v>9</v>
      </c>
      <c r="C10" s="221"/>
      <c r="D10" s="76" t="s">
        <v>318</v>
      </c>
      <c r="E10" s="221"/>
      <c r="F10" s="83">
        <f>'FERC Form 1 Inputs'!J2</f>
        <v>20742028553</v>
      </c>
      <c r="G10" s="83">
        <f>'FERC Form 1 Inputs'!N2</f>
        <v>20969006811</v>
      </c>
      <c r="H10" s="221"/>
      <c r="I10" s="83">
        <f t="shared" ref="I10:I20" si="0">ROUND((F10+G10)/2,0)</f>
        <v>20855517682</v>
      </c>
      <c r="J10" s="221"/>
      <c r="K10" s="221" t="s">
        <v>72</v>
      </c>
      <c r="M10" s="83"/>
      <c r="N10" s="234"/>
    </row>
    <row r="11" spans="1:14" x14ac:dyDescent="0.25">
      <c r="A11" s="186" t="s">
        <v>218</v>
      </c>
      <c r="B11" s="221" t="s">
        <v>222</v>
      </c>
      <c r="C11" s="221"/>
      <c r="D11" s="76" t="s">
        <v>608</v>
      </c>
      <c r="E11" s="221"/>
      <c r="F11" s="226">
        <v>259845169</v>
      </c>
      <c r="G11" s="225">
        <f>'Attach P - AFUDC'!$C$23</f>
        <v>260131319</v>
      </c>
      <c r="H11" s="221"/>
      <c r="I11" s="83">
        <f t="shared" si="0"/>
        <v>259988244</v>
      </c>
      <c r="J11" s="221"/>
      <c r="K11" s="221" t="s">
        <v>72</v>
      </c>
      <c r="M11" s="83"/>
    </row>
    <row r="12" spans="1:14" x14ac:dyDescent="0.25">
      <c r="A12" s="186" t="s">
        <v>246</v>
      </c>
      <c r="B12" s="221" t="s">
        <v>255</v>
      </c>
      <c r="C12" s="221"/>
      <c r="D12" s="76" t="s">
        <v>248</v>
      </c>
      <c r="E12" s="221"/>
      <c r="F12" s="83">
        <f>-'FERC Form 1 Inputs'!J3</f>
        <v>-482106051</v>
      </c>
      <c r="G12" s="83">
        <f>-'FERC Form 1 Inputs'!N3</f>
        <v>-198958161</v>
      </c>
      <c r="H12" s="221"/>
      <c r="I12" s="83">
        <f t="shared" si="0"/>
        <v>-340532106</v>
      </c>
      <c r="J12" s="221"/>
      <c r="K12" s="221" t="s">
        <v>72</v>
      </c>
      <c r="M12" s="83"/>
    </row>
    <row r="13" spans="1:14" x14ac:dyDescent="0.25">
      <c r="A13" s="186" t="s">
        <v>247</v>
      </c>
      <c r="B13" s="221" t="s">
        <v>946</v>
      </c>
      <c r="C13" s="221"/>
      <c r="D13" s="76" t="s">
        <v>948</v>
      </c>
      <c r="E13" s="221"/>
      <c r="F13" s="83">
        <f>'FERC Form 1 Inputs'!J4</f>
        <v>0</v>
      </c>
      <c r="G13" s="83">
        <f>'FERC Form 1 Inputs'!N4</f>
        <v>0</v>
      </c>
      <c r="H13" s="221"/>
      <c r="I13" s="83">
        <f t="shared" si="0"/>
        <v>0</v>
      </c>
      <c r="J13" s="221"/>
      <c r="K13" s="221" t="s">
        <v>72</v>
      </c>
      <c r="M13" s="83"/>
    </row>
    <row r="14" spans="1:14" x14ac:dyDescent="0.25">
      <c r="A14" s="25">
        <v>2</v>
      </c>
      <c r="B14" s="221" t="s">
        <v>10</v>
      </c>
      <c r="C14" s="221"/>
      <c r="D14" s="76" t="s">
        <v>947</v>
      </c>
      <c r="E14" s="221"/>
      <c r="F14" s="83">
        <f>'FERC Form 1 Inputs'!J5</f>
        <v>3558839724</v>
      </c>
      <c r="G14" s="83">
        <f>'FERC Form 1 Inputs'!N5</f>
        <v>3859092654.8299999</v>
      </c>
      <c r="H14" s="221"/>
      <c r="I14" s="83">
        <f t="shared" si="0"/>
        <v>3708966189</v>
      </c>
      <c r="J14" s="221"/>
      <c r="K14" s="221" t="s">
        <v>73</v>
      </c>
      <c r="L14" s="31">
        <f>'Allocation Factors'!$G$13</f>
        <v>0.91713571027193685</v>
      </c>
      <c r="M14" s="83">
        <f>I14*L14</f>
        <v>3401625340.1231136</v>
      </c>
    </row>
    <row r="15" spans="1:14" x14ac:dyDescent="0.25">
      <c r="A15" s="186" t="s">
        <v>219</v>
      </c>
      <c r="B15" s="221" t="s">
        <v>223</v>
      </c>
      <c r="C15" s="221"/>
      <c r="D15" s="76" t="s">
        <v>608</v>
      </c>
      <c r="E15" s="221"/>
      <c r="F15" s="226">
        <v>3622234</v>
      </c>
      <c r="G15" s="225">
        <f>'Attach P - AFUDC'!$C$34</f>
        <v>3830450</v>
      </c>
      <c r="H15" s="221"/>
      <c r="I15" s="83">
        <f t="shared" si="0"/>
        <v>3726342</v>
      </c>
      <c r="J15" s="221"/>
      <c r="K15" s="221" t="s">
        <v>73</v>
      </c>
      <c r="L15" s="31">
        <f>'Allocation Factors'!$G$13</f>
        <v>0.91713571027193685</v>
      </c>
      <c r="M15" s="83">
        <f>I15*L15</f>
        <v>3417561.3168861498</v>
      </c>
    </row>
    <row r="16" spans="1:14" x14ac:dyDescent="0.25">
      <c r="A16" s="25">
        <v>3</v>
      </c>
      <c r="B16" s="221" t="s">
        <v>11</v>
      </c>
      <c r="C16" s="221"/>
      <c r="D16" s="76" t="s">
        <v>315</v>
      </c>
      <c r="E16" s="221"/>
      <c r="F16" s="83">
        <f>'FERC Form 1 Inputs'!J6</f>
        <v>10753028333</v>
      </c>
      <c r="G16" s="83">
        <f>'FERC Form 1 Inputs'!N6</f>
        <v>11349332808.17</v>
      </c>
      <c r="H16" s="221"/>
      <c r="I16" s="83">
        <f t="shared" si="0"/>
        <v>11051180571</v>
      </c>
      <c r="J16" s="221"/>
      <c r="K16" s="221" t="s">
        <v>72</v>
      </c>
      <c r="L16" s="31"/>
      <c r="M16" s="83"/>
    </row>
    <row r="17" spans="1:17" x14ac:dyDescent="0.25">
      <c r="A17" s="25">
        <v>4</v>
      </c>
      <c r="B17" s="221" t="s">
        <v>12</v>
      </c>
      <c r="C17" s="221"/>
      <c r="D17" s="76" t="s">
        <v>316</v>
      </c>
      <c r="E17" s="221"/>
      <c r="F17" s="83">
        <f>'FERC Form 1 Inputs'!J7</f>
        <v>902960770</v>
      </c>
      <c r="G17" s="83">
        <f>'FERC Form 1 Inputs'!N7</f>
        <v>1121528986</v>
      </c>
      <c r="H17" s="221"/>
      <c r="I17" s="83">
        <f t="shared" si="0"/>
        <v>1012244878</v>
      </c>
      <c r="J17" s="221"/>
      <c r="K17" s="221" t="s">
        <v>74</v>
      </c>
      <c r="L17" s="31">
        <f>'Allocation Factors'!$G$21</f>
        <v>3.54809369866841E-2</v>
      </c>
      <c r="M17" s="83">
        <f>I17*L17</f>
        <v>35915396.731411733</v>
      </c>
    </row>
    <row r="18" spans="1:17" x14ac:dyDescent="0.25">
      <c r="A18" s="186" t="s">
        <v>249</v>
      </c>
      <c r="B18" s="221" t="s">
        <v>257</v>
      </c>
      <c r="C18" s="221"/>
      <c r="D18" s="76" t="s">
        <v>317</v>
      </c>
      <c r="E18" s="221"/>
      <c r="F18" s="83">
        <f>-'FERC Form 1 Inputs'!J8</f>
        <v>931335</v>
      </c>
      <c r="G18" s="83">
        <f>-'FERC Form 1 Inputs'!N8</f>
        <v>931335</v>
      </c>
      <c r="H18" s="221"/>
      <c r="I18" s="83">
        <f t="shared" si="0"/>
        <v>931335</v>
      </c>
      <c r="J18" s="221"/>
      <c r="K18" s="221" t="s">
        <v>74</v>
      </c>
      <c r="L18" s="31">
        <f>'Allocation Factors'!$G$21</f>
        <v>3.54809369866841E-2</v>
      </c>
      <c r="M18" s="83">
        <f>I18*L18</f>
        <v>33044.638448493439</v>
      </c>
    </row>
    <row r="19" spans="1:17" x14ac:dyDescent="0.25">
      <c r="A19" s="186" t="s">
        <v>326</v>
      </c>
      <c r="B19" s="221" t="s">
        <v>327</v>
      </c>
      <c r="C19" s="221"/>
      <c r="D19" s="76" t="s">
        <v>649</v>
      </c>
      <c r="E19" s="221"/>
      <c r="F19" s="83">
        <f>-'Schedule 1'!E7</f>
        <v>-5629200.7499999991</v>
      </c>
      <c r="G19" s="83">
        <f>-'Schedule 1'!F7</f>
        <v>-136993169.25999999</v>
      </c>
      <c r="H19" s="221"/>
      <c r="I19" s="83">
        <f t="shared" si="0"/>
        <v>-71311185</v>
      </c>
      <c r="J19" s="221"/>
      <c r="K19" s="221" t="s">
        <v>74</v>
      </c>
      <c r="L19" s="31">
        <f>'Allocation Factors'!$G$21</f>
        <v>3.54809369866841E-2</v>
      </c>
      <c r="M19" s="83">
        <f>I19*L19</f>
        <v>-2530187.6614307724</v>
      </c>
    </row>
    <row r="20" spans="1:17" x14ac:dyDescent="0.25">
      <c r="A20" s="25">
        <v>5</v>
      </c>
      <c r="B20" s="221" t="s">
        <v>13</v>
      </c>
      <c r="C20" s="221"/>
      <c r="D20" s="76" t="s">
        <v>319</v>
      </c>
      <c r="E20" s="221"/>
      <c r="F20" s="2">
        <f>'FERC Form 1 Inputs'!J9</f>
        <v>817550027</v>
      </c>
      <c r="G20" s="2">
        <f>'FERC Form 1 Inputs'!N9</f>
        <v>943490978</v>
      </c>
      <c r="H20" s="221"/>
      <c r="I20" s="2">
        <f t="shared" si="0"/>
        <v>880520503</v>
      </c>
      <c r="J20" s="221"/>
      <c r="K20" s="221"/>
      <c r="L20" s="174" t="s">
        <v>340</v>
      </c>
      <c r="M20" s="2">
        <f>'Attach L - Intangibles Gross'!J109</f>
        <v>32350825.197308552</v>
      </c>
    </row>
    <row r="21" spans="1:17" x14ac:dyDescent="0.25">
      <c r="A21" s="25">
        <v>6</v>
      </c>
      <c r="B21" s="11" t="s">
        <v>8</v>
      </c>
      <c r="C21" s="221"/>
      <c r="E21" s="221"/>
      <c r="F21" s="83">
        <f>SUM(F10:F20)</f>
        <v>36551070893.25</v>
      </c>
      <c r="G21" s="83">
        <f>SUM(G10:G20)</f>
        <v>38171394011.739998</v>
      </c>
      <c r="H21" s="221"/>
      <c r="I21" s="83">
        <f>SUM(I10:I20)</f>
        <v>37361232453</v>
      </c>
      <c r="J21" s="221"/>
      <c r="K21" s="221" t="s">
        <v>134</v>
      </c>
      <c r="L21" s="31">
        <f>M21/I21</f>
        <v>9.2898755005257905E-2</v>
      </c>
      <c r="M21" s="83">
        <f>SUM(M10:M20)</f>
        <v>3470811980.3457379</v>
      </c>
      <c r="Q21" s="6"/>
    </row>
    <row r="22" spans="1:17" x14ac:dyDescent="0.25">
      <c r="B22" s="221"/>
      <c r="C22" s="221"/>
      <c r="E22" s="221"/>
      <c r="F22" s="83"/>
      <c r="G22" s="83"/>
      <c r="H22" s="221"/>
      <c r="J22" s="221"/>
      <c r="K22" s="221"/>
      <c r="L22" s="31"/>
      <c r="M22" s="83"/>
      <c r="Q22" s="6"/>
    </row>
    <row r="23" spans="1:17" x14ac:dyDescent="0.25">
      <c r="B23" s="11" t="s">
        <v>14</v>
      </c>
      <c r="C23" s="221"/>
      <c r="E23" s="221"/>
      <c r="F23" s="83"/>
      <c r="G23" s="83"/>
      <c r="H23" s="221"/>
      <c r="J23" s="221"/>
      <c r="K23" s="221"/>
      <c r="L23" s="31"/>
      <c r="M23" s="83"/>
    </row>
    <row r="24" spans="1:17" x14ac:dyDescent="0.25">
      <c r="A24" s="25">
        <v>7</v>
      </c>
      <c r="B24" s="221" t="s">
        <v>16</v>
      </c>
      <c r="C24" s="221"/>
      <c r="D24" s="76" t="s">
        <v>949</v>
      </c>
      <c r="E24" s="221"/>
      <c r="F24" s="83">
        <f>'FERC Form 1 Inputs'!J10</f>
        <v>7979043173</v>
      </c>
      <c r="G24" s="83">
        <f>'FERC Form 1 Inputs'!N10</f>
        <v>8371743113</v>
      </c>
      <c r="H24" s="221"/>
      <c r="I24" s="83">
        <f t="shared" ref="I24:I33" si="1">ROUND((F24+G24)/2,0)</f>
        <v>8175393143</v>
      </c>
      <c r="J24" s="221"/>
      <c r="K24" s="221" t="s">
        <v>72</v>
      </c>
      <c r="L24" s="31"/>
      <c r="M24" s="83"/>
    </row>
    <row r="25" spans="1:17" x14ac:dyDescent="0.25">
      <c r="A25" s="186" t="s">
        <v>220</v>
      </c>
      <c r="B25" s="221" t="s">
        <v>222</v>
      </c>
      <c r="C25" s="221"/>
      <c r="D25" s="76" t="s">
        <v>608</v>
      </c>
      <c r="E25" s="221"/>
      <c r="F25" s="225">
        <f>'Attach P - AFUDC'!AP23</f>
        <v>72765622.27603662</v>
      </c>
      <c r="G25" s="225">
        <f>'Attach P - AFUDC'!AR23</f>
        <v>81945739.035236582</v>
      </c>
      <c r="H25" s="221"/>
      <c r="I25" s="83">
        <f t="shared" si="1"/>
        <v>77355681</v>
      </c>
      <c r="J25" s="221"/>
      <c r="K25" s="221" t="s">
        <v>72</v>
      </c>
      <c r="M25" s="83"/>
    </row>
    <row r="26" spans="1:17" x14ac:dyDescent="0.25">
      <c r="A26" s="186" t="s">
        <v>225</v>
      </c>
      <c r="B26" s="221" t="s">
        <v>256</v>
      </c>
      <c r="C26" s="221"/>
      <c r="D26" s="76" t="s">
        <v>761</v>
      </c>
      <c r="E26" s="221"/>
      <c r="F26" s="83">
        <f>'Attach P - AFUDC'!D41+'Attach P - AFUDC'!D42+'Attach P - AFUDC'!D44</f>
        <v>-88801008</v>
      </c>
      <c r="G26" s="26">
        <f>'Attach P - AFUDC'!C41+'Attach P - AFUDC'!C42+'Attach P - AFUDC'!C44</f>
        <v>-104126133</v>
      </c>
      <c r="H26" s="221"/>
      <c r="I26" s="83">
        <f t="shared" si="1"/>
        <v>-96463571</v>
      </c>
      <c r="J26" s="221"/>
      <c r="K26" s="221" t="s">
        <v>72</v>
      </c>
      <c r="M26" s="83"/>
    </row>
    <row r="27" spans="1:17" x14ac:dyDescent="0.25">
      <c r="A27" s="25">
        <v>8</v>
      </c>
      <c r="B27" s="221" t="s">
        <v>17</v>
      </c>
      <c r="C27" s="221"/>
      <c r="D27" s="76" t="s">
        <v>950</v>
      </c>
      <c r="E27" s="221"/>
      <c r="F27" s="83">
        <f>'FERC Form 1 Inputs'!J11</f>
        <v>1387946261</v>
      </c>
      <c r="G27" s="83">
        <f>'FERC Form 1 Inputs'!N11</f>
        <v>1401617026.1199999</v>
      </c>
      <c r="H27" s="221"/>
      <c r="I27" s="83">
        <f t="shared" si="1"/>
        <v>1394781644</v>
      </c>
      <c r="J27" s="221"/>
      <c r="K27" s="221" t="s">
        <v>73</v>
      </c>
      <c r="L27" s="31">
        <f>'Allocation Factors'!$G$13</f>
        <v>0.91713571027193685</v>
      </c>
      <c r="M27" s="83">
        <f>I27*L27</f>
        <v>1279204053.7441998</v>
      </c>
    </row>
    <row r="28" spans="1:17" x14ac:dyDescent="0.25">
      <c r="A28" s="186" t="s">
        <v>221</v>
      </c>
      <c r="B28" s="221" t="s">
        <v>223</v>
      </c>
      <c r="C28" s="221"/>
      <c r="D28" s="76" t="s">
        <v>608</v>
      </c>
      <c r="E28" s="221"/>
      <c r="F28" s="225">
        <f>'Attach P - AFUDC'!AP34</f>
        <v>391814.109452</v>
      </c>
      <c r="G28" s="225">
        <f>'Attach P - AFUDC'!AR34</f>
        <v>473019.64945199998</v>
      </c>
      <c r="H28" s="221"/>
      <c r="I28" s="83">
        <f t="shared" si="1"/>
        <v>432417</v>
      </c>
      <c r="J28" s="221"/>
      <c r="K28" s="221" t="s">
        <v>73</v>
      </c>
      <c r="L28" s="31">
        <f>'Allocation Factors'!$G$13</f>
        <v>0.91713571027193685</v>
      </c>
      <c r="M28" s="83">
        <f>I28*L28</f>
        <v>396585.07242866012</v>
      </c>
    </row>
    <row r="29" spans="1:17" x14ac:dyDescent="0.25">
      <c r="A29" s="25">
        <v>9</v>
      </c>
      <c r="B29" s="221" t="s">
        <v>18</v>
      </c>
      <c r="C29" s="221"/>
      <c r="D29" s="76" t="s">
        <v>951</v>
      </c>
      <c r="E29" s="221"/>
      <c r="F29" s="83">
        <f>'FERC Form 1 Inputs'!J12</f>
        <v>4561335790</v>
      </c>
      <c r="G29" s="83">
        <f>'FERC Form 1 Inputs'!N12</f>
        <v>4657709406</v>
      </c>
      <c r="H29" s="221"/>
      <c r="I29" s="83">
        <f t="shared" si="1"/>
        <v>4609522598</v>
      </c>
      <c r="J29" s="221"/>
      <c r="K29" s="221" t="s">
        <v>72</v>
      </c>
      <c r="L29" s="31"/>
      <c r="M29" s="83"/>
    </row>
    <row r="30" spans="1:17" x14ac:dyDescent="0.25">
      <c r="A30" s="25">
        <v>10</v>
      </c>
      <c r="B30" s="221" t="s">
        <v>19</v>
      </c>
      <c r="C30" s="221"/>
      <c r="D30" s="76" t="s">
        <v>952</v>
      </c>
      <c r="E30" s="221"/>
      <c r="F30" s="83">
        <f>'FERC Form 1 Inputs'!J13</f>
        <v>356296118</v>
      </c>
      <c r="G30" s="83">
        <f>'FERC Form 1 Inputs'!N13</f>
        <v>395580917</v>
      </c>
      <c r="H30" s="221"/>
      <c r="I30" s="83">
        <f t="shared" si="1"/>
        <v>375938518</v>
      </c>
      <c r="J30" s="221"/>
      <c r="K30" s="221" t="s">
        <v>74</v>
      </c>
      <c r="L30" s="31">
        <f>'Allocation Factors'!$G$21</f>
        <v>3.54809369866841E-2</v>
      </c>
      <c r="M30" s="83">
        <f>I30*L30</f>
        <v>13338650.868025407</v>
      </c>
    </row>
    <row r="31" spans="1:17" x14ac:dyDescent="0.25">
      <c r="A31" s="186" t="s">
        <v>320</v>
      </c>
      <c r="B31" s="221" t="s">
        <v>258</v>
      </c>
      <c r="C31" s="221"/>
      <c r="D31" s="76" t="s">
        <v>761</v>
      </c>
      <c r="E31" s="221"/>
      <c r="F31" s="26">
        <f>'Attach P - AFUDC'!D43</f>
        <v>-206700</v>
      </c>
      <c r="G31" s="26">
        <f>'Attach P - AFUDC'!C43</f>
        <v>-173146</v>
      </c>
      <c r="H31" s="221"/>
      <c r="I31" s="83">
        <f t="shared" si="1"/>
        <v>-189923</v>
      </c>
      <c r="J31" s="221"/>
      <c r="K31" s="221" t="s">
        <v>74</v>
      </c>
      <c r="L31" s="31">
        <f>'Allocation Factors'!$G$21</f>
        <v>3.54809369866841E-2</v>
      </c>
      <c r="M31" s="83">
        <f>I31*L31</f>
        <v>-6738.6459953220046</v>
      </c>
    </row>
    <row r="32" spans="1:17" x14ac:dyDescent="0.25">
      <c r="A32" s="186" t="s">
        <v>328</v>
      </c>
      <c r="B32" s="221" t="s">
        <v>329</v>
      </c>
      <c r="C32" s="221"/>
      <c r="D32" s="76" t="s">
        <v>774</v>
      </c>
      <c r="E32" s="221"/>
      <c r="F32" s="226">
        <v>-3732871.7686053589</v>
      </c>
      <c r="G32" s="83">
        <f>-G30*'Schedule 1'!$G$55</f>
        <v>-27868102.440185074</v>
      </c>
      <c r="H32" s="221"/>
      <c r="I32" s="83">
        <f t="shared" si="1"/>
        <v>-15800487</v>
      </c>
      <c r="J32" s="221"/>
      <c r="K32" s="221" t="s">
        <v>74</v>
      </c>
      <c r="L32" s="31">
        <f>'Allocation Factors'!$G$21</f>
        <v>3.54809369866841E-2</v>
      </c>
      <c r="M32" s="83">
        <f>I32*L32</f>
        <v>-560616.08360592125</v>
      </c>
    </row>
    <row r="33" spans="1:13" x14ac:dyDescent="0.25">
      <c r="A33" s="25">
        <v>11</v>
      </c>
      <c r="B33" s="221" t="s">
        <v>20</v>
      </c>
      <c r="C33" s="221"/>
      <c r="D33" s="76" t="s">
        <v>177</v>
      </c>
      <c r="E33" s="221"/>
      <c r="F33" s="2">
        <f>'FERC Form 1 Inputs'!J14</f>
        <v>508656957</v>
      </c>
      <c r="G33" s="2">
        <f>'FERC Form 1 Inputs'!N14</f>
        <v>550145243</v>
      </c>
      <c r="H33" s="221"/>
      <c r="I33" s="2">
        <f t="shared" si="1"/>
        <v>529401100</v>
      </c>
      <c r="J33" s="221"/>
      <c r="K33" s="221"/>
      <c r="L33" s="174" t="s">
        <v>380</v>
      </c>
      <c r="M33" s="2">
        <f>'Attach M -Intangibles Acc Amort'!I107</f>
        <v>23638056.812311705</v>
      </c>
    </row>
    <row r="34" spans="1:13" x14ac:dyDescent="0.25">
      <c r="A34" s="25">
        <v>12</v>
      </c>
      <c r="B34" s="11" t="s">
        <v>15</v>
      </c>
      <c r="C34" s="221"/>
      <c r="E34" s="221"/>
      <c r="F34" s="83">
        <f>SUM(F24:F33)</f>
        <v>14773695155.61688</v>
      </c>
      <c r="G34" s="83">
        <f>SUM(G24:G33)</f>
        <v>15327047082.364502</v>
      </c>
      <c r="H34" s="221"/>
      <c r="I34" s="83">
        <f>SUM(I24:I33)</f>
        <v>15050371120</v>
      </c>
      <c r="J34" s="221"/>
      <c r="K34" s="221"/>
      <c r="L34" s="31"/>
      <c r="M34" s="83">
        <f>SUM(M24:M33)</f>
        <v>1316009991.767364</v>
      </c>
    </row>
    <row r="35" spans="1:13" x14ac:dyDescent="0.25">
      <c r="B35" s="221"/>
      <c r="C35" s="221"/>
      <c r="E35" s="221"/>
      <c r="F35" s="83"/>
      <c r="G35" s="83"/>
      <c r="H35" s="221"/>
      <c r="J35" s="221"/>
      <c r="K35" s="221"/>
      <c r="M35" s="83"/>
    </row>
    <row r="36" spans="1:13" x14ac:dyDescent="0.25">
      <c r="B36" s="11" t="s">
        <v>21</v>
      </c>
      <c r="C36" s="221"/>
      <c r="E36" s="221"/>
      <c r="F36" s="83"/>
      <c r="G36" s="83"/>
      <c r="H36" s="221"/>
      <c r="J36" s="221"/>
      <c r="K36" s="221"/>
      <c r="M36" s="83"/>
    </row>
    <row r="37" spans="1:13" x14ac:dyDescent="0.25">
      <c r="A37" s="25">
        <v>13</v>
      </c>
      <c r="B37" s="221" t="s">
        <v>22</v>
      </c>
      <c r="C37" s="221"/>
      <c r="D37" s="76" t="s">
        <v>481</v>
      </c>
      <c r="E37" s="221"/>
      <c r="F37" s="83">
        <f>F10+F11-F24-F25-F26+F12+F13</f>
        <v>12556759883.723963</v>
      </c>
      <c r="G37" s="83">
        <f>G10+G11-G24-G25-G26+G12+G13</f>
        <v>12680617249.964764</v>
      </c>
      <c r="H37" s="221"/>
      <c r="I37" s="83">
        <f>ROUND((F37+G37)/2,0)</f>
        <v>12618688567</v>
      </c>
      <c r="J37" s="221"/>
      <c r="K37" s="221"/>
      <c r="M37" s="83">
        <f>M10+M11+M12+M13-M24-M25-M26</f>
        <v>0</v>
      </c>
    </row>
    <row r="38" spans="1:13" x14ac:dyDescent="0.25">
      <c r="A38" s="25">
        <v>14</v>
      </c>
      <c r="B38" s="221" t="s">
        <v>23</v>
      </c>
      <c r="C38" s="221"/>
      <c r="D38" s="76" t="s">
        <v>482</v>
      </c>
      <c r="E38" s="221"/>
      <c r="F38" s="83">
        <f>F14+F15-F27-F28</f>
        <v>2174123882.8905482</v>
      </c>
      <c r="G38" s="83">
        <f>G14+G15-G27-G28</f>
        <v>2460833059.0605478</v>
      </c>
      <c r="H38" s="221"/>
      <c r="I38" s="83">
        <f>ROUND((F38+G38)/2,0)</f>
        <v>2317478471</v>
      </c>
      <c r="J38" s="221"/>
      <c r="K38" s="221"/>
      <c r="M38" s="83">
        <f>M14+M15-M27-M28</f>
        <v>2125442262.6233711</v>
      </c>
    </row>
    <row r="39" spans="1:13" x14ac:dyDescent="0.25">
      <c r="A39" s="25">
        <v>15</v>
      </c>
      <c r="B39" s="221" t="s">
        <v>24</v>
      </c>
      <c r="C39" s="221"/>
      <c r="D39" s="76" t="s">
        <v>40</v>
      </c>
      <c r="E39" s="221"/>
      <c r="F39" s="83">
        <f>F16-F29</f>
        <v>6191692543</v>
      </c>
      <c r="G39" s="83">
        <f>G16-G29</f>
        <v>6691623402.1700001</v>
      </c>
      <c r="H39" s="221"/>
      <c r="I39" s="83">
        <f>ROUND((F39+G39)/2,0)</f>
        <v>6441657973</v>
      </c>
      <c r="J39" s="221"/>
      <c r="K39" s="221"/>
      <c r="M39" s="83">
        <f>M16-M29</f>
        <v>0</v>
      </c>
    </row>
    <row r="40" spans="1:13" x14ac:dyDescent="0.25">
      <c r="A40" s="25">
        <v>16</v>
      </c>
      <c r="B40" s="221" t="s">
        <v>25</v>
      </c>
      <c r="C40" s="221"/>
      <c r="D40" s="76" t="s">
        <v>483</v>
      </c>
      <c r="E40" s="221"/>
      <c r="F40" s="83">
        <f>F17+F18+F19-F30-F31-F32</f>
        <v>545906358.01860535</v>
      </c>
      <c r="G40" s="83">
        <f>G17+G18+G19-G30-G31-G32</f>
        <v>617927483.18018508</v>
      </c>
      <c r="H40" s="221"/>
      <c r="I40" s="83">
        <f>ROUND((F40+G40)/2,0)</f>
        <v>581916921</v>
      </c>
      <c r="J40" s="221"/>
      <c r="K40" s="221"/>
      <c r="M40" s="83">
        <f>M17+M18+M19-M30-M31-M32</f>
        <v>20646957.57000529</v>
      </c>
    </row>
    <row r="41" spans="1:13" x14ac:dyDescent="0.25">
      <c r="A41" s="25">
        <v>17</v>
      </c>
      <c r="B41" s="221" t="s">
        <v>26</v>
      </c>
      <c r="C41" s="221"/>
      <c r="D41" s="76" t="s">
        <v>41</v>
      </c>
      <c r="E41" s="221"/>
      <c r="F41" s="2">
        <f>F20-F33</f>
        <v>308893070</v>
      </c>
      <c r="G41" s="2">
        <f>G20-G33</f>
        <v>393345735</v>
      </c>
      <c r="H41" s="221"/>
      <c r="I41" s="2">
        <f>ROUND((F41+G41)/2,0)</f>
        <v>351119403</v>
      </c>
      <c r="J41" s="221"/>
      <c r="K41" s="221"/>
      <c r="M41" s="2">
        <f>M20-M33</f>
        <v>8712768.3849968463</v>
      </c>
    </row>
    <row r="42" spans="1:13" x14ac:dyDescent="0.25">
      <c r="A42" s="25">
        <v>18</v>
      </c>
      <c r="B42" s="15" t="s">
        <v>27</v>
      </c>
      <c r="C42" s="221"/>
      <c r="E42" s="221"/>
      <c r="F42" s="83">
        <f>SUM(F37:F41)</f>
        <v>21777375737.633114</v>
      </c>
      <c r="G42" s="83">
        <f>SUM(G37:G41)</f>
        <v>22844346929.375496</v>
      </c>
      <c r="H42" s="221"/>
      <c r="I42" s="83">
        <f>SUM(I37:I41)</f>
        <v>22310861335</v>
      </c>
      <c r="J42" s="221"/>
      <c r="K42" s="221" t="s">
        <v>135</v>
      </c>
      <c r="L42" s="21">
        <f>M42/I42</f>
        <v>9.65808516409917E-2</v>
      </c>
      <c r="M42" s="83">
        <f>SUM(M37:M41)</f>
        <v>2154801988.578373</v>
      </c>
    </row>
    <row r="43" spans="1:13" x14ac:dyDescent="0.25">
      <c r="B43" s="221"/>
      <c r="C43" s="221"/>
      <c r="E43" s="221"/>
      <c r="F43" s="83"/>
      <c r="G43" s="83"/>
      <c r="H43" s="221"/>
      <c r="J43" s="221"/>
      <c r="K43" s="221"/>
      <c r="M43" s="83"/>
    </row>
    <row r="44" spans="1:13" x14ac:dyDescent="0.25">
      <c r="B44" s="11" t="s">
        <v>28</v>
      </c>
      <c r="C44" s="221"/>
      <c r="E44" s="221"/>
      <c r="F44" s="83"/>
      <c r="G44" s="83"/>
      <c r="H44" s="221"/>
      <c r="J44" s="221"/>
      <c r="K44" s="221"/>
      <c r="M44" s="83"/>
    </row>
    <row r="45" spans="1:13" x14ac:dyDescent="0.25">
      <c r="A45" s="25">
        <v>19</v>
      </c>
      <c r="B45" s="221" t="s">
        <v>29</v>
      </c>
      <c r="C45" s="221"/>
      <c r="D45" s="76" t="s">
        <v>570</v>
      </c>
      <c r="E45" s="221"/>
      <c r="F45" s="83">
        <f>'FERC Form 1 Inputs'!J15</f>
        <v>2720556256</v>
      </c>
      <c r="G45" s="83">
        <f>'FERC Form 1 Inputs'!N15</f>
        <v>2686883097</v>
      </c>
      <c r="H45" s="221"/>
      <c r="I45" s="83">
        <f>ROUND((F45+G45)/2,0)</f>
        <v>2703719677</v>
      </c>
      <c r="J45" s="221"/>
      <c r="K45" s="221"/>
      <c r="L45" s="21" t="s">
        <v>407</v>
      </c>
      <c r="M45" s="83">
        <f>'Attach A - Acct 190'!I31+'Attach A - Acct 190'!I47</f>
        <v>1002746.3169068056</v>
      </c>
    </row>
    <row r="46" spans="1:13" x14ac:dyDescent="0.25">
      <c r="A46" s="25">
        <v>20</v>
      </c>
      <c r="B46" s="221" t="s">
        <v>953</v>
      </c>
      <c r="C46" s="221"/>
      <c r="D46" s="76" t="s">
        <v>954</v>
      </c>
      <c r="E46" s="221"/>
      <c r="F46" s="83">
        <f>'FERC Form 1 Inputs'!J16</f>
        <v>0</v>
      </c>
      <c r="G46" s="83">
        <f>'FERC Form 1 Inputs'!N16</f>
        <v>0</v>
      </c>
      <c r="H46" s="221"/>
      <c r="I46" s="83">
        <f>ROUND((F46+G46)/2,0)</f>
        <v>0</v>
      </c>
      <c r="J46" s="221"/>
      <c r="K46" s="221"/>
      <c r="L46" s="21" t="s">
        <v>260</v>
      </c>
      <c r="M46" s="83">
        <f>'Attach B - Acct 282'!I15</f>
        <v>0</v>
      </c>
    </row>
    <row r="47" spans="1:13" x14ac:dyDescent="0.25">
      <c r="A47" s="25">
        <v>21</v>
      </c>
      <c r="B47" s="221" t="s">
        <v>762</v>
      </c>
      <c r="C47" s="221"/>
      <c r="D47" s="76" t="s">
        <v>322</v>
      </c>
      <c r="E47" s="221"/>
      <c r="F47" s="83">
        <f>-'FERC Form 1 Inputs'!J17</f>
        <v>-6453624577</v>
      </c>
      <c r="G47" s="83">
        <f>-'FERC Form 1 Inputs'!N17</f>
        <v>-6579720785</v>
      </c>
      <c r="H47" s="221"/>
      <c r="I47" s="83">
        <f>ROUND((F47+G47)/2,0)</f>
        <v>-6516672681</v>
      </c>
      <c r="J47" s="221"/>
      <c r="K47" s="221"/>
      <c r="L47" s="21" t="s">
        <v>260</v>
      </c>
      <c r="M47" s="83">
        <f>'Attach B - Acct 282'!I23</f>
        <v>-537700502.50861371</v>
      </c>
    </row>
    <row r="48" spans="1:13" x14ac:dyDescent="0.25">
      <c r="A48" s="25">
        <v>22</v>
      </c>
      <c r="B48" s="221" t="s">
        <v>30</v>
      </c>
      <c r="C48" s="221"/>
      <c r="D48" s="76" t="s">
        <v>321</v>
      </c>
      <c r="E48" s="221"/>
      <c r="F48" s="2">
        <f>-'FERC Form 1 Inputs'!J18</f>
        <v>-2812929163</v>
      </c>
      <c r="G48" s="2">
        <f>-'FERC Form 1 Inputs'!N18</f>
        <v>-2976389269</v>
      </c>
      <c r="H48" s="221"/>
      <c r="I48" s="2">
        <f>ROUND((F48+G48)/2,0)</f>
        <v>-2894659216</v>
      </c>
      <c r="J48" s="221"/>
      <c r="K48" s="221"/>
      <c r="L48" s="21" t="s">
        <v>261</v>
      </c>
      <c r="M48" s="2">
        <f>'Attach C - Acct 283'!I23+'Attach C - Acct 283'!I40</f>
        <v>-12195507.093943473</v>
      </c>
    </row>
    <row r="49" spans="1:16" x14ac:dyDescent="0.25">
      <c r="A49" s="25">
        <v>23</v>
      </c>
      <c r="B49" s="11" t="s">
        <v>31</v>
      </c>
      <c r="C49" s="221"/>
      <c r="E49" s="221"/>
      <c r="F49" s="83">
        <f>SUM(F45:F48)</f>
        <v>-6545997484</v>
      </c>
      <c r="G49" s="83">
        <f>SUM(G45:G48)</f>
        <v>-6869226957</v>
      </c>
      <c r="H49" s="221"/>
      <c r="I49" s="83">
        <f>SUM(I45:I48)</f>
        <v>-6707612220</v>
      </c>
      <c r="J49" s="221"/>
      <c r="K49" s="221"/>
      <c r="M49" s="83">
        <f>SUM(M45:M48)</f>
        <v>-548893263.28565037</v>
      </c>
    </row>
    <row r="50" spans="1:16" x14ac:dyDescent="0.25">
      <c r="B50" s="221"/>
      <c r="C50" s="221"/>
      <c r="E50" s="221"/>
      <c r="F50" s="83"/>
      <c r="G50" s="83"/>
      <c r="H50" s="221"/>
      <c r="J50" s="221"/>
      <c r="K50" s="221"/>
      <c r="M50" s="83"/>
    </row>
    <row r="51" spans="1:16" x14ac:dyDescent="0.25">
      <c r="B51" s="11" t="s">
        <v>216</v>
      </c>
      <c r="C51" s="221"/>
      <c r="E51" s="221"/>
      <c r="F51" s="83"/>
      <c r="G51" s="83"/>
      <c r="H51" s="221"/>
      <c r="J51" s="221"/>
      <c r="K51" s="221"/>
      <c r="M51" s="83"/>
    </row>
    <row r="52" spans="1:16" x14ac:dyDescent="0.25">
      <c r="A52" s="25">
        <v>24</v>
      </c>
      <c r="B52" s="221" t="s">
        <v>556</v>
      </c>
      <c r="C52" s="221"/>
      <c r="D52" s="76" t="s">
        <v>594</v>
      </c>
      <c r="E52" s="221"/>
      <c r="F52" s="83">
        <f>'Attach D - Acct 182'!B10+'Attach E - Acct 228'!B46</f>
        <v>-95099965</v>
      </c>
      <c r="G52" s="83">
        <f>'Attach D - Acct 182'!C10+'Attach E - Acct 228'!C46</f>
        <v>-89513551</v>
      </c>
      <c r="H52" s="221"/>
      <c r="I52" s="83">
        <f>ROUND((F52+G52)/2,0)</f>
        <v>-92306758</v>
      </c>
      <c r="J52" s="221"/>
      <c r="K52" s="221" t="s">
        <v>74</v>
      </c>
      <c r="L52" s="21">
        <f>'Allocation Factors'!$G$21</f>
        <v>3.54809369866841E-2</v>
      </c>
      <c r="M52" s="83">
        <f>I52*L52</f>
        <v>-3275130.2640430983</v>
      </c>
    </row>
    <row r="53" spans="1:16" x14ac:dyDescent="0.25">
      <c r="A53" s="25">
        <v>25</v>
      </c>
      <c r="B53" s="221" t="s">
        <v>1038</v>
      </c>
      <c r="C53" s="221"/>
      <c r="D53" s="76" t="s">
        <v>595</v>
      </c>
      <c r="E53" s="221"/>
      <c r="F53" s="83">
        <f>'Attach D - Acct 182'!B11+'Attach F - Acct 253-254'!B10+'Attach F - Acct 253-254'!B11+'Attach F - Acct 253-254'!B23+'Attach F - Acct 253-254'!B24</f>
        <v>430043023</v>
      </c>
      <c r="G53" s="83">
        <f>'Attach D - Acct 182'!C11+'Attach F - Acct 253-254'!C10+'Attach F - Acct 253-254'!C11+'Attach F - Acct 253-254'!C23+'Attach F - Acct 253-254'!C24</f>
        <v>360893578</v>
      </c>
      <c r="H53" s="221"/>
      <c r="I53" s="83">
        <f>ROUND((F53+G53)/2,0)</f>
        <v>395468301</v>
      </c>
      <c r="J53" s="221"/>
      <c r="K53" s="221" t="s">
        <v>74</v>
      </c>
      <c r="L53" s="21">
        <f>'Allocation Factors'!$G$21</f>
        <v>3.54809369866841E-2</v>
      </c>
      <c r="M53" s="83">
        <f>I53*L53</f>
        <v>14031585.86801202</v>
      </c>
    </row>
    <row r="54" spans="1:16" x14ac:dyDescent="0.25">
      <c r="A54" s="25">
        <v>26</v>
      </c>
      <c r="B54" s="221" t="s">
        <v>1037</v>
      </c>
      <c r="C54" s="221"/>
      <c r="D54" s="76" t="s">
        <v>569</v>
      </c>
      <c r="E54" s="221"/>
      <c r="F54" s="83">
        <f>'FERC Form 1 Inputs'!J19</f>
        <v>3019657037</v>
      </c>
      <c r="G54" s="83">
        <f>'FERC Form 1 Inputs'!N19</f>
        <v>2760098689</v>
      </c>
      <c r="H54" s="221"/>
      <c r="I54" s="83">
        <f>ROUND((F54+G54)/2,0)</f>
        <v>2889877863</v>
      </c>
      <c r="J54" s="221"/>
      <c r="K54" s="221"/>
      <c r="M54" s="83">
        <f>'Attach D - Acct 182'!I67</f>
        <v>0</v>
      </c>
    </row>
    <row r="55" spans="1:16" x14ac:dyDescent="0.25">
      <c r="A55" s="25">
        <v>27</v>
      </c>
      <c r="B55" s="221" t="s">
        <v>187</v>
      </c>
      <c r="C55" s="221"/>
      <c r="D55" s="76" t="s">
        <v>1089</v>
      </c>
      <c r="E55" s="221"/>
      <c r="F55" s="17">
        <f>-'FERC Form 1 Inputs'!J20</f>
        <v>-514617809</v>
      </c>
      <c r="G55" s="17">
        <f>-'FERC Form 1 Inputs'!N20</f>
        <v>-491016994</v>
      </c>
      <c r="H55" s="1"/>
      <c r="I55" s="17">
        <f>ROUND((F55+G55)/2,0)</f>
        <v>-502817402</v>
      </c>
      <c r="J55" s="1"/>
      <c r="K55" s="1"/>
      <c r="L55" s="187"/>
      <c r="M55" s="17">
        <f>'Attach E - Acct 228'!I30</f>
        <v>-216355.59480356757</v>
      </c>
    </row>
    <row r="56" spans="1:16" x14ac:dyDescent="0.25">
      <c r="A56" s="25">
        <v>28</v>
      </c>
      <c r="B56" s="200" t="s">
        <v>1084</v>
      </c>
      <c r="C56" s="221"/>
      <c r="D56" s="76" t="s">
        <v>1090</v>
      </c>
      <c r="E56" s="221"/>
      <c r="F56" s="2">
        <f>-'FERC Form 1 Inputs'!J21</f>
        <v>-93529465</v>
      </c>
      <c r="G56" s="2">
        <f>-'FERC Form 1 Inputs'!N21</f>
        <v>-99736918</v>
      </c>
      <c r="H56" s="180"/>
      <c r="I56" s="2">
        <f>ROUND((F56+G56)/2,0)</f>
        <v>-96633192</v>
      </c>
      <c r="J56" s="221"/>
      <c r="K56" s="221" t="s">
        <v>75</v>
      </c>
      <c r="L56" s="21">
        <f>'Rate Base'!$L$21</f>
        <v>9.2898755005257905E-2</v>
      </c>
      <c r="M56" s="2">
        <f>I56*L56</f>
        <v>-8977103.2289840486</v>
      </c>
    </row>
    <row r="57" spans="1:16" x14ac:dyDescent="0.25">
      <c r="A57" s="25">
        <v>29</v>
      </c>
      <c r="B57" s="11" t="s">
        <v>544</v>
      </c>
      <c r="C57" s="221"/>
      <c r="E57" s="221"/>
      <c r="F57" s="83">
        <f>SUM(F52:F56)</f>
        <v>2746452821</v>
      </c>
      <c r="G57" s="83">
        <f>SUM(G52:G56)</f>
        <v>2440724804</v>
      </c>
      <c r="H57" s="221"/>
      <c r="I57" s="83">
        <f>SUM(I52:I56)</f>
        <v>2593588812</v>
      </c>
      <c r="J57" s="221"/>
      <c r="K57" s="221"/>
      <c r="M57" s="83">
        <f>SUM(M52:M56)</f>
        <v>1562996.7801813055</v>
      </c>
    </row>
    <row r="58" spans="1:16" x14ac:dyDescent="0.25">
      <c r="B58" s="221"/>
      <c r="C58" s="221"/>
      <c r="E58" s="221"/>
      <c r="F58" s="83"/>
      <c r="G58" s="83"/>
      <c r="H58" s="221"/>
      <c r="J58" s="221"/>
      <c r="K58" s="221"/>
      <c r="M58" s="83"/>
    </row>
    <row r="59" spans="1:16" x14ac:dyDescent="0.25">
      <c r="A59" s="25">
        <v>30</v>
      </c>
      <c r="B59" s="11" t="s">
        <v>32</v>
      </c>
      <c r="C59" s="221"/>
      <c r="D59" s="76" t="s">
        <v>186</v>
      </c>
      <c r="E59" s="221"/>
      <c r="F59" s="226">
        <f>57252+1029668</f>
        <v>1086920</v>
      </c>
      <c r="G59" s="226">
        <f>1695755.28+9359</f>
        <v>1705114.28</v>
      </c>
      <c r="H59" s="221"/>
      <c r="I59" s="83">
        <f>ROUND((F59+G59)/2,0)</f>
        <v>1396017</v>
      </c>
      <c r="J59" s="221"/>
      <c r="K59" s="221"/>
      <c r="M59" s="83">
        <f>I59</f>
        <v>1396017</v>
      </c>
      <c r="P59" s="214"/>
    </row>
    <row r="60" spans="1:16" x14ac:dyDescent="0.25">
      <c r="B60" s="221"/>
      <c r="C60" s="221"/>
      <c r="E60" s="221"/>
      <c r="F60" s="83"/>
      <c r="G60" s="83"/>
      <c r="H60" s="221"/>
      <c r="J60" s="221"/>
      <c r="K60" s="221"/>
      <c r="M60" s="83"/>
    </row>
    <row r="61" spans="1:16" x14ac:dyDescent="0.25">
      <c r="A61" s="25">
        <v>31</v>
      </c>
      <c r="B61" s="11" t="s">
        <v>533</v>
      </c>
      <c r="C61" s="221"/>
      <c r="D61" s="76" t="s">
        <v>532</v>
      </c>
      <c r="E61" s="221"/>
      <c r="F61" s="226">
        <v>0</v>
      </c>
      <c r="G61" s="226">
        <v>0</v>
      </c>
      <c r="H61" s="221"/>
      <c r="I61" s="83">
        <f>ROUND((F61+G61)/2,0)</f>
        <v>0</v>
      </c>
      <c r="J61" s="221"/>
      <c r="K61" s="221"/>
      <c r="L61" s="229">
        <v>50</v>
      </c>
      <c r="M61" s="83">
        <f>I61*L61</f>
        <v>0</v>
      </c>
    </row>
    <row r="62" spans="1:16" x14ac:dyDescent="0.25">
      <c r="A62" s="25">
        <v>32</v>
      </c>
      <c r="B62" s="11" t="s">
        <v>535</v>
      </c>
      <c r="C62" s="221"/>
      <c r="D62" s="76" t="s">
        <v>534</v>
      </c>
      <c r="E62" s="221"/>
      <c r="F62" s="226">
        <v>0</v>
      </c>
      <c r="G62" s="226">
        <v>0</v>
      </c>
      <c r="H62" s="221"/>
      <c r="I62" s="83">
        <f>ROUND((F62+G62)/2,0)</f>
        <v>0</v>
      </c>
      <c r="J62" s="221"/>
      <c r="K62" s="221" t="s">
        <v>73</v>
      </c>
      <c r="L62" s="31">
        <f>'Allocation Factors'!$G$13</f>
        <v>0.91713571027193685</v>
      </c>
      <c r="M62" s="83">
        <f>I62*L62</f>
        <v>0</v>
      </c>
    </row>
    <row r="63" spans="1:16" x14ac:dyDescent="0.25">
      <c r="B63" s="221"/>
      <c r="C63" s="221"/>
      <c r="E63" s="221"/>
      <c r="F63" s="83"/>
      <c r="G63" s="83"/>
      <c r="H63" s="221"/>
      <c r="J63" s="221"/>
      <c r="K63" s="221"/>
      <c r="M63" s="83"/>
    </row>
    <row r="64" spans="1:16" x14ac:dyDescent="0.25">
      <c r="B64" s="11" t="s">
        <v>763</v>
      </c>
      <c r="C64" s="221"/>
      <c r="E64" s="221"/>
      <c r="F64" s="83"/>
      <c r="G64" s="83"/>
      <c r="H64" s="221"/>
      <c r="J64" s="221"/>
      <c r="K64" s="221"/>
      <c r="M64" s="83"/>
    </row>
    <row r="65" spans="1:14" x14ac:dyDescent="0.25">
      <c r="A65" s="25">
        <v>33</v>
      </c>
      <c r="B65" s="221" t="s">
        <v>33</v>
      </c>
      <c r="C65" s="221"/>
      <c r="D65" s="291" t="s">
        <v>272</v>
      </c>
      <c r="E65" s="221"/>
      <c r="F65" s="83">
        <f>'Attach J - Prepayment'!G12</f>
        <v>0</v>
      </c>
      <c r="G65" s="83">
        <f>'Attach J - Prepayment'!I48</f>
        <v>0</v>
      </c>
      <c r="H65" s="221"/>
      <c r="I65" s="83">
        <f>ROUND((F65+G65)/2,0)</f>
        <v>0</v>
      </c>
      <c r="J65" s="25"/>
      <c r="K65" s="25" t="s">
        <v>95</v>
      </c>
      <c r="L65" s="229">
        <v>-1</v>
      </c>
      <c r="M65" s="26">
        <f>I65*L65</f>
        <v>0</v>
      </c>
    </row>
    <row r="66" spans="1:14" x14ac:dyDescent="0.25">
      <c r="A66" s="25">
        <v>34</v>
      </c>
      <c r="B66" s="5" t="s">
        <v>34</v>
      </c>
      <c r="C66" s="221"/>
      <c r="D66" s="291" t="s">
        <v>272</v>
      </c>
      <c r="E66" s="221"/>
      <c r="F66" s="17">
        <f>'Attach J - Prepayment'!K50</f>
        <v>0</v>
      </c>
      <c r="G66" s="17">
        <f>'Attach J - Prepayment'!K48</f>
        <v>0</v>
      </c>
      <c r="H66" s="1"/>
      <c r="I66" s="17">
        <f>ROUND((F66+G66)/2,0)</f>
        <v>0</v>
      </c>
      <c r="J66" s="42"/>
      <c r="K66" s="42" t="s">
        <v>95</v>
      </c>
      <c r="L66" s="230">
        <v>1</v>
      </c>
      <c r="M66" s="175">
        <f>I66</f>
        <v>0</v>
      </c>
    </row>
    <row r="67" spans="1:14" x14ac:dyDescent="0.25">
      <c r="A67" s="25" t="s">
        <v>1083</v>
      </c>
      <c r="B67" s="5" t="s">
        <v>723</v>
      </c>
      <c r="C67" s="221"/>
      <c r="D67" s="291" t="s">
        <v>272</v>
      </c>
      <c r="E67" s="221"/>
      <c r="F67" s="2">
        <f>-'Attach J - Prepayment'!K24</f>
        <v>0</v>
      </c>
      <c r="G67" s="2">
        <f>-'Attach J - Prepayment'!K57</f>
        <v>0</v>
      </c>
      <c r="H67" s="221"/>
      <c r="I67" s="2">
        <f>ROUND((F67+G67)/2,0)</f>
        <v>0</v>
      </c>
      <c r="J67" s="25"/>
      <c r="K67" s="25" t="s">
        <v>95</v>
      </c>
      <c r="L67" s="229">
        <v>1</v>
      </c>
      <c r="M67" s="176">
        <f>I67</f>
        <v>0</v>
      </c>
    </row>
    <row r="68" spans="1:14" x14ac:dyDescent="0.25">
      <c r="A68" s="25">
        <v>35</v>
      </c>
      <c r="B68" s="11" t="s">
        <v>35</v>
      </c>
      <c r="C68" s="221"/>
      <c r="E68" s="221"/>
      <c r="F68" s="83">
        <f>SUM(F65:F67)</f>
        <v>0</v>
      </c>
      <c r="G68" s="83">
        <f>SUM(G65:G67)</f>
        <v>0</v>
      </c>
      <c r="H68" s="221"/>
      <c r="I68" s="83">
        <f>SUM(I65:I67)</f>
        <v>0</v>
      </c>
      <c r="J68" s="221"/>
      <c r="K68" s="221"/>
      <c r="M68" s="83">
        <f>SUM(M65:M67)</f>
        <v>0</v>
      </c>
    </row>
    <row r="69" spans="1:14" x14ac:dyDescent="0.25">
      <c r="B69" s="221"/>
      <c r="C69" s="221"/>
      <c r="E69" s="221"/>
      <c r="F69" s="83"/>
      <c r="G69" s="83"/>
      <c r="H69" s="221"/>
      <c r="J69" s="221"/>
      <c r="K69" s="221"/>
      <c r="M69" s="83"/>
    </row>
    <row r="70" spans="1:14" x14ac:dyDescent="0.25">
      <c r="B70" s="11" t="s">
        <v>36</v>
      </c>
      <c r="C70" s="221"/>
      <c r="E70" s="221"/>
      <c r="F70" s="173"/>
      <c r="G70" s="83"/>
      <c r="H70" s="221"/>
      <c r="J70" s="221"/>
      <c r="K70" s="221"/>
      <c r="M70" s="83"/>
    </row>
    <row r="71" spans="1:14" x14ac:dyDescent="0.25">
      <c r="A71" s="25">
        <v>36</v>
      </c>
      <c r="B71" s="221" t="s">
        <v>37</v>
      </c>
      <c r="C71" s="221"/>
      <c r="D71" s="291" t="s">
        <v>549</v>
      </c>
      <c r="E71" s="221"/>
      <c r="F71" s="225">
        <f>((1/8)*61613084)</f>
        <v>7701635.5</v>
      </c>
      <c r="G71" s="83">
        <f>'Revenue Requirement'!J29/8</f>
        <v>7022484.329031474</v>
      </c>
      <c r="H71" s="221"/>
      <c r="I71" s="83">
        <f>ROUND((F71+G71)/2,0)</f>
        <v>7362060</v>
      </c>
      <c r="J71" s="221"/>
      <c r="K71" s="221" t="s">
        <v>73</v>
      </c>
      <c r="L71" s="31">
        <f>'Allocation Factors'!$G$13</f>
        <v>0.91713571027193685</v>
      </c>
      <c r="M71" s="83">
        <f>I71*L71</f>
        <v>6752008.1271646153</v>
      </c>
    </row>
    <row r="72" spans="1:14" x14ac:dyDescent="0.25">
      <c r="A72" s="25">
        <v>37</v>
      </c>
      <c r="B72" s="221" t="s">
        <v>547</v>
      </c>
      <c r="C72" s="221"/>
      <c r="D72" s="76" t="s">
        <v>777</v>
      </c>
      <c r="E72" s="221"/>
      <c r="F72" s="83">
        <f>'FERC Form 1 Inputs'!J22</f>
        <v>50792400</v>
      </c>
      <c r="G72" s="83">
        <f>'FERC Form 1 Inputs'!N22</f>
        <v>49052803</v>
      </c>
      <c r="H72" s="221"/>
      <c r="I72" s="83">
        <f>ROUND((F72+G72)/2,0)</f>
        <v>49922602</v>
      </c>
      <c r="J72" s="221"/>
      <c r="K72" s="221" t="s">
        <v>73</v>
      </c>
      <c r="L72" s="31">
        <f>'Allocation Factors'!$G$13</f>
        <v>0.91713571027193685</v>
      </c>
      <c r="M72" s="83">
        <f>I72*L72</f>
        <v>45785801.043893218</v>
      </c>
    </row>
    <row r="73" spans="1:14" x14ac:dyDescent="0.25">
      <c r="A73" s="25">
        <v>38</v>
      </c>
      <c r="B73" s="221" t="s">
        <v>548</v>
      </c>
      <c r="C73" s="221"/>
      <c r="D73" s="76" t="s">
        <v>778</v>
      </c>
      <c r="E73" s="221"/>
      <c r="F73" s="83">
        <f>'FERC Form 1 Inputs'!J23</f>
        <v>43768488</v>
      </c>
      <c r="G73" s="83">
        <f>'FERC Form 1 Inputs'!N23</f>
        <v>44420013</v>
      </c>
      <c r="H73" s="221"/>
      <c r="I73" s="83">
        <f>ROUND((F73+G73)/2,0)</f>
        <v>44094251</v>
      </c>
      <c r="J73" s="221"/>
      <c r="K73" s="221" t="s">
        <v>74</v>
      </c>
      <c r="L73" s="21">
        <f>'Allocation Factors'!$G$21</f>
        <v>3.54809369866841E-2</v>
      </c>
      <c r="M73" s="83">
        <f>I73*L73</f>
        <v>1564505.3412060323</v>
      </c>
    </row>
    <row r="74" spans="1:14" x14ac:dyDescent="0.25">
      <c r="A74" s="25">
        <v>39</v>
      </c>
      <c r="B74" s="221" t="s">
        <v>38</v>
      </c>
      <c r="C74" s="221"/>
      <c r="D74" s="76" t="s">
        <v>756</v>
      </c>
      <c r="E74" s="221"/>
      <c r="F74" s="228">
        <v>0</v>
      </c>
      <c r="G74" s="228">
        <v>0</v>
      </c>
      <c r="H74" s="221"/>
      <c r="I74" s="228">
        <v>23690607</v>
      </c>
      <c r="J74" s="221"/>
      <c r="K74" s="221" t="s">
        <v>75</v>
      </c>
      <c r="L74" s="21">
        <f>'Rate Base'!$L$21</f>
        <v>9.2898755005257905E-2</v>
      </c>
      <c r="M74" s="2">
        <f>I74*L74</f>
        <v>2200827.895618848</v>
      </c>
    </row>
    <row r="75" spans="1:14" x14ac:dyDescent="0.25">
      <c r="A75" s="25">
        <v>40</v>
      </c>
      <c r="B75" s="11" t="s">
        <v>39</v>
      </c>
      <c r="C75" s="221"/>
      <c r="E75" s="221"/>
      <c r="F75" s="83">
        <f>SUM(F71:F74)</f>
        <v>102262523.5</v>
      </c>
      <c r="G75" s="83">
        <f>SUM(G71:G74)</f>
        <v>100495300.32903147</v>
      </c>
      <c r="H75" s="221"/>
      <c r="I75" s="83">
        <f>SUM(I71:I74)</f>
        <v>125069520</v>
      </c>
      <c r="J75" s="221"/>
      <c r="K75" s="221"/>
      <c r="M75" s="83">
        <f>SUM(M71:M74)</f>
        <v>56303142.407882713</v>
      </c>
      <c r="N75" s="30"/>
    </row>
    <row r="76" spans="1:14" x14ac:dyDescent="0.25">
      <c r="B76" s="221"/>
      <c r="C76" s="221"/>
      <c r="E76" s="221"/>
      <c r="F76" s="83"/>
      <c r="G76" s="83"/>
      <c r="H76" s="221"/>
      <c r="J76" s="221"/>
      <c r="K76" s="221"/>
      <c r="M76" s="83"/>
    </row>
    <row r="77" spans="1:14" x14ac:dyDescent="0.25">
      <c r="A77" s="25">
        <v>41</v>
      </c>
      <c r="B77" s="11" t="s">
        <v>1150</v>
      </c>
      <c r="C77" s="221"/>
      <c r="E77" s="221"/>
      <c r="F77" s="115">
        <f>F42+F49+F57+F68+F75+F59+F61+F62</f>
        <v>18081180518.133114</v>
      </c>
      <c r="G77" s="115">
        <f>G42+G49+G57+G68+G75+G59+G61+G62</f>
        <v>18518045190.984528</v>
      </c>
      <c r="H77" s="221"/>
      <c r="I77" s="115">
        <f>I42+I49+I57+I68+I75+I59+I61+I62</f>
        <v>18323303464</v>
      </c>
      <c r="J77" s="221"/>
      <c r="K77" s="221"/>
      <c r="M77" s="115">
        <f>M42+M49+M57+M68+M75+M59+M61+M62</f>
        <v>1665170881.4807868</v>
      </c>
    </row>
    <row r="78" spans="1:14" x14ac:dyDescent="0.25">
      <c r="B78" s="221"/>
      <c r="C78" s="221"/>
      <c r="E78" s="221"/>
      <c r="F78" s="221"/>
      <c r="G78" s="221"/>
      <c r="H78" s="221"/>
      <c r="J78" s="221"/>
      <c r="K78" s="221"/>
      <c r="M78" s="221"/>
    </row>
    <row r="79" spans="1:14" x14ac:dyDescent="0.25">
      <c r="B79" s="221"/>
      <c r="C79" s="221"/>
      <c r="E79" s="221"/>
      <c r="F79" s="221"/>
      <c r="G79" s="221"/>
      <c r="H79" s="221"/>
      <c r="J79" s="221"/>
      <c r="K79" s="221"/>
      <c r="M79" s="221"/>
    </row>
    <row r="81" spans="2:13" x14ac:dyDescent="0.25">
      <c r="M81" s="40"/>
    </row>
    <row r="82" spans="2:13" x14ac:dyDescent="0.25">
      <c r="G82" s="6"/>
    </row>
    <row r="92" spans="2:13" x14ac:dyDescent="0.25">
      <c r="B92" s="193"/>
    </row>
    <row r="93" spans="2:13" x14ac:dyDescent="0.25">
      <c r="B93" s="194"/>
    </row>
    <row r="94" spans="2:13" x14ac:dyDescent="0.25">
      <c r="B94" s="193"/>
    </row>
    <row r="95" spans="2:13" x14ac:dyDescent="0.25">
      <c r="B95" s="194"/>
    </row>
    <row r="96" spans="2:13" x14ac:dyDescent="0.25">
      <c r="B96" s="194"/>
    </row>
    <row r="97" spans="2:2" x14ac:dyDescent="0.25">
      <c r="B97" s="194"/>
    </row>
  </sheetData>
  <customSheetViews>
    <customSheetView guid="{589A2A1C-99B3-4A22-A52E-EECEEAD60ADB}" scale="90" showPageBreaks="1" fitToPage="1" printArea="1">
      <selection sqref="A1:L1"/>
      <pageMargins left="0.7" right="0.7" top="0.75" bottom="0.75" header="0.3" footer="0.3"/>
      <pageSetup scale="44" orientation="landscape" r:id="rId1"/>
      <headerFooter>
        <oddFooter>&amp;L&amp;Z&amp;F</oddFooter>
      </headerFooter>
    </customSheetView>
    <customSheetView guid="{C0F5889E-F852-4CB9-B477-759ADBCFF6D5}" scale="90" showPageBreaks="1" fitToPage="1" printArea="1">
      <selection sqref="A1:L1"/>
      <pageMargins left="0.7" right="0.7" top="0.75" bottom="0.75" header="0.3" footer="0.3"/>
      <pageSetup scale="44" orientation="landscape" r:id="rId2"/>
      <headerFooter>
        <oddFooter>&amp;L&amp;Z&amp;F</oddFooter>
      </headerFooter>
    </customSheetView>
  </customSheetViews>
  <mergeCells count="5">
    <mergeCell ref="A1:L1"/>
    <mergeCell ref="A2:L2"/>
    <mergeCell ref="A4:L4"/>
    <mergeCell ref="A3:L3"/>
    <mergeCell ref="K7:L7"/>
  </mergeCells>
  <pageMargins left="0.7" right="0.7" top="0.75" bottom="0.75" header="0.3" footer="0.3"/>
  <pageSetup scale="44" orientation="landscape" r:id="rId3"/>
  <headerFooter>
    <oddFooter>&amp;L&amp;Z&amp;F</odd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6"/>
  <sheetViews>
    <sheetView zoomScale="90" zoomScaleNormal="90" workbookViewId="0">
      <selection sqref="A1:I1"/>
    </sheetView>
  </sheetViews>
  <sheetFormatPr defaultColWidth="8.5703125" defaultRowHeight="15" x14ac:dyDescent="0.25"/>
  <cols>
    <col min="1" max="1" width="6.7109375" style="86" bestFit="1" customWidth="1"/>
    <col min="2" max="2" width="80.140625" style="86" customWidth="1"/>
    <col min="3" max="3" width="2.5703125" style="86" customWidth="1"/>
    <col min="4" max="4" width="25" style="76" customWidth="1"/>
    <col min="5" max="5" width="1.7109375" style="76" customWidth="1"/>
    <col min="6" max="6" width="23" style="83" bestFit="1" customWidth="1"/>
    <col min="7" max="7" width="1.7109375" style="86" customWidth="1"/>
    <col min="8" max="9" width="13" style="86" customWidth="1"/>
    <col min="10" max="10" width="20.7109375" style="86" customWidth="1"/>
    <col min="11" max="11" width="24.140625" style="86" bestFit="1" customWidth="1"/>
    <col min="12" max="12" width="1.28515625" style="86" bestFit="1" customWidth="1"/>
    <col min="13" max="16384" width="8.5703125" style="86"/>
  </cols>
  <sheetData>
    <row r="1" spans="1:13" x14ac:dyDescent="0.25">
      <c r="A1" s="329" t="s">
        <v>0</v>
      </c>
      <c r="B1" s="329"/>
      <c r="C1" s="329"/>
      <c r="D1" s="329"/>
      <c r="E1" s="329"/>
      <c r="F1" s="329"/>
      <c r="G1" s="329"/>
      <c r="H1" s="329"/>
      <c r="I1" s="329"/>
      <c r="J1" s="11" t="s">
        <v>700</v>
      </c>
    </row>
    <row r="2" spans="1:13" x14ac:dyDescent="0.25">
      <c r="A2" s="329" t="s">
        <v>204</v>
      </c>
      <c r="B2" s="329"/>
      <c r="C2" s="329"/>
      <c r="D2" s="329"/>
      <c r="E2" s="329"/>
      <c r="F2" s="329"/>
      <c r="G2" s="329"/>
      <c r="H2" s="329"/>
      <c r="I2" s="329"/>
      <c r="J2" s="11" t="s">
        <v>702</v>
      </c>
    </row>
    <row r="3" spans="1:13" x14ac:dyDescent="0.25">
      <c r="A3" s="329" t="str">
        <f>+Summary!A3</f>
        <v>Utilizing Historic Cost Data for (2017) with Year-End Average Balances</v>
      </c>
      <c r="B3" s="329"/>
      <c r="C3" s="329"/>
      <c r="D3" s="329"/>
      <c r="E3" s="329"/>
      <c r="F3" s="329"/>
      <c r="G3" s="329"/>
      <c r="H3" s="329"/>
      <c r="I3" s="329"/>
      <c r="J3" s="197"/>
      <c r="K3" s="34"/>
      <c r="L3" s="34"/>
      <c r="M3" s="34"/>
    </row>
    <row r="4" spans="1:13" x14ac:dyDescent="0.25">
      <c r="A4" s="329" t="s">
        <v>76</v>
      </c>
      <c r="B4" s="329"/>
      <c r="C4" s="329"/>
      <c r="D4" s="329"/>
      <c r="E4" s="329"/>
      <c r="F4" s="329"/>
      <c r="G4" s="329"/>
      <c r="H4" s="329"/>
      <c r="I4" s="329"/>
      <c r="J4" s="233"/>
      <c r="K4" s="34"/>
    </row>
    <row r="5" spans="1:13" x14ac:dyDescent="0.25">
      <c r="F5" s="119"/>
      <c r="G5" s="119"/>
      <c r="H5" s="257"/>
      <c r="J5" s="73" t="s">
        <v>7</v>
      </c>
      <c r="K5" s="34"/>
    </row>
    <row r="6" spans="1:13" x14ac:dyDescent="0.25">
      <c r="A6" s="11" t="s">
        <v>2</v>
      </c>
      <c r="B6" s="11" t="s">
        <v>77</v>
      </c>
      <c r="D6" s="197" t="s">
        <v>4</v>
      </c>
      <c r="F6" s="73" t="s">
        <v>189</v>
      </c>
      <c r="H6" s="197" t="s">
        <v>6</v>
      </c>
      <c r="J6" s="73" t="s">
        <v>167</v>
      </c>
    </row>
    <row r="7" spans="1:13" x14ac:dyDescent="0.25">
      <c r="B7" s="221"/>
      <c r="C7" s="221"/>
      <c r="F7" s="10"/>
      <c r="G7" s="221"/>
      <c r="H7" s="76"/>
      <c r="I7" s="221"/>
      <c r="J7" s="221"/>
    </row>
    <row r="8" spans="1:13" x14ac:dyDescent="0.25">
      <c r="B8" s="221"/>
      <c r="C8" s="221"/>
      <c r="F8" s="10"/>
      <c r="G8" s="221"/>
      <c r="H8" s="76"/>
      <c r="I8" s="221"/>
      <c r="J8" s="10"/>
    </row>
    <row r="9" spans="1:13" x14ac:dyDescent="0.25">
      <c r="B9" s="11" t="s">
        <v>309</v>
      </c>
      <c r="C9" s="221"/>
      <c r="G9" s="221"/>
      <c r="H9" s="221"/>
      <c r="I9" s="221"/>
      <c r="J9" s="83"/>
    </row>
    <row r="10" spans="1:13" x14ac:dyDescent="0.25">
      <c r="A10" s="86">
        <v>1</v>
      </c>
      <c r="B10" s="221" t="s">
        <v>78</v>
      </c>
      <c r="C10" s="221"/>
      <c r="D10" s="76" t="s">
        <v>91</v>
      </c>
      <c r="F10" s="83">
        <f>'FERC Form 1 Inputs'!N24</f>
        <v>52389317.68</v>
      </c>
      <c r="G10" s="221"/>
      <c r="H10" s="221"/>
      <c r="I10" s="221"/>
      <c r="J10" s="83"/>
    </row>
    <row r="11" spans="1:13" x14ac:dyDescent="0.25">
      <c r="A11" s="86">
        <v>2</v>
      </c>
      <c r="B11" s="84" t="s">
        <v>325</v>
      </c>
      <c r="C11" s="221"/>
      <c r="D11" s="76" t="s">
        <v>779</v>
      </c>
      <c r="F11" s="17">
        <f>-'FERC Form 1 Inputs'!N25-'FERC Form 1 Inputs'!N26-'FERC Form 1 Inputs'!N27-'FERC Form 1 Inputs'!N28-'FERC Form 1 Inputs'!N32</f>
        <v>-13168188</v>
      </c>
      <c r="G11" s="221"/>
      <c r="H11" s="221"/>
      <c r="I11" s="12"/>
      <c r="J11" s="17"/>
    </row>
    <row r="12" spans="1:13" x14ac:dyDescent="0.25">
      <c r="A12" s="86" t="s">
        <v>430</v>
      </c>
      <c r="B12" s="84" t="s">
        <v>1042</v>
      </c>
      <c r="C12" s="221"/>
      <c r="D12" s="76" t="s">
        <v>696</v>
      </c>
      <c r="F12" s="2">
        <f>-'Schedule 1'!G17</f>
        <v>3622486.04</v>
      </c>
      <c r="G12" s="221"/>
      <c r="H12" s="221"/>
      <c r="I12" s="12"/>
      <c r="J12" s="2"/>
    </row>
    <row r="13" spans="1:13" x14ac:dyDescent="0.25">
      <c r="A13" s="86">
        <v>3</v>
      </c>
      <c r="B13" s="221" t="s">
        <v>79</v>
      </c>
      <c r="C13" s="30"/>
      <c r="F13" s="83">
        <f>SUM(F10:F12)</f>
        <v>42843615.719999999</v>
      </c>
      <c r="G13" s="221"/>
      <c r="H13" s="221" t="s">
        <v>73</v>
      </c>
      <c r="I13" s="13">
        <f>'Allocation Factors'!$G$13</f>
        <v>0.91713571027193685</v>
      </c>
      <c r="J13" s="83">
        <f>F13*I13</f>
        <v>39293409.933980115</v>
      </c>
    </row>
    <row r="14" spans="1:13" x14ac:dyDescent="0.25">
      <c r="B14" s="221"/>
      <c r="C14" s="221"/>
      <c r="G14" s="221"/>
      <c r="H14" s="221"/>
      <c r="I14" s="14"/>
      <c r="J14" s="83"/>
    </row>
    <row r="15" spans="1:13" x14ac:dyDescent="0.25">
      <c r="A15" s="86">
        <v>4</v>
      </c>
      <c r="B15" s="221" t="s">
        <v>1270</v>
      </c>
      <c r="C15" s="221"/>
      <c r="D15" s="76" t="s">
        <v>1271</v>
      </c>
      <c r="F15" s="83">
        <f>'FERC Form 1 Inputs'!N33</f>
        <v>401226368.31999999</v>
      </c>
      <c r="G15" s="221"/>
      <c r="H15" s="221"/>
      <c r="I15" s="14"/>
      <c r="J15" s="83"/>
    </row>
    <row r="16" spans="1:13" s="221" customFormat="1" ht="30" customHeight="1" x14ac:dyDescent="0.25">
      <c r="A16" s="221" t="s">
        <v>1272</v>
      </c>
      <c r="B16" s="184" t="s">
        <v>1273</v>
      </c>
      <c r="D16" s="76" t="s">
        <v>652</v>
      </c>
      <c r="E16" s="76"/>
      <c r="F16" s="226">
        <v>-24819558</v>
      </c>
      <c r="I16" s="14"/>
      <c r="J16" s="83"/>
    </row>
    <row r="17" spans="1:10" x14ac:dyDescent="0.25">
      <c r="A17" s="86">
        <v>5</v>
      </c>
      <c r="B17" s="84" t="s">
        <v>80</v>
      </c>
      <c r="C17" s="221"/>
      <c r="D17" s="76" t="s">
        <v>92</v>
      </c>
      <c r="F17" s="83">
        <f>'FERC Form 1 Inputs'!N34</f>
        <v>10862755</v>
      </c>
      <c r="G17" s="221"/>
      <c r="H17" s="221"/>
      <c r="I17" s="14"/>
      <c r="J17" s="83"/>
    </row>
    <row r="18" spans="1:10" x14ac:dyDescent="0.25">
      <c r="A18" s="86">
        <v>6</v>
      </c>
      <c r="B18" s="84" t="s">
        <v>81</v>
      </c>
      <c r="C18" s="221"/>
      <c r="D18" s="76" t="s">
        <v>93</v>
      </c>
      <c r="F18" s="83">
        <f>'FERC Form 1 Inputs'!N35</f>
        <v>11375477</v>
      </c>
      <c r="G18" s="221"/>
      <c r="H18" s="221"/>
      <c r="I18" s="14"/>
      <c r="J18" s="83"/>
    </row>
    <row r="19" spans="1:10" x14ac:dyDescent="0.25">
      <c r="A19" s="86">
        <v>7</v>
      </c>
      <c r="B19" s="84" t="s">
        <v>82</v>
      </c>
      <c r="C19" s="221"/>
      <c r="D19" s="76" t="s">
        <v>94</v>
      </c>
      <c r="F19" s="83">
        <f>'FERC Form 1 Inputs'!N36</f>
        <v>-0.25</v>
      </c>
      <c r="G19" s="221"/>
      <c r="H19" s="221"/>
      <c r="I19" s="14"/>
      <c r="J19" s="83"/>
    </row>
    <row r="20" spans="1:10" x14ac:dyDescent="0.25">
      <c r="A20" s="86">
        <v>8</v>
      </c>
      <c r="B20" s="84" t="s">
        <v>191</v>
      </c>
      <c r="C20" s="221"/>
      <c r="D20" s="76" t="s">
        <v>179</v>
      </c>
      <c r="F20" s="2">
        <f>'FERC Form 1 Inputs'!N37</f>
        <v>3707130</v>
      </c>
      <c r="G20" s="221"/>
      <c r="H20" s="221"/>
      <c r="I20" s="14"/>
      <c r="J20" s="2"/>
    </row>
    <row r="21" spans="1:10" x14ac:dyDescent="0.25">
      <c r="A21" s="86">
        <v>9</v>
      </c>
      <c r="B21" s="5" t="s">
        <v>83</v>
      </c>
      <c r="C21" s="221"/>
      <c r="F21" s="83">
        <f>F15-F17-F18-F19-F20</f>
        <v>375281006.56999999</v>
      </c>
      <c r="G21" s="221"/>
      <c r="H21" s="221" t="s">
        <v>74</v>
      </c>
      <c r="I21" s="13">
        <f>'Allocation Factors'!$G$21</f>
        <v>3.54809369866841E-2</v>
      </c>
      <c r="J21" s="83">
        <f>F21*I21</f>
        <v>13315321.746409552</v>
      </c>
    </row>
    <row r="22" spans="1:10" x14ac:dyDescent="0.25">
      <c r="B22" s="221"/>
      <c r="C22" s="221"/>
      <c r="G22" s="221"/>
      <c r="H22" s="221"/>
      <c r="I22" s="221"/>
      <c r="J22" s="83"/>
    </row>
    <row r="23" spans="1:10" x14ac:dyDescent="0.25">
      <c r="A23" s="86">
        <v>10</v>
      </c>
      <c r="B23" s="221" t="s">
        <v>84</v>
      </c>
      <c r="C23" s="221"/>
      <c r="D23" s="76" t="s">
        <v>92</v>
      </c>
      <c r="F23" s="83">
        <f>F17</f>
        <v>10862755</v>
      </c>
      <c r="G23" s="221"/>
      <c r="H23" s="221" t="s">
        <v>75</v>
      </c>
      <c r="I23" s="13">
        <f>'Rate Base'!$L$21</f>
        <v>9.2898755005257905E-2</v>
      </c>
      <c r="J23" s="83">
        <f t="shared" ref="J23:J26" si="0">F23*I23</f>
        <v>1009136.4154271403</v>
      </c>
    </row>
    <row r="24" spans="1:10" x14ac:dyDescent="0.25">
      <c r="A24" s="86" t="s">
        <v>332</v>
      </c>
      <c r="B24" s="221" t="s">
        <v>330</v>
      </c>
      <c r="C24" s="221"/>
      <c r="D24" s="76" t="s">
        <v>775</v>
      </c>
      <c r="F24" s="83">
        <f>-F23*'Schedule 1'!G59</f>
        <v>-20694.183620166703</v>
      </c>
      <c r="G24" s="221"/>
      <c r="H24" s="221" t="s">
        <v>75</v>
      </c>
      <c r="I24" s="13">
        <f>'Rate Base'!$L$21</f>
        <v>9.2898755005257905E-2</v>
      </c>
      <c r="J24" s="83">
        <f t="shared" si="0"/>
        <v>-1922.4638941636877</v>
      </c>
    </row>
    <row r="25" spans="1:10" x14ac:dyDescent="0.25">
      <c r="A25" s="86">
        <v>11</v>
      </c>
      <c r="B25" s="221" t="s">
        <v>85</v>
      </c>
      <c r="C25" s="221"/>
      <c r="D25" s="291" t="s">
        <v>1040</v>
      </c>
      <c r="F25" s="83">
        <f>'FERC Form 1 Inputs'!N38</f>
        <v>2795583</v>
      </c>
      <c r="G25" s="221"/>
      <c r="H25" s="221" t="s">
        <v>73</v>
      </c>
      <c r="I25" s="13">
        <f>'Allocation Factors'!$G$13</f>
        <v>0.91713571027193685</v>
      </c>
      <c r="J25" s="83">
        <f t="shared" si="0"/>
        <v>2563929.0003291522</v>
      </c>
    </row>
    <row r="26" spans="1:10" x14ac:dyDescent="0.25">
      <c r="A26" s="86">
        <v>12</v>
      </c>
      <c r="B26" s="221" t="s">
        <v>86</v>
      </c>
      <c r="C26" s="221"/>
      <c r="D26" s="76" t="s">
        <v>1041</v>
      </c>
      <c r="F26" s="226">
        <v>0</v>
      </c>
      <c r="G26" s="221"/>
      <c r="H26" s="221" t="s">
        <v>95</v>
      </c>
      <c r="I26" s="13"/>
      <c r="J26" s="83">
        <f t="shared" si="0"/>
        <v>0</v>
      </c>
    </row>
    <row r="27" spans="1:10" x14ac:dyDescent="0.25">
      <c r="A27" s="221">
        <v>13</v>
      </c>
      <c r="B27" s="221" t="s">
        <v>1281</v>
      </c>
      <c r="C27" s="221"/>
      <c r="G27" s="221"/>
      <c r="H27" s="221"/>
      <c r="I27" s="13"/>
      <c r="J27" s="83"/>
    </row>
    <row r="28" spans="1:10" s="221" customFormat="1" x14ac:dyDescent="0.25">
      <c r="A28" s="221" t="s">
        <v>1282</v>
      </c>
      <c r="B28" s="221" t="s">
        <v>1281</v>
      </c>
      <c r="D28" s="76"/>
      <c r="E28" s="76"/>
      <c r="F28" s="83"/>
      <c r="I28" s="13"/>
      <c r="J28" s="83"/>
    </row>
    <row r="29" spans="1:10" x14ac:dyDescent="0.25">
      <c r="A29" s="86">
        <v>14</v>
      </c>
      <c r="B29" s="11" t="s">
        <v>200</v>
      </c>
      <c r="C29" s="221"/>
      <c r="G29" s="221"/>
      <c r="H29" s="221"/>
      <c r="I29" s="13"/>
      <c r="J29" s="83">
        <f>J13+J21+J23+J25+J26+J24</f>
        <v>56179874.632251792</v>
      </c>
    </row>
    <row r="30" spans="1:10" x14ac:dyDescent="0.25">
      <c r="B30" s="11"/>
      <c r="C30" s="221"/>
      <c r="G30" s="221"/>
      <c r="H30" s="221"/>
      <c r="I30" s="13"/>
      <c r="J30" s="83"/>
    </row>
    <row r="31" spans="1:10" x14ac:dyDescent="0.25">
      <c r="B31" s="11" t="s">
        <v>87</v>
      </c>
      <c r="C31" s="221"/>
      <c r="G31" s="221"/>
      <c r="H31" s="221"/>
      <c r="I31" s="16"/>
      <c r="J31" s="83"/>
    </row>
    <row r="32" spans="1:10" x14ac:dyDescent="0.25">
      <c r="A32" s="86">
        <v>15</v>
      </c>
      <c r="B32" s="221" t="s">
        <v>89</v>
      </c>
      <c r="C32" s="30"/>
      <c r="D32" s="76" t="s">
        <v>181</v>
      </c>
      <c r="F32" s="83">
        <f>'FERC Form 1 Inputs'!N39</f>
        <v>73626960.019999996</v>
      </c>
      <c r="G32" s="221"/>
      <c r="H32" s="221" t="s">
        <v>73</v>
      </c>
      <c r="I32" s="13">
        <f>'Allocation Factors'!$G$13</f>
        <v>0.91713571027193685</v>
      </c>
      <c r="J32" s="83">
        <f>F32*I32</f>
        <v>67525914.273106188</v>
      </c>
    </row>
    <row r="33" spans="1:10" x14ac:dyDescent="0.25">
      <c r="A33" s="86" t="s">
        <v>253</v>
      </c>
      <c r="B33" s="221" t="s">
        <v>254</v>
      </c>
      <c r="C33" s="30"/>
      <c r="D33" s="76" t="s">
        <v>608</v>
      </c>
      <c r="F33" s="225">
        <f>'Attach P - AFUDC'!AQ34</f>
        <v>81205.539999999994</v>
      </c>
      <c r="G33" s="221"/>
      <c r="H33" s="221" t="s">
        <v>73</v>
      </c>
      <c r="I33" s="13">
        <f>'Allocation Factors'!$G$13</f>
        <v>0.91713571027193685</v>
      </c>
      <c r="J33" s="83">
        <f>F33*I33</f>
        <v>74476.500605916168</v>
      </c>
    </row>
    <row r="34" spans="1:10" x14ac:dyDescent="0.25">
      <c r="A34" s="86" t="s">
        <v>1152</v>
      </c>
      <c r="B34" s="221" t="s">
        <v>566</v>
      </c>
      <c r="C34" s="30"/>
      <c r="D34" s="76" t="s">
        <v>534</v>
      </c>
      <c r="F34" s="226">
        <v>0</v>
      </c>
      <c r="G34" s="221"/>
      <c r="H34" s="221" t="s">
        <v>73</v>
      </c>
      <c r="I34" s="13">
        <f>'Allocation Factors'!$G$13</f>
        <v>0.91713571027193685</v>
      </c>
      <c r="J34" s="83">
        <f>F34*I34</f>
        <v>0</v>
      </c>
    </row>
    <row r="35" spans="1:10" x14ac:dyDescent="0.25">
      <c r="A35" s="86">
        <v>16</v>
      </c>
      <c r="B35" s="221" t="s">
        <v>90</v>
      </c>
      <c r="C35" s="30"/>
      <c r="D35" s="76" t="s">
        <v>404</v>
      </c>
      <c r="F35" s="83">
        <f>'FERC Form 1 Inputs'!N40</f>
        <v>55459780.729999997</v>
      </c>
      <c r="G35" s="221"/>
      <c r="H35" s="221" t="s">
        <v>74</v>
      </c>
      <c r="I35" s="13">
        <f>'Allocation Factors'!$G$21</f>
        <v>3.54809369866841E-2</v>
      </c>
      <c r="J35" s="83">
        <f>F35*I35</f>
        <v>1967764.985376447</v>
      </c>
    </row>
    <row r="36" spans="1:10" x14ac:dyDescent="0.25">
      <c r="A36" s="86" t="s">
        <v>331</v>
      </c>
      <c r="B36" s="221" t="s">
        <v>333</v>
      </c>
      <c r="C36" s="221"/>
      <c r="D36" s="76" t="s">
        <v>776</v>
      </c>
      <c r="F36" s="83">
        <f>-F35*'Schedule 1'!G55</f>
        <v>-3907061.1960127545</v>
      </c>
      <c r="G36" s="221"/>
      <c r="H36" s="221" t="s">
        <v>74</v>
      </c>
      <c r="I36" s="13">
        <f>'Allocation Factors'!$G$21</f>
        <v>3.54809369866841E-2</v>
      </c>
      <c r="J36" s="83">
        <f>F36*I36</f>
        <v>-138626.19209884715</v>
      </c>
    </row>
    <row r="37" spans="1:10" x14ac:dyDescent="0.25">
      <c r="A37" s="86">
        <v>17</v>
      </c>
      <c r="B37" s="221" t="s">
        <v>178</v>
      </c>
      <c r="C37" s="221"/>
      <c r="D37" s="76" t="s">
        <v>106</v>
      </c>
      <c r="F37" s="83">
        <f>'FERC Form 1 Inputs'!N41</f>
        <v>46058198.730000004</v>
      </c>
      <c r="G37" s="221"/>
      <c r="H37" s="221"/>
      <c r="I37" s="13"/>
      <c r="J37" s="83">
        <f>'Attach N -Intangibles Amort Exp'!H117</f>
        <v>998544.52669060859</v>
      </c>
    </row>
    <row r="38" spans="1:10" x14ac:dyDescent="0.25">
      <c r="A38" s="86">
        <v>18</v>
      </c>
      <c r="B38" s="221" t="s">
        <v>567</v>
      </c>
      <c r="C38" s="221"/>
      <c r="D38" s="76" t="s">
        <v>536</v>
      </c>
      <c r="F38" s="228">
        <v>0</v>
      </c>
      <c r="G38" s="221"/>
      <c r="H38" s="221" t="s">
        <v>73</v>
      </c>
      <c r="I38" s="13">
        <f>'Allocation Factors'!$G$13</f>
        <v>0.91713571027193685</v>
      </c>
      <c r="J38" s="2">
        <f>F38*I38</f>
        <v>0</v>
      </c>
    </row>
    <row r="39" spans="1:10" x14ac:dyDescent="0.25">
      <c r="A39" s="86">
        <v>19</v>
      </c>
      <c r="B39" s="11" t="s">
        <v>88</v>
      </c>
      <c r="C39" s="221"/>
      <c r="F39" s="17">
        <f>SUM(F32:F38)</f>
        <v>171319083.82398725</v>
      </c>
      <c r="G39" s="221"/>
      <c r="H39" s="221"/>
      <c r="I39" s="221"/>
      <c r="J39" s="17">
        <f>SUM(J32:J38)</f>
        <v>70428074.093680307</v>
      </c>
    </row>
    <row r="40" spans="1:10" x14ac:dyDescent="0.25">
      <c r="B40" s="15"/>
      <c r="C40" s="221"/>
      <c r="F40" s="17"/>
      <c r="G40" s="221"/>
      <c r="H40" s="221"/>
      <c r="I40" s="221"/>
      <c r="J40" s="17"/>
    </row>
    <row r="41" spans="1:10" x14ac:dyDescent="0.25">
      <c r="B41" s="221"/>
      <c r="C41" s="221"/>
      <c r="G41" s="221"/>
      <c r="H41" s="221"/>
      <c r="I41" s="221"/>
      <c r="J41" s="83"/>
    </row>
    <row r="42" spans="1:10" x14ac:dyDescent="0.25">
      <c r="B42" s="11" t="s">
        <v>312</v>
      </c>
      <c r="C42" s="221"/>
      <c r="G42" s="221"/>
      <c r="H42" s="221"/>
      <c r="I42" s="221"/>
      <c r="J42" s="83"/>
    </row>
    <row r="43" spans="1:10" x14ac:dyDescent="0.25">
      <c r="A43" s="86">
        <v>20</v>
      </c>
      <c r="B43" s="221" t="s">
        <v>96</v>
      </c>
      <c r="C43" s="221"/>
      <c r="D43" s="76" t="s">
        <v>235</v>
      </c>
      <c r="F43" s="83">
        <f>'FERC Form 1 Inputs'!N42</f>
        <v>47319953.689999998</v>
      </c>
      <c r="G43" s="221"/>
      <c r="H43" s="221" t="s">
        <v>74</v>
      </c>
      <c r="I43" s="13">
        <f>'Allocation Factors'!$G$21</f>
        <v>3.54809369866841E-2</v>
      </c>
      <c r="J43" s="83">
        <f>F43*I43</f>
        <v>1678956.2950876998</v>
      </c>
    </row>
    <row r="44" spans="1:10" x14ac:dyDescent="0.25">
      <c r="A44" s="86">
        <v>21</v>
      </c>
      <c r="B44" s="221" t="s">
        <v>97</v>
      </c>
      <c r="C44" s="221"/>
      <c r="D44" s="291" t="s">
        <v>1062</v>
      </c>
      <c r="F44" s="225">
        <f>'FERC Form 1 Inputs'!N43+3774002</f>
        <v>205070309.36000001</v>
      </c>
      <c r="G44" s="221"/>
      <c r="H44" s="221" t="s">
        <v>75</v>
      </c>
      <c r="I44" s="13">
        <f>'Rate Base'!$L$21</f>
        <v>9.2898755005257905E-2</v>
      </c>
      <c r="J44" s="83">
        <f>F44*I44</f>
        <v>19050776.428087089</v>
      </c>
    </row>
    <row r="45" spans="1:10" x14ac:dyDescent="0.25">
      <c r="A45" s="86" t="s">
        <v>545</v>
      </c>
      <c r="B45" s="221" t="s">
        <v>334</v>
      </c>
      <c r="C45" s="221"/>
      <c r="D45" s="76" t="s">
        <v>1274</v>
      </c>
      <c r="F45" s="2">
        <f>-F44*'Schedule 1'!G59</f>
        <v>-390670.93356521724</v>
      </c>
      <c r="G45" s="221"/>
      <c r="H45" s="221" t="s">
        <v>75</v>
      </c>
      <c r="I45" s="13">
        <f>'Rate Base'!$L$21</f>
        <v>9.2898755005257905E-2</v>
      </c>
      <c r="J45" s="74">
        <f>F45*I45</f>
        <v>-36292.843344950503</v>
      </c>
    </row>
    <row r="46" spans="1:10" x14ac:dyDescent="0.25">
      <c r="A46" s="86">
        <v>22</v>
      </c>
      <c r="B46" s="11" t="s">
        <v>98</v>
      </c>
      <c r="C46" s="221"/>
      <c r="F46" s="17">
        <f>SUM(F43:F45)</f>
        <v>251999592.11643478</v>
      </c>
      <c r="G46" s="221"/>
      <c r="H46" s="221"/>
      <c r="I46" s="221"/>
      <c r="J46" s="17">
        <f>SUM(J43:J45)</f>
        <v>20693439.879829839</v>
      </c>
    </row>
    <row r="47" spans="1:10" x14ac:dyDescent="0.25">
      <c r="B47" s="221"/>
      <c r="C47" s="221"/>
      <c r="F47" s="17"/>
      <c r="G47" s="221"/>
      <c r="H47" s="221"/>
      <c r="I47" s="221"/>
      <c r="J47" s="17"/>
    </row>
    <row r="48" spans="1:10" x14ac:dyDescent="0.25">
      <c r="B48" s="11" t="s">
        <v>99</v>
      </c>
      <c r="C48" s="221"/>
      <c r="F48" s="17"/>
      <c r="G48" s="1"/>
      <c r="H48" s="1"/>
      <c r="I48" s="1"/>
      <c r="J48" s="17"/>
    </row>
    <row r="49" spans="1:12" x14ac:dyDescent="0.25">
      <c r="A49" s="86">
        <v>23</v>
      </c>
      <c r="B49" s="221" t="s">
        <v>572</v>
      </c>
      <c r="C49" s="221"/>
      <c r="G49" s="221"/>
      <c r="H49" s="221"/>
      <c r="I49" s="221"/>
      <c r="J49" s="18">
        <f>'Rate Base'!M77*'Allocation Factors'!G42</f>
        <v>123398487.27466258</v>
      </c>
    </row>
    <row r="50" spans="1:12" x14ac:dyDescent="0.25">
      <c r="B50" s="221"/>
      <c r="C50" s="221"/>
      <c r="G50" s="221"/>
      <c r="H50" s="221"/>
      <c r="I50" s="221"/>
      <c r="J50" s="83"/>
    </row>
    <row r="51" spans="1:12" x14ac:dyDescent="0.25">
      <c r="B51" s="11" t="s">
        <v>100</v>
      </c>
      <c r="C51" s="221"/>
      <c r="G51" s="221"/>
      <c r="H51" s="221"/>
      <c r="I51" s="221"/>
      <c r="J51" s="83"/>
    </row>
    <row r="52" spans="1:12" x14ac:dyDescent="0.25">
      <c r="A52" s="86">
        <v>24</v>
      </c>
      <c r="B52" s="221" t="s">
        <v>101</v>
      </c>
      <c r="C52" s="221"/>
      <c r="D52" s="76" t="s">
        <v>313</v>
      </c>
      <c r="F52" s="231">
        <v>3.3799999999999997E-2</v>
      </c>
      <c r="G52" s="221"/>
      <c r="H52" s="221"/>
      <c r="I52" s="221"/>
      <c r="J52" s="83"/>
    </row>
    <row r="53" spans="1:12" x14ac:dyDescent="0.25">
      <c r="A53" s="86">
        <v>25</v>
      </c>
      <c r="B53" s="221" t="s">
        <v>102</v>
      </c>
      <c r="C53" s="221"/>
      <c r="F53" s="300">
        <v>0.35</v>
      </c>
      <c r="G53" s="1"/>
      <c r="H53" s="1"/>
      <c r="I53" s="1"/>
      <c r="J53" s="17"/>
    </row>
    <row r="54" spans="1:12" x14ac:dyDescent="0.25">
      <c r="A54" s="86">
        <v>26</v>
      </c>
      <c r="B54" s="15" t="s">
        <v>182</v>
      </c>
      <c r="C54" s="221"/>
      <c r="F54" s="9">
        <f>F52+(F53*(1-F52))</f>
        <v>0.37196999999999997</v>
      </c>
      <c r="G54" s="1"/>
      <c r="H54" s="1"/>
      <c r="I54" s="1"/>
      <c r="J54" s="17"/>
    </row>
    <row r="55" spans="1:12" x14ac:dyDescent="0.25">
      <c r="A55" s="86">
        <v>27</v>
      </c>
      <c r="B55" s="221" t="s">
        <v>103</v>
      </c>
      <c r="C55" s="221"/>
      <c r="F55" s="9">
        <f>F54/(1-F54)*(1-'Allocation Factors'!G40/'Allocation Factors'!G42)</f>
        <v>0.4188010713541705</v>
      </c>
      <c r="G55" s="1"/>
      <c r="H55" s="1"/>
      <c r="I55" s="1"/>
      <c r="J55" s="17"/>
      <c r="L55" s="9"/>
    </row>
    <row r="56" spans="1:12" x14ac:dyDescent="0.25">
      <c r="A56" s="86">
        <v>28</v>
      </c>
      <c r="B56" s="11" t="s">
        <v>104</v>
      </c>
      <c r="C56" s="221"/>
      <c r="F56" s="19">
        <f>1/(1-F54)</f>
        <v>1.5922806235370919</v>
      </c>
      <c r="G56" s="1"/>
      <c r="H56" s="1"/>
      <c r="I56" s="1"/>
      <c r="J56" s="17"/>
      <c r="L56" s="19"/>
    </row>
    <row r="57" spans="1:12" x14ac:dyDescent="0.25">
      <c r="A57" s="86">
        <v>29</v>
      </c>
      <c r="B57" s="221" t="s">
        <v>183</v>
      </c>
      <c r="C57" s="221"/>
      <c r="D57" s="76" t="s">
        <v>107</v>
      </c>
      <c r="F57" s="17">
        <f>-'FERC Form 1 Inputs'!N44</f>
        <v>-5298340</v>
      </c>
      <c r="G57" s="1"/>
      <c r="H57" s="1"/>
      <c r="I57" s="1"/>
      <c r="J57" s="17"/>
    </row>
    <row r="58" spans="1:12" x14ac:dyDescent="0.25">
      <c r="A58" s="86">
        <v>30</v>
      </c>
      <c r="B58" s="221" t="s">
        <v>573</v>
      </c>
      <c r="C58" s="221"/>
      <c r="F58" s="17">
        <f>J49*F55</f>
        <v>51679418.674112663</v>
      </c>
      <c r="G58" s="1"/>
      <c r="H58" s="1"/>
      <c r="I58" s="1"/>
      <c r="J58" s="17">
        <f>J49*F55</f>
        <v>51679418.674112663</v>
      </c>
    </row>
    <row r="59" spans="1:12" x14ac:dyDescent="0.25">
      <c r="A59" s="86">
        <v>31</v>
      </c>
      <c r="B59" s="221" t="s">
        <v>574</v>
      </c>
      <c r="C59" s="221"/>
      <c r="F59" s="2">
        <f>F56*F57</f>
        <v>-8436444.1189115159</v>
      </c>
      <c r="G59" s="1"/>
      <c r="H59" s="1" t="s">
        <v>108</v>
      </c>
      <c r="I59" s="13">
        <f>'Rate Base'!$L$42</f>
        <v>9.65808516409917E-2</v>
      </c>
      <c r="J59" s="2">
        <f>F59*I59</f>
        <v>-814798.95782611007</v>
      </c>
    </row>
    <row r="60" spans="1:12" x14ac:dyDescent="0.25">
      <c r="A60" s="86">
        <v>32</v>
      </c>
      <c r="B60" s="11" t="s">
        <v>105</v>
      </c>
      <c r="C60" s="221"/>
      <c r="F60" s="17"/>
      <c r="G60" s="1"/>
      <c r="H60" s="1"/>
      <c r="I60" s="13"/>
      <c r="J60" s="20">
        <f>SUM(J58:J59)</f>
        <v>50864619.716286555</v>
      </c>
    </row>
    <row r="61" spans="1:12" x14ac:dyDescent="0.25">
      <c r="B61" s="11"/>
      <c r="C61" s="221"/>
      <c r="F61" s="17"/>
      <c r="G61" s="1"/>
      <c r="H61" s="1"/>
      <c r="I61" s="1"/>
      <c r="J61" s="17"/>
    </row>
    <row r="62" spans="1:12" x14ac:dyDescent="0.25">
      <c r="B62" s="11"/>
      <c r="C62" s="221"/>
      <c r="F62" s="17"/>
      <c r="G62" s="221"/>
      <c r="H62" s="221"/>
      <c r="I62" s="221"/>
      <c r="J62" s="17"/>
    </row>
    <row r="63" spans="1:12" x14ac:dyDescent="0.25">
      <c r="A63" s="86">
        <v>33</v>
      </c>
      <c r="B63" s="11" t="s">
        <v>546</v>
      </c>
      <c r="C63" s="221"/>
      <c r="G63" s="221"/>
      <c r="H63" s="221"/>
      <c r="I63" s="221"/>
      <c r="J63" s="115">
        <f>J29+J39+J46+J49+J60</f>
        <v>321564495.59671104</v>
      </c>
    </row>
    <row r="64" spans="1:12" x14ac:dyDescent="0.25">
      <c r="B64" s="221"/>
      <c r="C64" s="221"/>
      <c r="F64" s="9"/>
      <c r="G64" s="221"/>
      <c r="H64" s="221"/>
      <c r="I64" s="221"/>
      <c r="J64" s="83"/>
    </row>
    <row r="65" spans="2:10" x14ac:dyDescent="0.25">
      <c r="B65" s="221"/>
      <c r="C65" s="221"/>
      <c r="G65" s="221"/>
      <c r="H65" s="221"/>
      <c r="I65" s="221"/>
      <c r="J65" s="221"/>
    </row>
    <row r="66" spans="2:10" x14ac:dyDescent="0.25">
      <c r="B66" s="221"/>
      <c r="C66" s="221"/>
      <c r="G66" s="221"/>
      <c r="H66" s="221"/>
      <c r="I66" s="221"/>
      <c r="J66" s="221"/>
    </row>
    <row r="67" spans="2:10" x14ac:dyDescent="0.25">
      <c r="B67" s="221"/>
      <c r="C67" s="221"/>
      <c r="G67" s="221"/>
      <c r="H67" s="221"/>
      <c r="I67" s="221"/>
      <c r="J67" s="221"/>
    </row>
    <row r="68" spans="2:10" x14ac:dyDescent="0.25">
      <c r="B68" s="221"/>
      <c r="C68" s="221"/>
      <c r="G68" s="221"/>
      <c r="H68" s="221"/>
      <c r="I68" s="221"/>
      <c r="J68" s="221"/>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90" showPageBreaks="1" fitToPage="1" printArea="1" topLeftCell="A22">
      <selection activeCell="F45" sqref="F45"/>
      <pageMargins left="0.7" right="0.7" top="0.75" bottom="0.75" header="0.3" footer="0.3"/>
      <pageSetup scale="43" orientation="portrait" r:id="rId1"/>
      <headerFooter>
        <oddFooter>&amp;L&amp;Z&amp;F</oddFooter>
      </headerFooter>
    </customSheetView>
    <customSheetView guid="{C0F5889E-F852-4CB9-B477-759ADBCFF6D5}" scale="90" showPageBreaks="1" fitToPage="1" printArea="1" topLeftCell="A42">
      <selection activeCell="F45" sqref="F45"/>
      <pageMargins left="0.7" right="0.7" top="0.75" bottom="0.75" header="0.3" footer="0.3"/>
      <pageSetup scale="43" orientation="portrait" r:id="rId2"/>
      <headerFooter>
        <oddFooter>&amp;L&amp;Z&amp;F</oddFooter>
      </headerFooter>
    </customSheetView>
  </customSheetViews>
  <mergeCells count="4">
    <mergeCell ref="A1:I1"/>
    <mergeCell ref="A2:I2"/>
    <mergeCell ref="A3:I3"/>
    <mergeCell ref="A4:I4"/>
  </mergeCells>
  <pageMargins left="0.7" right="0.7" top="0.75" bottom="0.75" header="0.3" footer="0.3"/>
  <pageSetup scale="43" orientation="portrait" r:id="rId3"/>
  <headerFooter>
    <oddFooter>&amp;L&amp;Z&amp;F</oddFooter>
  </headerFooter>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96"/>
  <sheetViews>
    <sheetView zoomScale="86" zoomScaleNormal="86" workbookViewId="0">
      <selection sqref="A1:F1"/>
    </sheetView>
  </sheetViews>
  <sheetFormatPr defaultRowHeight="15" x14ac:dyDescent="0.25"/>
  <cols>
    <col min="1" max="1" width="5.140625" style="86" bestFit="1" customWidth="1"/>
    <col min="2" max="2" width="60.28515625" style="86" bestFit="1" customWidth="1"/>
    <col min="3" max="3" width="7.42578125" style="86" bestFit="1" customWidth="1"/>
    <col min="4" max="4" width="24.28515625" style="76" bestFit="1" customWidth="1"/>
    <col min="5" max="5" width="7.7109375" style="86" customWidth="1"/>
    <col min="6" max="6" width="1.7109375" style="86" customWidth="1"/>
    <col min="7" max="7" width="22.140625" style="83" bestFit="1" customWidth="1"/>
    <col min="8" max="8" width="1.140625" style="86"/>
    <col min="9" max="9" width="23.5703125" style="5" customWidth="1"/>
    <col min="10" max="10" width="11" style="86" customWidth="1"/>
    <col min="11" max="11" width="28.85546875" style="86" customWidth="1"/>
    <col min="12" max="12" width="18.28515625" style="86" bestFit="1" customWidth="1"/>
    <col min="13" max="16384" width="9.140625" style="86"/>
  </cols>
  <sheetData>
    <row r="1" spans="1:12" x14ac:dyDescent="0.25">
      <c r="A1" s="329" t="s">
        <v>0</v>
      </c>
      <c r="B1" s="329"/>
      <c r="C1" s="329"/>
      <c r="D1" s="329"/>
      <c r="E1" s="329"/>
      <c r="F1" s="329"/>
      <c r="G1" s="11" t="s">
        <v>700</v>
      </c>
      <c r="H1" s="119"/>
      <c r="J1" s="34"/>
      <c r="L1" s="34"/>
    </row>
    <row r="2" spans="1:12" x14ac:dyDescent="0.25">
      <c r="A2" s="329" t="s">
        <v>204</v>
      </c>
      <c r="B2" s="329"/>
      <c r="C2" s="329"/>
      <c r="D2" s="329"/>
      <c r="E2" s="329"/>
      <c r="F2" s="329"/>
      <c r="G2" s="11" t="s">
        <v>703</v>
      </c>
      <c r="H2" s="119"/>
      <c r="J2" s="34"/>
      <c r="K2" s="34"/>
      <c r="L2" s="34"/>
    </row>
    <row r="3" spans="1:12" x14ac:dyDescent="0.25">
      <c r="A3" s="329" t="str">
        <f>+Summary!A3</f>
        <v>Utilizing Historic Cost Data for (2017) with Year-End Average Balances</v>
      </c>
      <c r="B3" s="329"/>
      <c r="C3" s="329"/>
      <c r="D3" s="329"/>
      <c r="E3" s="329"/>
      <c r="F3" s="329"/>
      <c r="G3" s="119"/>
      <c r="H3" s="119"/>
      <c r="I3" s="257"/>
    </row>
    <row r="4" spans="1:12" x14ac:dyDescent="0.25">
      <c r="A4" s="329" t="s">
        <v>42</v>
      </c>
      <c r="B4" s="329"/>
      <c r="C4" s="329"/>
      <c r="D4" s="329"/>
      <c r="E4" s="329"/>
      <c r="F4" s="329"/>
      <c r="G4" s="119"/>
      <c r="H4" s="119"/>
      <c r="I4" s="234"/>
    </row>
    <row r="5" spans="1:12" x14ac:dyDescent="0.25">
      <c r="C5" s="76"/>
      <c r="E5" s="83"/>
      <c r="I5" s="235"/>
    </row>
    <row r="6" spans="1:12" x14ac:dyDescent="0.25">
      <c r="A6" s="11" t="s">
        <v>2</v>
      </c>
      <c r="B6" s="221"/>
      <c r="C6" s="76"/>
      <c r="D6" s="290" t="s">
        <v>4</v>
      </c>
      <c r="E6" s="221"/>
      <c r="F6" s="221"/>
      <c r="G6" s="73" t="s">
        <v>5</v>
      </c>
      <c r="H6" s="76"/>
      <c r="I6" s="235"/>
    </row>
    <row r="7" spans="1:12" x14ac:dyDescent="0.25">
      <c r="B7" s="11" t="s">
        <v>43</v>
      </c>
      <c r="C7" s="76"/>
      <c r="E7" s="10"/>
      <c r="F7" s="221"/>
      <c r="H7" s="76"/>
      <c r="I7" s="10"/>
    </row>
    <row r="8" spans="1:12" x14ac:dyDescent="0.25">
      <c r="A8" s="86">
        <v>1</v>
      </c>
      <c r="B8" s="221" t="s">
        <v>44</v>
      </c>
      <c r="C8" s="221"/>
      <c r="D8" s="76" t="s">
        <v>508</v>
      </c>
      <c r="E8" s="221"/>
      <c r="F8" s="221"/>
      <c r="G8" s="83">
        <f>'Rate Base'!I14+'Rate Base'!I15</f>
        <v>3712692531</v>
      </c>
      <c r="I8" s="10"/>
    </row>
    <row r="9" spans="1:12" x14ac:dyDescent="0.25">
      <c r="A9" s="86">
        <v>2</v>
      </c>
      <c r="B9" s="221" t="s">
        <v>71</v>
      </c>
      <c r="C9" s="221"/>
      <c r="D9" s="76" t="s">
        <v>650</v>
      </c>
      <c r="E9" s="221"/>
      <c r="F9" s="221"/>
      <c r="G9" s="226">
        <f>223964602+27827719</f>
        <v>251792321</v>
      </c>
    </row>
    <row r="10" spans="1:12" x14ac:dyDescent="0.25">
      <c r="A10" s="156">
        <v>3</v>
      </c>
      <c r="B10" s="221" t="s">
        <v>116</v>
      </c>
      <c r="C10" s="221"/>
      <c r="D10" s="291" t="s">
        <v>978</v>
      </c>
      <c r="E10" s="221"/>
      <c r="F10" s="221"/>
      <c r="G10" s="17">
        <f>'FERC Form 1 Inputs'!N58</f>
        <v>8356471</v>
      </c>
    </row>
    <row r="11" spans="1:12" x14ac:dyDescent="0.25">
      <c r="A11" s="156" t="s">
        <v>590</v>
      </c>
      <c r="B11" s="221" t="s">
        <v>979</v>
      </c>
      <c r="C11" s="221"/>
      <c r="D11" s="76" t="s">
        <v>651</v>
      </c>
      <c r="E11" s="221"/>
      <c r="F11" s="221"/>
      <c r="G11" s="228">
        <v>47500837.560000002</v>
      </c>
    </row>
    <row r="12" spans="1:12" x14ac:dyDescent="0.25">
      <c r="A12" s="86">
        <v>4</v>
      </c>
      <c r="B12" s="221" t="s">
        <v>45</v>
      </c>
      <c r="C12" s="221"/>
      <c r="E12" s="221"/>
      <c r="F12" s="221"/>
      <c r="G12" s="83">
        <f>G8-G9-G10-G11</f>
        <v>3405042901.4400001</v>
      </c>
    </row>
    <row r="13" spans="1:12" x14ac:dyDescent="0.25">
      <c r="A13" s="86">
        <v>5</v>
      </c>
      <c r="B13" s="11" t="s">
        <v>46</v>
      </c>
      <c r="C13" s="221"/>
      <c r="D13" s="76" t="s">
        <v>217</v>
      </c>
      <c r="E13" s="221"/>
      <c r="F13" s="221"/>
      <c r="G13" s="56">
        <f>G12/G8</f>
        <v>0.91713571027193685</v>
      </c>
    </row>
    <row r="14" spans="1:12" x14ac:dyDescent="0.25">
      <c r="B14" s="221"/>
      <c r="C14" s="221"/>
      <c r="E14" s="221"/>
      <c r="F14" s="221"/>
    </row>
    <row r="15" spans="1:12" x14ac:dyDescent="0.25">
      <c r="B15" s="11" t="s">
        <v>47</v>
      </c>
      <c r="C15" s="221"/>
      <c r="E15" s="221"/>
      <c r="F15" s="221"/>
    </row>
    <row r="16" spans="1:12" x14ac:dyDescent="0.25">
      <c r="A16" s="86">
        <v>6</v>
      </c>
      <c r="B16" s="221" t="s">
        <v>48</v>
      </c>
      <c r="C16" s="30"/>
      <c r="D16" s="76" t="s">
        <v>596</v>
      </c>
      <c r="E16" s="221"/>
      <c r="F16" s="221"/>
      <c r="G16" s="225">
        <f>'FERC Form 1 Inputs'!N45-134917058</f>
        <v>706339407.5</v>
      </c>
      <c r="I16" s="173"/>
    </row>
    <row r="17" spans="1:9" x14ac:dyDescent="0.25">
      <c r="A17" s="86">
        <v>7</v>
      </c>
      <c r="B17" s="221" t="s">
        <v>49</v>
      </c>
      <c r="C17" s="30"/>
      <c r="D17" s="76" t="s">
        <v>597</v>
      </c>
      <c r="E17" s="221"/>
      <c r="F17" s="221"/>
      <c r="G17" s="301">
        <f>'FERC Form 1 Inputs'!N46-21269243</f>
        <v>112323762</v>
      </c>
      <c r="I17" s="173"/>
    </row>
    <row r="18" spans="1:9" x14ac:dyDescent="0.25">
      <c r="A18" s="86">
        <v>8</v>
      </c>
      <c r="B18" s="221" t="s">
        <v>591</v>
      </c>
      <c r="C18" s="221"/>
      <c r="D18" s="76" t="s">
        <v>592</v>
      </c>
      <c r="E18" s="221"/>
      <c r="F18" s="221"/>
      <c r="G18" s="83">
        <f>G16-G17</f>
        <v>594015645.5</v>
      </c>
    </row>
    <row r="19" spans="1:9" x14ac:dyDescent="0.25">
      <c r="A19" s="86">
        <v>9</v>
      </c>
      <c r="B19" s="221" t="s">
        <v>50</v>
      </c>
      <c r="C19" s="221"/>
      <c r="D19" s="76" t="s">
        <v>1039</v>
      </c>
      <c r="E19" s="221"/>
      <c r="F19" s="221"/>
      <c r="G19" s="83">
        <f>'FERC Form 1 Inputs'!N47</f>
        <v>22980494</v>
      </c>
    </row>
    <row r="20" spans="1:9" x14ac:dyDescent="0.25">
      <c r="A20" s="86">
        <v>10</v>
      </c>
      <c r="B20" s="11" t="s">
        <v>180</v>
      </c>
      <c r="C20" s="221"/>
      <c r="E20" s="221"/>
      <c r="F20" s="221"/>
      <c r="G20" s="168">
        <f>G19/G18</f>
        <v>3.8686681359472709E-2</v>
      </c>
    </row>
    <row r="21" spans="1:9" x14ac:dyDescent="0.25">
      <c r="A21" s="86">
        <v>11</v>
      </c>
      <c r="B21" s="11" t="s">
        <v>550</v>
      </c>
      <c r="C21" s="221"/>
      <c r="E21" s="221"/>
      <c r="F21" s="221"/>
      <c r="G21" s="168">
        <f>G13*G20</f>
        <v>3.54809369866841E-2</v>
      </c>
    </row>
    <row r="22" spans="1:9" x14ac:dyDescent="0.25">
      <c r="B22" s="221"/>
      <c r="C22" s="221"/>
      <c r="E22" s="221"/>
      <c r="F22" s="221"/>
    </row>
    <row r="23" spans="1:9" x14ac:dyDescent="0.25">
      <c r="B23" s="11" t="s">
        <v>51</v>
      </c>
      <c r="C23" s="221"/>
      <c r="E23" s="221"/>
      <c r="F23" s="221"/>
    </row>
    <row r="24" spans="1:9" x14ac:dyDescent="0.25">
      <c r="A24" s="86">
        <v>12</v>
      </c>
      <c r="B24" s="221" t="s">
        <v>52</v>
      </c>
      <c r="C24" s="221"/>
      <c r="D24" s="76" t="s">
        <v>174</v>
      </c>
      <c r="E24" s="221"/>
      <c r="F24" s="221"/>
      <c r="G24" s="2">
        <f>'FERC Form 1 Inputs'!N48</f>
        <v>456705534</v>
      </c>
    </row>
    <row r="25" spans="1:9" x14ac:dyDescent="0.25">
      <c r="A25" s="86">
        <v>13</v>
      </c>
      <c r="B25" s="221" t="s">
        <v>53</v>
      </c>
      <c r="C25" s="221"/>
      <c r="E25" s="221"/>
      <c r="F25" s="221"/>
      <c r="G25" s="83">
        <f>SUM(G24:G24)</f>
        <v>456705534</v>
      </c>
    </row>
    <row r="26" spans="1:9" x14ac:dyDescent="0.25">
      <c r="B26" s="221"/>
      <c r="C26" s="30"/>
      <c r="E26" s="221"/>
      <c r="F26" s="221"/>
    </row>
    <row r="27" spans="1:9" x14ac:dyDescent="0.25">
      <c r="A27" s="86">
        <v>14</v>
      </c>
      <c r="B27" s="221" t="s">
        <v>54</v>
      </c>
      <c r="C27" s="30"/>
      <c r="D27" s="76" t="s">
        <v>63</v>
      </c>
      <c r="E27" s="221"/>
      <c r="F27" s="221"/>
      <c r="G27" s="83">
        <f>'FERC Form 1 Inputs'!N49</f>
        <v>10088892779</v>
      </c>
    </row>
    <row r="28" spans="1:9" x14ac:dyDescent="0.25">
      <c r="A28" s="86">
        <v>15</v>
      </c>
      <c r="B28" s="221" t="s">
        <v>55</v>
      </c>
      <c r="C28" s="30"/>
      <c r="D28" s="76" t="s">
        <v>64</v>
      </c>
      <c r="E28" s="221"/>
      <c r="F28" s="221"/>
      <c r="G28" s="83">
        <f>'FERC Form 1 Inputs'!N50</f>
        <v>63880032</v>
      </c>
    </row>
    <row r="29" spans="1:9" x14ac:dyDescent="0.25">
      <c r="A29" s="86">
        <v>16</v>
      </c>
      <c r="B29" s="221" t="s">
        <v>56</v>
      </c>
      <c r="C29" s="30"/>
      <c r="D29" s="76" t="s">
        <v>65</v>
      </c>
      <c r="E29" s="221"/>
      <c r="F29" s="221"/>
      <c r="G29" s="2">
        <f>'FERC Form 1 Inputs'!N51</f>
        <v>0</v>
      </c>
    </row>
    <row r="30" spans="1:9" x14ac:dyDescent="0.25">
      <c r="A30" s="86">
        <v>17</v>
      </c>
      <c r="B30" s="221" t="s">
        <v>57</v>
      </c>
      <c r="C30" s="30"/>
      <c r="E30" s="221"/>
      <c r="F30" s="221"/>
      <c r="G30" s="83">
        <f>G27-G28+G29</f>
        <v>10025012747</v>
      </c>
    </row>
    <row r="31" spans="1:9" x14ac:dyDescent="0.25">
      <c r="B31" s="221"/>
      <c r="C31" s="221"/>
      <c r="E31" s="221"/>
      <c r="F31" s="221"/>
    </row>
    <row r="32" spans="1:9" x14ac:dyDescent="0.25">
      <c r="B32" s="221" t="s">
        <v>58</v>
      </c>
      <c r="C32" s="221"/>
      <c r="E32" s="221"/>
      <c r="F32" s="221"/>
    </row>
    <row r="33" spans="1:7" x14ac:dyDescent="0.25">
      <c r="A33" s="86">
        <v>18</v>
      </c>
      <c r="B33" s="221" t="s">
        <v>59</v>
      </c>
      <c r="C33" s="221"/>
      <c r="D33" s="76" t="s">
        <v>66</v>
      </c>
      <c r="E33" s="221"/>
      <c r="F33" s="221"/>
      <c r="G33" s="83">
        <f>'FERC Form 1 Inputs'!N52</f>
        <v>11365886081</v>
      </c>
    </row>
    <row r="34" spans="1:7" x14ac:dyDescent="0.25">
      <c r="A34" s="86">
        <v>19</v>
      </c>
      <c r="B34" s="221" t="s">
        <v>61</v>
      </c>
      <c r="C34" s="221"/>
      <c r="D34" s="76" t="s">
        <v>67</v>
      </c>
      <c r="E34" s="221"/>
      <c r="F34" s="221"/>
      <c r="G34" s="2">
        <f>'FERC Form 1 Inputs'!N53</f>
        <v>4810163</v>
      </c>
    </row>
    <row r="35" spans="1:7" x14ac:dyDescent="0.25">
      <c r="A35" s="86">
        <v>20</v>
      </c>
      <c r="B35" s="221" t="s">
        <v>60</v>
      </c>
      <c r="C35" s="221"/>
      <c r="E35" s="221"/>
      <c r="F35" s="221"/>
      <c r="G35" s="83">
        <f>G33-G34</f>
        <v>11361075918</v>
      </c>
    </row>
    <row r="36" spans="1:7" x14ac:dyDescent="0.25">
      <c r="B36" s="221"/>
      <c r="C36" s="221"/>
      <c r="E36" s="221"/>
      <c r="F36" s="221"/>
    </row>
    <row r="37" spans="1:7" x14ac:dyDescent="0.25">
      <c r="A37" s="86">
        <v>21</v>
      </c>
      <c r="B37" s="11" t="s">
        <v>575</v>
      </c>
      <c r="C37" s="221"/>
      <c r="E37" s="221"/>
      <c r="F37" s="221"/>
      <c r="G37" s="18">
        <f>G30+G35</f>
        <v>21386088665</v>
      </c>
    </row>
    <row r="38" spans="1:7" x14ac:dyDescent="0.25">
      <c r="B38" s="221"/>
      <c r="C38" s="221"/>
      <c r="E38" s="221"/>
      <c r="F38" s="221"/>
    </row>
    <row r="39" spans="1:7" ht="17.25" x14ac:dyDescent="0.4">
      <c r="B39" s="169" t="s">
        <v>764</v>
      </c>
      <c r="C39" s="221"/>
      <c r="D39" s="170" t="s">
        <v>68</v>
      </c>
      <c r="E39" s="170" t="s">
        <v>69</v>
      </c>
      <c r="F39" s="221"/>
      <c r="G39" s="171" t="s">
        <v>70</v>
      </c>
    </row>
    <row r="40" spans="1:7" x14ac:dyDescent="0.25">
      <c r="A40" s="86">
        <v>22</v>
      </c>
      <c r="B40" s="1" t="s">
        <v>54</v>
      </c>
      <c r="C40" s="221"/>
      <c r="D40" s="232">
        <f>1-D41</f>
        <v>0.47599999999999998</v>
      </c>
      <c r="E40" s="35">
        <f>ROUND(G25/G30,4)</f>
        <v>4.5600000000000002E-2</v>
      </c>
      <c r="F40" s="221"/>
      <c r="G40" s="287">
        <f>D40*E40</f>
        <v>2.1705599999999999E-2</v>
      </c>
    </row>
    <row r="41" spans="1:7" x14ac:dyDescent="0.25">
      <c r="A41" s="86">
        <v>23</v>
      </c>
      <c r="B41" s="1" t="s">
        <v>593</v>
      </c>
      <c r="C41" s="156"/>
      <c r="D41" s="232">
        <f>IF((G35/G37)&lt;0.524,G35/G37,0.524)</f>
        <v>0.52400000000000002</v>
      </c>
      <c r="E41" s="231">
        <v>0.1</v>
      </c>
      <c r="F41" s="221"/>
      <c r="G41" s="36">
        <f>D41*E41</f>
        <v>5.2400000000000002E-2</v>
      </c>
    </row>
    <row r="42" spans="1:7" x14ac:dyDescent="0.25">
      <c r="A42" s="86">
        <v>24</v>
      </c>
      <c r="B42" s="1" t="s">
        <v>62</v>
      </c>
      <c r="C42" s="221"/>
      <c r="E42" s="221"/>
      <c r="F42" s="221"/>
      <c r="G42" s="172">
        <f>SUM(G40:G41)</f>
        <v>7.4105599999999994E-2</v>
      </c>
    </row>
    <row r="43" spans="1:7" x14ac:dyDescent="0.25">
      <c r="B43" s="221"/>
      <c r="C43" s="221"/>
      <c r="E43" s="221"/>
      <c r="F43" s="221"/>
    </row>
    <row r="44" spans="1:7" x14ac:dyDescent="0.25">
      <c r="B44" s="221"/>
      <c r="C44" s="221"/>
      <c r="E44" s="221"/>
      <c r="F44" s="221"/>
    </row>
    <row r="47" spans="1:7" x14ac:dyDescent="0.25">
      <c r="G47" s="35"/>
    </row>
    <row r="48" spans="1:7" x14ac:dyDescent="0.25">
      <c r="G48" s="35"/>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86" showPageBreaks="1" printArea="1" topLeftCell="C1">
      <selection activeCell="J42" sqref="J42"/>
      <pageMargins left="0.7" right="0.7" top="0.75" bottom="0.75" header="0.3" footer="0.3"/>
      <pageSetup scale="60" orientation="portrait" r:id="rId1"/>
      <headerFooter>
        <oddFooter>&amp;L&amp;Z&amp;F</oddFooter>
      </headerFooter>
    </customSheetView>
    <customSheetView guid="{C0F5889E-F852-4CB9-B477-759ADBCFF6D5}" scale="86" showPageBreaks="1" printArea="1" topLeftCell="C22">
      <selection activeCell="J42" sqref="J42"/>
      <pageMargins left="0.7" right="0.7" top="0.75" bottom="0.75" header="0.3" footer="0.3"/>
      <pageSetup scale="60" orientation="portrait" r:id="rId2"/>
      <headerFooter>
        <oddFooter>&amp;L&amp;Z&amp;F</oddFooter>
      </headerFooter>
    </customSheetView>
  </customSheetViews>
  <mergeCells count="4">
    <mergeCell ref="A1:F1"/>
    <mergeCell ref="A2:F2"/>
    <mergeCell ref="A3:F3"/>
    <mergeCell ref="A4:F4"/>
  </mergeCells>
  <pageMargins left="0.7" right="0.7" top="0.75" bottom="0.75" header="0.3" footer="0.3"/>
  <pageSetup scale="60" orientation="portrait" r:id="rId3"/>
  <headerFooter>
    <oddFooter>&amp;L&amp;Z&amp;F</oddFooter>
  </headerFooter>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zoomScale="70" zoomScaleNormal="70" workbookViewId="0">
      <selection sqref="A1:B1"/>
    </sheetView>
  </sheetViews>
  <sheetFormatPr defaultRowHeight="18.75" x14ac:dyDescent="0.3"/>
  <cols>
    <col min="1" max="1" width="5.85546875" style="86" customWidth="1"/>
    <col min="2" max="2" width="145.7109375" style="88" bestFit="1" customWidth="1"/>
    <col min="3" max="3" width="43.140625" style="86" customWidth="1"/>
    <col min="4" max="16384" width="9.140625" style="86"/>
  </cols>
  <sheetData>
    <row r="1" spans="1:9" ht="15" x14ac:dyDescent="0.25">
      <c r="A1" s="329" t="s">
        <v>0</v>
      </c>
      <c r="B1" s="329"/>
      <c r="C1" s="11" t="s">
        <v>700</v>
      </c>
      <c r="D1" s="34"/>
      <c r="H1" s="34"/>
    </row>
    <row r="2" spans="1:9" ht="15" x14ac:dyDescent="0.25">
      <c r="A2" s="329" t="s">
        <v>204</v>
      </c>
      <c r="B2" s="329"/>
      <c r="C2" s="11" t="s">
        <v>704</v>
      </c>
      <c r="D2" s="34"/>
      <c r="H2" s="34"/>
    </row>
    <row r="3" spans="1:9" ht="15" x14ac:dyDescent="0.25">
      <c r="A3" s="329" t="str">
        <f>+Summary!A3</f>
        <v>Utilizing Historic Cost Data for (2017) with Year-End Average Balances</v>
      </c>
      <c r="B3" s="329"/>
      <c r="C3" s="34"/>
      <c r="D3" s="34"/>
      <c r="E3" s="34"/>
      <c r="F3" s="34"/>
      <c r="G3" s="34"/>
      <c r="H3" s="34"/>
      <c r="I3" s="34"/>
    </row>
    <row r="4" spans="1:9" ht="15" x14ac:dyDescent="0.25">
      <c r="A4" s="329" t="s">
        <v>224</v>
      </c>
      <c r="B4" s="329"/>
    </row>
    <row r="7" spans="1:9" ht="21" x14ac:dyDescent="0.35">
      <c r="B7" s="87" t="s">
        <v>184</v>
      </c>
    </row>
    <row r="8" spans="1:9" x14ac:dyDescent="0.3">
      <c r="B8" s="88" t="s">
        <v>252</v>
      </c>
    </row>
    <row r="9" spans="1:9" x14ac:dyDescent="0.3">
      <c r="B9" s="88" t="s">
        <v>250</v>
      </c>
    </row>
    <row r="10" spans="1:9" x14ac:dyDescent="0.3">
      <c r="B10" s="88" t="s">
        <v>185</v>
      </c>
    </row>
    <row r="11" spans="1:9" x14ac:dyDescent="0.3">
      <c r="B11" s="88" t="s">
        <v>724</v>
      </c>
    </row>
    <row r="12" spans="1:9" x14ac:dyDescent="0.3">
      <c r="B12" s="88" t="s">
        <v>725</v>
      </c>
    </row>
    <row r="13" spans="1:9" x14ac:dyDescent="0.3">
      <c r="B13" s="88" t="s">
        <v>310</v>
      </c>
    </row>
    <row r="14" spans="1:9" x14ac:dyDescent="0.3">
      <c r="B14" s="88" t="s">
        <v>311</v>
      </c>
      <c r="C14" s="30"/>
    </row>
    <row r="15" spans="1:9" x14ac:dyDescent="0.3">
      <c r="B15" s="88" t="s">
        <v>726</v>
      </c>
      <c r="C15" s="30"/>
    </row>
    <row r="16" spans="1:9" x14ac:dyDescent="0.3">
      <c r="B16" s="89" t="s">
        <v>727</v>
      </c>
    </row>
    <row r="17" spans="2:2" x14ac:dyDescent="0.3">
      <c r="B17" s="88" t="s">
        <v>728</v>
      </c>
    </row>
    <row r="18" spans="2:2" x14ac:dyDescent="0.3">
      <c r="B18" s="88" t="s">
        <v>757</v>
      </c>
    </row>
    <row r="19" spans="2:2" x14ac:dyDescent="0.3">
      <c r="B19" s="88" t="s">
        <v>314</v>
      </c>
    </row>
    <row r="20" spans="2:2" x14ac:dyDescent="0.3">
      <c r="B20" s="90" t="s">
        <v>758</v>
      </c>
    </row>
    <row r="21" spans="2:2" x14ac:dyDescent="0.3">
      <c r="B21" s="90" t="s">
        <v>759</v>
      </c>
    </row>
    <row r="22" spans="2:2" x14ac:dyDescent="0.3">
      <c r="B22" s="90" t="s">
        <v>729</v>
      </c>
    </row>
    <row r="23" spans="2:2" x14ac:dyDescent="0.3">
      <c r="B23" s="90" t="s">
        <v>1275</v>
      </c>
    </row>
    <row r="24" spans="2:2" s="221" customFormat="1" x14ac:dyDescent="0.3">
      <c r="B24" s="90" t="s">
        <v>1276</v>
      </c>
    </row>
    <row r="25" spans="2:2" s="221" customFormat="1" x14ac:dyDescent="0.3">
      <c r="B25" s="90" t="s">
        <v>1277</v>
      </c>
    </row>
    <row r="26" spans="2:2" s="221" customFormat="1" x14ac:dyDescent="0.3">
      <c r="B26" s="90" t="s">
        <v>1278</v>
      </c>
    </row>
    <row r="27" spans="2:2" s="221" customFormat="1" x14ac:dyDescent="0.3">
      <c r="B27" s="90" t="s">
        <v>1280</v>
      </c>
    </row>
    <row r="28" spans="2:2" s="221" customFormat="1" x14ac:dyDescent="0.3">
      <c r="B28" s="90" t="s">
        <v>1279</v>
      </c>
    </row>
    <row r="29" spans="2:2" x14ac:dyDescent="0.3">
      <c r="B29" s="91" t="s">
        <v>335</v>
      </c>
    </row>
    <row r="30" spans="2:2" x14ac:dyDescent="0.3">
      <c r="B30" s="91" t="s">
        <v>1043</v>
      </c>
    </row>
    <row r="31" spans="2:2" x14ac:dyDescent="0.3">
      <c r="B31" s="91" t="s">
        <v>730</v>
      </c>
    </row>
    <row r="32" spans="2:2" x14ac:dyDescent="0.3">
      <c r="B32" s="90" t="s">
        <v>731</v>
      </c>
    </row>
    <row r="33" spans="2:2" x14ac:dyDescent="0.3">
      <c r="B33" s="90" t="s">
        <v>732</v>
      </c>
    </row>
    <row r="34" spans="2:2" x14ac:dyDescent="0.3">
      <c r="B34" s="90" t="s">
        <v>733</v>
      </c>
    </row>
    <row r="35" spans="2:2" x14ac:dyDescent="0.3">
      <c r="B35" s="90" t="s">
        <v>734</v>
      </c>
    </row>
    <row r="36" spans="2:2" x14ac:dyDescent="0.3">
      <c r="B36" s="90" t="s">
        <v>735</v>
      </c>
    </row>
    <row r="37" spans="2:2" x14ac:dyDescent="0.3">
      <c r="B37" s="90" t="s">
        <v>736</v>
      </c>
    </row>
    <row r="38" spans="2:2" x14ac:dyDescent="0.3">
      <c r="B38" s="90" t="s">
        <v>568</v>
      </c>
    </row>
    <row r="39" spans="2:2" x14ac:dyDescent="0.3">
      <c r="B39" s="90" t="s">
        <v>560</v>
      </c>
    </row>
    <row r="40" spans="2:2" x14ac:dyDescent="0.3">
      <c r="B40" s="90" t="s">
        <v>737</v>
      </c>
    </row>
    <row r="41" spans="2:2" x14ac:dyDescent="0.3">
      <c r="B41" s="90" t="s">
        <v>760</v>
      </c>
    </row>
    <row r="42" spans="2:2" x14ac:dyDescent="0.3">
      <c r="B42" s="90" t="s">
        <v>738</v>
      </c>
    </row>
    <row r="43" spans="2:2" x14ac:dyDescent="0.3">
      <c r="B43" s="90" t="s">
        <v>646</v>
      </c>
    </row>
    <row r="44" spans="2:2" x14ac:dyDescent="0.3">
      <c r="B44" s="90" t="s">
        <v>1082</v>
      </c>
    </row>
    <row r="45" spans="2:2" x14ac:dyDescent="0.3">
      <c r="B45" s="88" t="s">
        <v>960</v>
      </c>
    </row>
    <row r="46" spans="2:2" x14ac:dyDescent="0.3">
      <c r="B46" s="88" t="s">
        <v>961</v>
      </c>
    </row>
    <row r="96" spans="2:2" ht="15" x14ac:dyDescent="0.25">
      <c r="B96" s="193"/>
    </row>
    <row r="97" spans="2:2" ht="15" x14ac:dyDescent="0.25">
      <c r="B97" s="194"/>
    </row>
    <row r="98" spans="2:2" ht="15" x14ac:dyDescent="0.25">
      <c r="B98" s="193"/>
    </row>
    <row r="99" spans="2:2" ht="15" x14ac:dyDescent="0.25">
      <c r="B99" s="194"/>
    </row>
    <row r="100" spans="2:2" ht="15" x14ac:dyDescent="0.25">
      <c r="B100" s="194"/>
    </row>
    <row r="101" spans="2:2" ht="15" x14ac:dyDescent="0.25">
      <c r="B101" s="194"/>
    </row>
  </sheetData>
  <customSheetViews>
    <customSheetView guid="{589A2A1C-99B3-4A22-A52E-EECEEAD60ADB}" scale="70" showPageBreaks="1" fitToPage="1" printArea="1">
      <selection activeCell="B29" sqref="B29"/>
      <pageMargins left="0.7" right="0.7" top="0.75" bottom="0.75" header="0.3" footer="0.3"/>
      <pageSetup scale="61" orientation="portrait" r:id="rId1"/>
      <headerFooter>
        <oddFooter>&amp;L&amp;Z&amp;F</oddFooter>
      </headerFooter>
    </customSheetView>
    <customSheetView guid="{C0F5889E-F852-4CB9-B477-759ADBCFF6D5}" scale="70" showPageBreaks="1" fitToPage="1" printArea="1">
      <selection activeCell="B23" sqref="B23:B28"/>
      <pageMargins left="0.7" right="0.7" top="0.75" bottom="0.75" header="0.3" footer="0.3"/>
      <pageSetup scale="61" orientation="portrait" r:id="rId2"/>
      <headerFooter>
        <oddFooter>&amp;L&amp;Z&amp;F</oddFooter>
      </headerFooter>
    </customSheetView>
  </customSheetViews>
  <mergeCells count="4">
    <mergeCell ref="A1:B1"/>
    <mergeCell ref="A4:B4"/>
    <mergeCell ref="A2:B2"/>
    <mergeCell ref="A3:B3"/>
  </mergeCells>
  <pageMargins left="0.7" right="0.7" top="0.75" bottom="0.75" header="0.3" footer="0.3"/>
  <pageSetup scale="61" orientation="portrait" r:id="rId3"/>
  <headerFooter>
    <oddFooter>&amp;L&amp;Z&amp;F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96"/>
  <sheetViews>
    <sheetView zoomScale="80" zoomScaleNormal="80" workbookViewId="0">
      <selection sqref="A1:F1"/>
    </sheetView>
  </sheetViews>
  <sheetFormatPr defaultRowHeight="15" x14ac:dyDescent="0.25"/>
  <cols>
    <col min="1" max="1" width="11.7109375" style="86" bestFit="1" customWidth="1"/>
    <col min="2" max="2" width="76.140625" style="86" customWidth="1"/>
    <col min="3" max="3" width="13" style="86" customWidth="1"/>
    <col min="4" max="4" width="37.28515625" style="76" customWidth="1"/>
    <col min="5" max="5" width="18.85546875" style="86" bestFit="1" customWidth="1"/>
    <col min="6" max="6" width="16" style="86" customWidth="1"/>
    <col min="7" max="7" width="21.5703125" style="86" customWidth="1"/>
    <col min="8" max="8" width="20.5703125" style="5" bestFit="1" customWidth="1"/>
    <col min="9" max="9" width="20.5703125" style="86" bestFit="1" customWidth="1"/>
    <col min="10" max="10" width="14.28515625" style="86" bestFit="1" customWidth="1"/>
    <col min="11" max="16384" width="9.140625" style="86"/>
  </cols>
  <sheetData>
    <row r="1" spans="1:13" x14ac:dyDescent="0.25">
      <c r="A1" s="329" t="s">
        <v>0</v>
      </c>
      <c r="B1" s="329"/>
      <c r="C1" s="329"/>
      <c r="D1" s="329"/>
      <c r="E1" s="329"/>
      <c r="F1" s="329"/>
      <c r="G1" s="11" t="s">
        <v>700</v>
      </c>
      <c r="I1" s="34"/>
      <c r="J1" s="34"/>
      <c r="K1" s="34"/>
      <c r="L1" s="34"/>
      <c r="M1" s="34"/>
    </row>
    <row r="2" spans="1:13" x14ac:dyDescent="0.25">
      <c r="A2" s="329" t="s">
        <v>204</v>
      </c>
      <c r="B2" s="329"/>
      <c r="C2" s="329"/>
      <c r="D2" s="329"/>
      <c r="E2" s="329"/>
      <c r="F2" s="329"/>
      <c r="G2" s="11" t="s">
        <v>705</v>
      </c>
      <c r="I2" s="34"/>
      <c r="J2" s="34"/>
      <c r="K2" s="34"/>
      <c r="L2" s="34"/>
      <c r="M2" s="76"/>
    </row>
    <row r="3" spans="1:13" x14ac:dyDescent="0.25">
      <c r="A3" s="329" t="str">
        <f>+Summary!A3</f>
        <v>Utilizing Historic Cost Data for (2017) with Year-End Average Balances</v>
      </c>
      <c r="B3" s="329"/>
      <c r="C3" s="329"/>
      <c r="D3" s="329"/>
      <c r="E3" s="329"/>
      <c r="F3" s="329"/>
      <c r="G3" s="189"/>
      <c r="H3" s="216"/>
      <c r="I3" s="83"/>
    </row>
    <row r="4" spans="1:13" x14ac:dyDescent="0.25">
      <c r="A4" s="329" t="s">
        <v>381</v>
      </c>
      <c r="B4" s="329"/>
      <c r="C4" s="329"/>
      <c r="D4" s="329"/>
      <c r="E4" s="329"/>
      <c r="F4" s="329"/>
      <c r="G4" s="290"/>
      <c r="H4" s="8"/>
      <c r="I4" s="83"/>
    </row>
    <row r="5" spans="1:13" x14ac:dyDescent="0.25">
      <c r="G5" s="326" t="s">
        <v>1358</v>
      </c>
      <c r="H5" s="326" t="s">
        <v>1359</v>
      </c>
    </row>
    <row r="6" spans="1:13" x14ac:dyDescent="0.25">
      <c r="A6" s="11" t="s">
        <v>506</v>
      </c>
      <c r="D6" s="189" t="s">
        <v>4</v>
      </c>
      <c r="E6" s="73" t="s">
        <v>190</v>
      </c>
      <c r="F6" s="286" t="s">
        <v>189</v>
      </c>
      <c r="G6" s="290" t="s">
        <v>406</v>
      </c>
      <c r="H6" s="290" t="s">
        <v>406</v>
      </c>
    </row>
    <row r="7" spans="1:13" x14ac:dyDescent="0.25">
      <c r="A7" s="86">
        <v>1</v>
      </c>
      <c r="B7" s="86" t="s">
        <v>525</v>
      </c>
      <c r="D7" s="76" t="s">
        <v>666</v>
      </c>
      <c r="E7" s="83">
        <f>'Attach S1 - SOC GP'!D21</f>
        <v>5629200.7499999991</v>
      </c>
      <c r="F7" s="83">
        <f>'Attach S1 - SOC GP'!F21</f>
        <v>136993169.25999999</v>
      </c>
      <c r="G7" s="83">
        <f t="shared" ref="G7:G10" si="0">ROUND((E7+F7)/2,0)</f>
        <v>71311185</v>
      </c>
      <c r="H7" s="83">
        <f>G7</f>
        <v>71311185</v>
      </c>
    </row>
    <row r="8" spans="1:13" x14ac:dyDescent="0.25">
      <c r="A8" s="86">
        <v>2</v>
      </c>
      <c r="B8" s="86" t="s">
        <v>563</v>
      </c>
      <c r="D8" s="76" t="s">
        <v>340</v>
      </c>
      <c r="E8" s="83">
        <f>'Attach L - Intangibles Gross'!B90+'Attach L - Intangibles Gross'!B91+'Attach L - Intangibles Gross'!B75+'Attach L - Intangibles Gross'!B93</f>
        <v>3439385</v>
      </c>
      <c r="F8" s="83">
        <f>'Attach L - Intangibles Gross'!D90+'Attach L - Intangibles Gross'!D91+'Attach L - Intangibles Gross'!D75+'Attach L - Intangibles Gross'!D93</f>
        <v>3439385</v>
      </c>
      <c r="G8" s="83">
        <f t="shared" si="0"/>
        <v>3439385</v>
      </c>
      <c r="H8" s="83">
        <f t="shared" ref="H8:H10" si="1">G8</f>
        <v>3439385</v>
      </c>
    </row>
    <row r="9" spans="1:13" x14ac:dyDescent="0.25">
      <c r="A9" s="86">
        <v>3</v>
      </c>
      <c r="B9" s="86" t="s">
        <v>564</v>
      </c>
      <c r="D9" s="76" t="s">
        <v>507</v>
      </c>
      <c r="E9" s="83">
        <f>'Rate Base'!F32</f>
        <v>-3732871.7686053589</v>
      </c>
      <c r="F9" s="83">
        <f>'Rate Base'!G32</f>
        <v>-27868102.440185074</v>
      </c>
      <c r="G9" s="17">
        <f t="shared" si="0"/>
        <v>-15800487</v>
      </c>
      <c r="H9" s="17">
        <f t="shared" si="1"/>
        <v>-15800487</v>
      </c>
    </row>
    <row r="10" spans="1:13" x14ac:dyDescent="0.25">
      <c r="A10" s="86">
        <v>4</v>
      </c>
      <c r="B10" s="86" t="s">
        <v>565</v>
      </c>
      <c r="D10" s="76" t="s">
        <v>380</v>
      </c>
      <c r="E10" s="2">
        <f>-('Attach M -Intangibles Acc Amort'!B86+'Attach M -Intangibles Acc Amort'!B87+'Attach M -Intangibles Acc Amort'!B71+'Attach M -Intangibles Acc Amort'!B89)</f>
        <v>-3262874.76</v>
      </c>
      <c r="F10" s="2">
        <f>-('Attach M -Intangibles Acc Amort'!C86+'Attach M -Intangibles Acc Amort'!C87+'Attach M -Intangibles Acc Amort'!C71+'Attach M -Intangibles Acc Amort'!C89)</f>
        <v>-3397562.2399999998</v>
      </c>
      <c r="G10" s="2">
        <f t="shared" si="0"/>
        <v>-3330219</v>
      </c>
      <c r="H10" s="2">
        <f t="shared" si="1"/>
        <v>-3330219</v>
      </c>
      <c r="I10" s="221"/>
    </row>
    <row r="11" spans="1:13" x14ac:dyDescent="0.25">
      <c r="A11" s="86">
        <v>5</v>
      </c>
      <c r="B11" s="11" t="s">
        <v>382</v>
      </c>
      <c r="D11" s="76" t="s">
        <v>581</v>
      </c>
      <c r="E11" s="83">
        <f>SUM(E7:E10)</f>
        <v>2072839.2213946413</v>
      </c>
      <c r="F11" s="83">
        <f>SUM(F7:F10)</f>
        <v>109166889.57981493</v>
      </c>
      <c r="G11" s="83">
        <f>SUM(G7:G10)</f>
        <v>55619864</v>
      </c>
      <c r="H11" s="83">
        <f>SUM(H7:H10)</f>
        <v>55619864</v>
      </c>
    </row>
    <row r="12" spans="1:13" x14ac:dyDescent="0.25">
      <c r="G12" s="221"/>
      <c r="H12" s="221"/>
    </row>
    <row r="13" spans="1:13" x14ac:dyDescent="0.25">
      <c r="A13" s="86">
        <v>6</v>
      </c>
      <c r="B13" s="86" t="s">
        <v>36</v>
      </c>
      <c r="D13" s="76" t="s">
        <v>653</v>
      </c>
      <c r="G13" s="2">
        <f>(G24-G20-G21-G23)/8</f>
        <v>752590.32420252089</v>
      </c>
      <c r="H13" s="2">
        <f>G13</f>
        <v>752590.32420252089</v>
      </c>
    </row>
    <row r="14" spans="1:13" x14ac:dyDescent="0.25">
      <c r="A14" s="86">
        <v>7</v>
      </c>
      <c r="B14" s="11" t="s">
        <v>383</v>
      </c>
      <c r="D14" s="76" t="s">
        <v>722</v>
      </c>
      <c r="G14" s="83">
        <f>G11+G13</f>
        <v>56372454.324202523</v>
      </c>
      <c r="H14" s="83">
        <f>H11+H13</f>
        <v>56372454.324202523</v>
      </c>
    </row>
    <row r="15" spans="1:13" x14ac:dyDescent="0.25">
      <c r="G15" s="83"/>
      <c r="H15" s="83"/>
    </row>
    <row r="16" spans="1:13" x14ac:dyDescent="0.25">
      <c r="A16" s="86">
        <v>8</v>
      </c>
      <c r="B16" s="86" t="s">
        <v>384</v>
      </c>
      <c r="D16" s="76" t="s">
        <v>611</v>
      </c>
      <c r="G16" s="83">
        <f>'Attach Q - 561.1- 561.4'!B7</f>
        <v>10530733</v>
      </c>
      <c r="H16" s="83">
        <f>G16</f>
        <v>10530733</v>
      </c>
    </row>
    <row r="17" spans="1:8" x14ac:dyDescent="0.25">
      <c r="A17" s="78" t="s">
        <v>578</v>
      </c>
      <c r="B17" s="86" t="s">
        <v>718</v>
      </c>
      <c r="D17" s="76" t="s">
        <v>647</v>
      </c>
      <c r="F17" s="6"/>
      <c r="G17" s="83">
        <f>'Attach Q - 561.1- 561.4'!B19</f>
        <v>-3622486.04</v>
      </c>
      <c r="H17" s="83">
        <f t="shared" ref="H17:H23" si="2">G17</f>
        <v>-3622486.04</v>
      </c>
    </row>
    <row r="18" spans="1:8" x14ac:dyDescent="0.25">
      <c r="A18" s="78" t="s">
        <v>579</v>
      </c>
      <c r="B18" s="86" t="s">
        <v>576</v>
      </c>
      <c r="D18" s="76" t="s">
        <v>647</v>
      </c>
      <c r="E18" s="52"/>
      <c r="F18" s="52"/>
      <c r="G18" s="83">
        <f>'Attach Q - 561.1- 561.4'!B20</f>
        <v>-908218.55</v>
      </c>
      <c r="H18" s="83">
        <f t="shared" si="2"/>
        <v>-908218.55</v>
      </c>
    </row>
    <row r="19" spans="1:8" x14ac:dyDescent="0.25">
      <c r="A19" s="78" t="s">
        <v>580</v>
      </c>
      <c r="B19" s="86" t="s">
        <v>577</v>
      </c>
      <c r="D19" s="76" t="s">
        <v>647</v>
      </c>
      <c r="E19" s="52"/>
      <c r="F19" s="52"/>
      <c r="G19" s="83">
        <f>'Attach Q - 561.1- 561.4'!B21</f>
        <v>0</v>
      </c>
      <c r="H19" s="83">
        <f t="shared" si="2"/>
        <v>0</v>
      </c>
    </row>
    <row r="20" spans="1:8" x14ac:dyDescent="0.25">
      <c r="A20" s="86">
        <v>9</v>
      </c>
      <c r="B20" s="86" t="s">
        <v>385</v>
      </c>
      <c r="D20" s="76" t="s">
        <v>719</v>
      </c>
      <c r="E20" s="1"/>
      <c r="F20" s="1"/>
      <c r="G20" s="83">
        <f>-'Revenue Requirement'!F36</f>
        <v>3907061.1960127545</v>
      </c>
      <c r="H20" s="83">
        <f t="shared" si="2"/>
        <v>3907061.1960127545</v>
      </c>
    </row>
    <row r="21" spans="1:8" x14ac:dyDescent="0.25">
      <c r="A21" s="86">
        <v>10</v>
      </c>
      <c r="B21" s="86" t="s">
        <v>409</v>
      </c>
      <c r="D21" s="76" t="s">
        <v>397</v>
      </c>
      <c r="G21" s="83">
        <f>'Attach N -Intangibles Amort Exp'!C93+'Attach N -Intangibles Amort Exp'!C94+'Attach N -Intangibles Amort Exp'!C78+'Attach N -Intangibles Amort Exp'!C97</f>
        <v>134688</v>
      </c>
      <c r="H21" s="83">
        <f t="shared" si="2"/>
        <v>134688</v>
      </c>
    </row>
    <row r="22" spans="1:8" x14ac:dyDescent="0.25">
      <c r="A22" s="86">
        <v>11</v>
      </c>
      <c r="B22" s="86" t="s">
        <v>386</v>
      </c>
      <c r="D22" s="76" t="s">
        <v>511</v>
      </c>
      <c r="G22" s="83">
        <f>-'Revenue Requirement'!F24</f>
        <v>20694.183620166703</v>
      </c>
      <c r="H22" s="83">
        <f t="shared" si="2"/>
        <v>20694.183620166703</v>
      </c>
    </row>
    <row r="23" spans="1:8" x14ac:dyDescent="0.25">
      <c r="A23" s="86">
        <v>12</v>
      </c>
      <c r="B23" s="86" t="s">
        <v>387</v>
      </c>
      <c r="D23" s="76" t="s">
        <v>962</v>
      </c>
      <c r="G23" s="2">
        <f>-'Revenue Requirement'!F45</f>
        <v>390670.93356521724</v>
      </c>
      <c r="H23" s="2">
        <f t="shared" si="2"/>
        <v>390670.93356521724</v>
      </c>
    </row>
    <row r="24" spans="1:8" x14ac:dyDescent="0.25">
      <c r="A24" s="86">
        <v>13</v>
      </c>
      <c r="B24" s="5" t="s">
        <v>388</v>
      </c>
      <c r="D24" s="76" t="s">
        <v>582</v>
      </c>
      <c r="G24" s="18">
        <f>SUM(G16:G23)</f>
        <v>10453142.723198138</v>
      </c>
      <c r="H24" s="18">
        <f>SUM(H16:H23)</f>
        <v>10453142.723198138</v>
      </c>
    </row>
    <row r="25" spans="1:8" x14ac:dyDescent="0.25">
      <c r="G25" s="221"/>
      <c r="H25" s="221"/>
    </row>
    <row r="26" spans="1:8" x14ac:dyDescent="0.25">
      <c r="A26" s="86">
        <v>14</v>
      </c>
      <c r="B26" s="11" t="s">
        <v>389</v>
      </c>
      <c r="D26" s="76" t="s">
        <v>583</v>
      </c>
      <c r="G26" s="18">
        <f>G14*'Allocation Factors'!G42</f>
        <v>4177514.5511676222</v>
      </c>
      <c r="H26" s="18">
        <f>G26</f>
        <v>4177514.5511676222</v>
      </c>
    </row>
    <row r="27" spans="1:8" x14ac:dyDescent="0.25">
      <c r="A27" s="86">
        <v>15</v>
      </c>
      <c r="B27" s="11" t="s">
        <v>100</v>
      </c>
      <c r="D27" s="76" t="s">
        <v>963</v>
      </c>
      <c r="E27" s="221"/>
      <c r="F27" s="221"/>
      <c r="G27" s="46">
        <f>G26*'Revenue Requirement'!F55</f>
        <v>1749547.5696266368</v>
      </c>
      <c r="H27" s="46">
        <f>G27</f>
        <v>1749547.5696266368</v>
      </c>
    </row>
    <row r="28" spans="1:8" x14ac:dyDescent="0.25">
      <c r="E28" s="221"/>
      <c r="F28" s="221"/>
      <c r="G28" s="221"/>
      <c r="H28" s="221"/>
    </row>
    <row r="29" spans="1:8" x14ac:dyDescent="0.25">
      <c r="A29" s="86">
        <v>16</v>
      </c>
      <c r="B29" s="86" t="s">
        <v>390</v>
      </c>
      <c r="D29" s="76" t="s">
        <v>584</v>
      </c>
      <c r="E29" s="221"/>
      <c r="F29" s="221"/>
      <c r="G29" s="46">
        <f>G24+G26+G27</f>
        <v>16380204.843992397</v>
      </c>
      <c r="H29" s="46">
        <f>H24+H26+H27</f>
        <v>16380204.843992397</v>
      </c>
    </row>
    <row r="30" spans="1:8" x14ac:dyDescent="0.25">
      <c r="A30" s="86">
        <v>17</v>
      </c>
      <c r="B30" s="86" t="s">
        <v>391</v>
      </c>
      <c r="D30" s="76" t="s">
        <v>236</v>
      </c>
      <c r="E30" s="221"/>
      <c r="F30" s="221"/>
      <c r="G30" s="83">
        <f>'Attach I - Acct 456.1'!K96</f>
        <v>268644.68</v>
      </c>
      <c r="H30" s="83">
        <f>G30</f>
        <v>268644.68</v>
      </c>
    </row>
    <row r="31" spans="1:8" x14ac:dyDescent="0.25">
      <c r="E31" s="221"/>
      <c r="F31" s="221"/>
      <c r="G31" s="83"/>
      <c r="H31" s="83"/>
    </row>
    <row r="32" spans="1:8" x14ac:dyDescent="0.25">
      <c r="A32" s="86">
        <v>18</v>
      </c>
      <c r="B32" s="11" t="s">
        <v>188</v>
      </c>
      <c r="D32" s="274" t="s">
        <v>1266</v>
      </c>
      <c r="E32" s="221"/>
      <c r="F32" s="221"/>
      <c r="G32" s="327">
        <f>(1+0.022)</f>
        <v>1.022</v>
      </c>
      <c r="H32" s="327">
        <f>(1+0.0217)</f>
        <v>1.0217000000000001</v>
      </c>
    </row>
    <row r="33" spans="1:10" x14ac:dyDescent="0.25">
      <c r="B33" s="11"/>
      <c r="D33" s="274"/>
      <c r="E33" s="221"/>
      <c r="F33" s="221"/>
      <c r="G33" s="120"/>
      <c r="H33" s="120"/>
    </row>
    <row r="34" spans="1:10" x14ac:dyDescent="0.25">
      <c r="A34" s="86">
        <v>19</v>
      </c>
      <c r="B34" s="11" t="s">
        <v>698</v>
      </c>
      <c r="D34" s="274" t="s">
        <v>1268</v>
      </c>
      <c r="E34" s="221"/>
      <c r="F34" s="221"/>
      <c r="G34" s="283">
        <f>(G29-G30)*G32</f>
        <v>16466014.48760023</v>
      </c>
      <c r="H34" s="283">
        <f>(H29-H30)*H32</f>
        <v>16461181.019551033</v>
      </c>
      <c r="I34" s="46"/>
    </row>
    <row r="35" spans="1:10" x14ac:dyDescent="0.25">
      <c r="B35" s="11"/>
      <c r="E35" s="221"/>
      <c r="F35" s="221"/>
      <c r="G35" s="221"/>
      <c r="H35" s="221"/>
    </row>
    <row r="36" spans="1:10" x14ac:dyDescent="0.25">
      <c r="A36" s="86">
        <v>20</v>
      </c>
      <c r="B36" s="86" t="s">
        <v>512</v>
      </c>
      <c r="D36" s="190" t="s">
        <v>1044</v>
      </c>
      <c r="E36" s="30"/>
      <c r="G36" s="6">
        <f>Summary!I28</f>
        <v>19434.583333333332</v>
      </c>
      <c r="H36" s="6">
        <f>G36</f>
        <v>19434.583333333332</v>
      </c>
      <c r="J36" s="83"/>
    </row>
    <row r="37" spans="1:10" x14ac:dyDescent="0.25">
      <c r="H37" s="221"/>
      <c r="J37" s="6"/>
    </row>
    <row r="38" spans="1:10" x14ac:dyDescent="0.25">
      <c r="A38" s="86">
        <v>21</v>
      </c>
      <c r="B38" s="86" t="s">
        <v>392</v>
      </c>
      <c r="D38" s="76" t="s">
        <v>585</v>
      </c>
      <c r="G38" s="24">
        <f>ROUND(G34/G36/1000,2)</f>
        <v>0.85</v>
      </c>
      <c r="H38" s="24">
        <f>ROUND(H34/H36/1000,2)</f>
        <v>0.85</v>
      </c>
      <c r="J38" s="6"/>
    </row>
    <row r="39" spans="1:10" x14ac:dyDescent="0.25">
      <c r="A39" s="86">
        <v>22</v>
      </c>
      <c r="B39" s="86" t="s">
        <v>393</v>
      </c>
      <c r="D39" s="76" t="s">
        <v>586</v>
      </c>
      <c r="G39" s="81">
        <f>ROUND(G38/12,5)</f>
        <v>7.0830000000000004E-2</v>
      </c>
      <c r="H39" s="81">
        <f>ROUND(H38/12,5)</f>
        <v>7.0830000000000004E-2</v>
      </c>
    </row>
    <row r="40" spans="1:10" x14ac:dyDescent="0.25">
      <c r="A40" s="86">
        <v>23</v>
      </c>
      <c r="B40" s="86" t="s">
        <v>394</v>
      </c>
      <c r="D40" s="76" t="s">
        <v>721</v>
      </c>
      <c r="G40" s="81">
        <f>ROUND(G38/52,5)</f>
        <v>1.635E-2</v>
      </c>
      <c r="H40" s="81">
        <f>ROUND(H38/52,5)</f>
        <v>1.635E-2</v>
      </c>
      <c r="J40" s="6"/>
    </row>
    <row r="41" spans="1:10" x14ac:dyDescent="0.25">
      <c r="A41" s="86">
        <v>24</v>
      </c>
      <c r="B41" s="86" t="s">
        <v>395</v>
      </c>
      <c r="D41" s="76" t="s">
        <v>587</v>
      </c>
      <c r="G41" s="81">
        <f>ROUND(G38/365,5)</f>
        <v>2.33E-3</v>
      </c>
      <c r="H41" s="81">
        <f>ROUND(H38/365,5)</f>
        <v>2.33E-3</v>
      </c>
    </row>
    <row r="42" spans="1:10" x14ac:dyDescent="0.25">
      <c r="A42" s="86">
        <v>25</v>
      </c>
      <c r="B42" s="86" t="s">
        <v>396</v>
      </c>
      <c r="D42" s="76" t="s">
        <v>588</v>
      </c>
      <c r="G42" s="81">
        <f>ROUND(G38/8760,5)</f>
        <v>1E-4</v>
      </c>
      <c r="H42" s="81">
        <f>ROUND(H38/8760,5)</f>
        <v>1E-4</v>
      </c>
    </row>
    <row r="43" spans="1:10" x14ac:dyDescent="0.25">
      <c r="G43" s="48"/>
      <c r="H43" s="48"/>
    </row>
    <row r="44" spans="1:10" x14ac:dyDescent="0.25">
      <c r="B44" s="11" t="s">
        <v>479</v>
      </c>
      <c r="D44" s="86"/>
      <c r="H44" s="221"/>
    </row>
    <row r="45" spans="1:10" x14ac:dyDescent="0.25">
      <c r="A45" s="86">
        <v>26</v>
      </c>
      <c r="B45" s="86" t="s">
        <v>114</v>
      </c>
      <c r="D45" s="76" t="s">
        <v>768</v>
      </c>
      <c r="G45" s="81">
        <f>ROUND(G40/5,5)</f>
        <v>3.2699999999999999E-3</v>
      </c>
      <c r="H45" s="81">
        <f>ROUND(H40/5,5)</f>
        <v>3.2699999999999999E-3</v>
      </c>
    </row>
    <row r="46" spans="1:10" x14ac:dyDescent="0.25">
      <c r="A46" s="86">
        <v>27</v>
      </c>
      <c r="B46" s="5" t="s">
        <v>115</v>
      </c>
      <c r="D46" s="76" t="s">
        <v>771</v>
      </c>
      <c r="G46" s="81">
        <f>ROUND(G40/7,5)</f>
        <v>2.3400000000000001E-3</v>
      </c>
      <c r="H46" s="81">
        <f>ROUND(H40/7,5)</f>
        <v>2.3400000000000001E-3</v>
      </c>
    </row>
    <row r="47" spans="1:10" x14ac:dyDescent="0.25">
      <c r="D47" s="86"/>
      <c r="G47" s="22"/>
      <c r="H47" s="22"/>
    </row>
    <row r="48" spans="1:10" x14ac:dyDescent="0.25">
      <c r="B48" s="11" t="s">
        <v>480</v>
      </c>
      <c r="D48" s="86"/>
      <c r="G48" s="22"/>
      <c r="H48" s="22"/>
    </row>
    <row r="49" spans="1:8" x14ac:dyDescent="0.25">
      <c r="A49" s="86">
        <v>28</v>
      </c>
      <c r="B49" s="86" t="s">
        <v>1155</v>
      </c>
      <c r="D49" s="76" t="s">
        <v>769</v>
      </c>
      <c r="G49" s="81">
        <f>ROUND(G45/16,5)</f>
        <v>2.0000000000000001E-4</v>
      </c>
      <c r="H49" s="81">
        <f>ROUND(H45/16,5)</f>
        <v>2.0000000000000001E-4</v>
      </c>
    </row>
    <row r="50" spans="1:8" x14ac:dyDescent="0.25">
      <c r="A50" s="86">
        <v>29</v>
      </c>
      <c r="B50" s="5" t="s">
        <v>1156</v>
      </c>
      <c r="D50" s="76" t="s">
        <v>770</v>
      </c>
      <c r="G50" s="81">
        <f>ROUND(G46/24,5)</f>
        <v>1E-4</v>
      </c>
      <c r="H50" s="81">
        <f>ROUND(H46/24,5)</f>
        <v>1E-4</v>
      </c>
    </row>
    <row r="51" spans="1:8" x14ac:dyDescent="0.25">
      <c r="B51" s="5"/>
      <c r="G51" s="81"/>
      <c r="H51" s="81"/>
    </row>
    <row r="52" spans="1:8" x14ac:dyDescent="0.25">
      <c r="B52" s="86" t="s">
        <v>432</v>
      </c>
      <c r="F52" s="48"/>
      <c r="H52" s="221"/>
    </row>
    <row r="53" spans="1:8" x14ac:dyDescent="0.25">
      <c r="A53" s="86">
        <v>30</v>
      </c>
      <c r="B53" s="86" t="s">
        <v>433</v>
      </c>
      <c r="D53" s="76" t="s">
        <v>434</v>
      </c>
      <c r="F53" s="33"/>
      <c r="G53" s="83">
        <f>G7</f>
        <v>71311185</v>
      </c>
      <c r="H53" s="83">
        <f>H7</f>
        <v>71311185</v>
      </c>
    </row>
    <row r="54" spans="1:8" x14ac:dyDescent="0.25">
      <c r="A54" s="86">
        <v>31</v>
      </c>
      <c r="B54" s="86" t="s">
        <v>435</v>
      </c>
      <c r="D54" s="76" t="s">
        <v>964</v>
      </c>
      <c r="F54" s="33"/>
      <c r="G54" s="83">
        <f>'Rate Base'!I17</f>
        <v>1012244878</v>
      </c>
      <c r="H54" s="83">
        <f>G54</f>
        <v>1012244878</v>
      </c>
    </row>
    <row r="55" spans="1:8" x14ac:dyDescent="0.25">
      <c r="A55" s="86">
        <v>32</v>
      </c>
      <c r="B55" s="86" t="s">
        <v>436</v>
      </c>
      <c r="D55" s="76" t="s">
        <v>772</v>
      </c>
      <c r="F55" s="56"/>
      <c r="G55" s="56">
        <f>G53/G54</f>
        <v>7.0448551086666991E-2</v>
      </c>
      <c r="H55" s="56">
        <f>H53/H54</f>
        <v>7.0448551086666991E-2</v>
      </c>
    </row>
    <row r="56" spans="1:8" x14ac:dyDescent="0.25">
      <c r="H56" s="221"/>
    </row>
    <row r="57" spans="1:8" x14ac:dyDescent="0.25">
      <c r="A57" s="86">
        <v>33</v>
      </c>
      <c r="B57" s="86" t="s">
        <v>433</v>
      </c>
      <c r="D57" s="76" t="s">
        <v>434</v>
      </c>
      <c r="F57" s="33"/>
      <c r="G57" s="83">
        <f>G7</f>
        <v>71311185</v>
      </c>
      <c r="H57" s="83">
        <f>H7</f>
        <v>71311185</v>
      </c>
    </row>
    <row r="58" spans="1:8" x14ac:dyDescent="0.25">
      <c r="A58" s="86">
        <v>34</v>
      </c>
      <c r="B58" s="86" t="s">
        <v>437</v>
      </c>
      <c r="D58" s="76" t="s">
        <v>965</v>
      </c>
      <c r="F58" s="33"/>
      <c r="G58" s="83">
        <f>'Rate Base'!I21-'Rate Base'!I19</f>
        <v>37432543638</v>
      </c>
      <c r="H58" s="83">
        <f>G58</f>
        <v>37432543638</v>
      </c>
    </row>
    <row r="59" spans="1:8" x14ac:dyDescent="0.25">
      <c r="A59" s="86">
        <v>35</v>
      </c>
      <c r="B59" s="86" t="s">
        <v>438</v>
      </c>
      <c r="D59" s="76" t="s">
        <v>773</v>
      </c>
      <c r="F59" s="56"/>
      <c r="G59" s="56">
        <f>G57/G58</f>
        <v>1.9050584884006594E-3</v>
      </c>
      <c r="H59" s="56">
        <f>H57/H58</f>
        <v>1.9050584884006594E-3</v>
      </c>
    </row>
    <row r="91" spans="2:2" x14ac:dyDescent="0.25">
      <c r="B91" s="193"/>
    </row>
    <row r="92" spans="2:2" x14ac:dyDescent="0.25">
      <c r="B92" s="194"/>
    </row>
    <row r="93" spans="2:2" x14ac:dyDescent="0.25">
      <c r="B93" s="193"/>
    </row>
    <row r="94" spans="2:2" x14ac:dyDescent="0.25">
      <c r="B94" s="194"/>
    </row>
    <row r="95" spans="2:2" x14ac:dyDescent="0.25">
      <c r="B95" s="194"/>
    </row>
    <row r="96" spans="2:2" x14ac:dyDescent="0.25">
      <c r="B96" s="194"/>
    </row>
  </sheetData>
  <customSheetViews>
    <customSheetView guid="{589A2A1C-99B3-4A22-A52E-EECEEAD60ADB}" scale="80" showPageBreaks="1" fitToPage="1" printArea="1" topLeftCell="A10">
      <selection activeCell="C44" sqref="C44"/>
      <pageMargins left="0.7" right="0.7" top="0.75" bottom="0.75" header="0.3" footer="0.3"/>
      <pageSetup scale="56" orientation="landscape" r:id="rId1"/>
      <headerFooter>
        <oddFooter>&amp;L&amp;Z&amp;F</oddFooter>
      </headerFooter>
    </customSheetView>
    <customSheetView guid="{C0F5889E-F852-4CB9-B477-759ADBCFF6D5}" scale="80" showPageBreaks="1" fitToPage="1" printArea="1" topLeftCell="A25">
      <selection activeCell="G55" sqref="G55"/>
      <pageMargins left="0.7" right="0.7" top="0.75" bottom="0.75" header="0.3" footer="0.3"/>
      <pageSetup scale="56" orientation="landscape" r:id="rId2"/>
      <headerFooter>
        <oddFooter>&amp;L&amp;Z&amp;F</oddFooter>
      </headerFooter>
    </customSheetView>
  </customSheetViews>
  <mergeCells count="4">
    <mergeCell ref="A1:F1"/>
    <mergeCell ref="A2:F2"/>
    <mergeCell ref="A3:F3"/>
    <mergeCell ref="A4:F4"/>
  </mergeCells>
  <pageMargins left="0.7" right="0.7" top="0.75" bottom="0.75" header="0.3" footer="0.3"/>
  <pageSetup scale="56" orientation="landscape" r:id="rId3"/>
  <headerFooter>
    <oddFooter>&amp;L&amp;Z&amp;F</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5"/>
  <sheetViews>
    <sheetView zoomScale="80" zoomScaleNormal="80" workbookViewId="0">
      <selection sqref="A1:H1"/>
    </sheetView>
  </sheetViews>
  <sheetFormatPr defaultColWidth="0.7109375" defaultRowHeight="15" x14ac:dyDescent="0.25"/>
  <cols>
    <col min="1" max="1" width="51.140625" style="25" bestFit="1" customWidth="1"/>
    <col min="2" max="3" width="22" style="25" bestFit="1" customWidth="1"/>
    <col min="4" max="4" width="22.5703125" style="25" bestFit="1" customWidth="1"/>
    <col min="5" max="5" width="1.5703125" style="25" customWidth="1"/>
    <col min="6" max="6" width="11.5703125" style="25" bestFit="1" customWidth="1"/>
    <col min="7" max="7" width="15.140625" style="25" customWidth="1"/>
    <col min="8" max="8" width="2.5703125" style="25" customWidth="1"/>
    <col min="9" max="11" width="15.7109375" style="25" customWidth="1"/>
    <col min="12" max="12" width="17.85546875" style="25" bestFit="1" customWidth="1"/>
    <col min="13" max="29" width="15.7109375" style="25" customWidth="1"/>
    <col min="30" max="16384" width="0.7109375" style="25"/>
  </cols>
  <sheetData>
    <row r="1" spans="1:23" x14ac:dyDescent="0.25">
      <c r="A1" s="331" t="s">
        <v>0</v>
      </c>
      <c r="B1" s="331"/>
      <c r="C1" s="331"/>
      <c r="D1" s="331"/>
      <c r="E1" s="331"/>
      <c r="F1" s="331"/>
      <c r="G1" s="331"/>
      <c r="H1" s="331"/>
      <c r="I1" s="197" t="s">
        <v>706</v>
      </c>
    </row>
    <row r="2" spans="1:23" x14ac:dyDescent="0.25">
      <c r="A2" s="331" t="s">
        <v>117</v>
      </c>
      <c r="B2" s="331"/>
      <c r="C2" s="331"/>
      <c r="D2" s="331"/>
      <c r="E2" s="331"/>
      <c r="F2" s="331"/>
      <c r="G2" s="331"/>
      <c r="H2" s="331"/>
      <c r="I2" s="197" t="s">
        <v>407</v>
      </c>
    </row>
    <row r="3" spans="1:23" x14ac:dyDescent="0.25">
      <c r="A3" s="331" t="str">
        <f>+Summary!A3</f>
        <v>Utilizing Historic Cost Data for (2017) with Year-End Average Balances</v>
      </c>
      <c r="B3" s="331"/>
      <c r="C3" s="331"/>
      <c r="D3" s="331"/>
      <c r="E3" s="331"/>
      <c r="F3" s="331"/>
      <c r="G3" s="331"/>
      <c r="H3" s="331"/>
      <c r="J3" s="234"/>
    </row>
    <row r="4" spans="1:23" x14ac:dyDescent="0.25">
      <c r="A4" s="331" t="s">
        <v>118</v>
      </c>
      <c r="B4" s="331"/>
      <c r="C4" s="331"/>
      <c r="D4" s="331"/>
      <c r="E4" s="331"/>
      <c r="F4" s="331"/>
      <c r="G4" s="331"/>
      <c r="H4" s="331"/>
      <c r="I4" s="38"/>
      <c r="J4" s="234"/>
    </row>
    <row r="6" spans="1:23" x14ac:dyDescent="0.25">
      <c r="B6" s="292" t="s">
        <v>131</v>
      </c>
      <c r="C6" s="292" t="s">
        <v>131</v>
      </c>
      <c r="D6" s="60"/>
      <c r="E6" s="60"/>
      <c r="F6" s="60"/>
      <c r="G6" s="60"/>
      <c r="H6" s="60"/>
      <c r="I6" s="60"/>
    </row>
    <row r="7" spans="1:23" x14ac:dyDescent="0.25">
      <c r="A7" s="60"/>
      <c r="B7" s="302">
        <v>42735</v>
      </c>
      <c r="C7" s="302">
        <v>43100</v>
      </c>
      <c r="D7" s="292" t="s">
        <v>197</v>
      </c>
      <c r="E7" s="60"/>
      <c r="F7" s="331" t="s">
        <v>129</v>
      </c>
      <c r="G7" s="331"/>
      <c r="H7" s="60"/>
      <c r="I7" s="60"/>
    </row>
    <row r="8" spans="1:23" x14ac:dyDescent="0.25">
      <c r="B8" s="293" t="s">
        <v>132</v>
      </c>
      <c r="C8" s="293" t="s">
        <v>132</v>
      </c>
      <c r="D8" s="293" t="s">
        <v>196</v>
      </c>
      <c r="E8" s="60"/>
      <c r="F8" s="332" t="s">
        <v>130</v>
      </c>
      <c r="G8" s="332"/>
      <c r="H8" s="60"/>
      <c r="I8" s="70" t="s">
        <v>128</v>
      </c>
    </row>
    <row r="9" spans="1:23" x14ac:dyDescent="0.25">
      <c r="B9" s="291"/>
      <c r="C9" s="291"/>
    </row>
    <row r="10" spans="1:23" x14ac:dyDescent="0.25">
      <c r="A10" s="62" t="s">
        <v>431</v>
      </c>
      <c r="B10" s="238">
        <f>2720556239+17-SUM(B11:B29)</f>
        <v>2604006543</v>
      </c>
      <c r="C10" s="238">
        <f>2686883097-SUM(C11:C29)</f>
        <v>2573813372</v>
      </c>
      <c r="D10" s="83">
        <f t="shared" ref="D10" si="0">ROUND((B10+C10)/2,0)</f>
        <v>2588909958</v>
      </c>
      <c r="E10" s="7"/>
      <c r="F10" s="25" t="s">
        <v>140</v>
      </c>
      <c r="G10" s="237">
        <v>0</v>
      </c>
      <c r="I10" s="7">
        <f t="shared" ref="I10" si="1">D10*G10</f>
        <v>0</v>
      </c>
    </row>
    <row r="11" spans="1:23" x14ac:dyDescent="0.25">
      <c r="A11" s="62" t="s">
        <v>119</v>
      </c>
      <c r="B11" s="236">
        <v>0</v>
      </c>
      <c r="C11" s="236">
        <v>0</v>
      </c>
      <c r="D11" s="83">
        <f>ROUND((B11+C11)/2,0)</f>
        <v>0</v>
      </c>
      <c r="F11" s="25" t="s">
        <v>74</v>
      </c>
      <c r="G11" s="13">
        <f>'Allocation Factors'!$G$21</f>
        <v>3.54809369866841E-2</v>
      </c>
      <c r="I11" s="7">
        <f>D11*G11</f>
        <v>0</v>
      </c>
      <c r="K11" s="28"/>
      <c r="W11" s="29"/>
    </row>
    <row r="12" spans="1:23" x14ac:dyDescent="0.25">
      <c r="A12" s="62" t="s">
        <v>980</v>
      </c>
      <c r="B12" s="236">
        <v>0</v>
      </c>
      <c r="C12" s="236">
        <v>0</v>
      </c>
      <c r="D12" s="83">
        <f t="shared" ref="D12" si="2">ROUND((B12+C12)/2,0)</f>
        <v>0</v>
      </c>
      <c r="F12" s="25" t="s">
        <v>140</v>
      </c>
      <c r="G12" s="237">
        <v>0</v>
      </c>
      <c r="I12" s="7">
        <f t="shared" ref="I12" si="3">D12*G12</f>
        <v>0</v>
      </c>
      <c r="K12" s="28"/>
    </row>
    <row r="13" spans="1:23" x14ac:dyDescent="0.25">
      <c r="A13" s="62" t="s">
        <v>120</v>
      </c>
      <c r="B13" s="236">
        <v>707515</v>
      </c>
      <c r="C13" s="236">
        <f>1375317+800061</f>
        <v>2175378</v>
      </c>
      <c r="D13" s="83">
        <f>ROUND((B13+C13)/2,0)</f>
        <v>1441447</v>
      </c>
      <c r="F13" s="25" t="s">
        <v>74</v>
      </c>
      <c r="G13" s="13">
        <f>'Allocation Factors'!$G$21</f>
        <v>3.54809369866841E-2</v>
      </c>
      <c r="I13" s="7">
        <f>D13*G13</f>
        <v>51143.890176644833</v>
      </c>
      <c r="W13" s="29"/>
    </row>
    <row r="14" spans="1:23" x14ac:dyDescent="0.25">
      <c r="A14" s="62" t="s">
        <v>121</v>
      </c>
      <c r="B14" s="236">
        <v>997592</v>
      </c>
      <c r="C14" s="236">
        <f>419160+243837</f>
        <v>662997</v>
      </c>
      <c r="D14" s="83">
        <f>ROUND((B14+C14)/2,0)</f>
        <v>830295</v>
      </c>
      <c r="F14" s="25" t="s">
        <v>108</v>
      </c>
      <c r="G14" s="13">
        <f>'Rate Base'!$L$42</f>
        <v>9.65808516409917E-2</v>
      </c>
      <c r="I14" s="7">
        <f>D14*G14</f>
        <v>80190.59821325721</v>
      </c>
    </row>
    <row r="15" spans="1:23" x14ac:dyDescent="0.25">
      <c r="A15" s="62" t="s">
        <v>981</v>
      </c>
      <c r="B15" s="236">
        <v>640150</v>
      </c>
      <c r="C15" s="236">
        <f>402343+234055</f>
        <v>636398</v>
      </c>
      <c r="D15" s="83">
        <f t="shared" ref="D15:D21" si="4">ROUND((B15+C15)/2,0)</f>
        <v>638274</v>
      </c>
      <c r="F15" s="25" t="s">
        <v>74</v>
      </c>
      <c r="G15" s="13">
        <f>'Allocation Factors'!$G$21</f>
        <v>3.54809369866841E-2</v>
      </c>
      <c r="I15" s="7">
        <f t="shared" ref="I15" si="5">D15*G15</f>
        <v>22646.559574238807</v>
      </c>
    </row>
    <row r="16" spans="1:23" x14ac:dyDescent="0.25">
      <c r="A16" s="62" t="s">
        <v>1024</v>
      </c>
      <c r="B16" s="236">
        <v>16856</v>
      </c>
      <c r="C16" s="236">
        <f>-10655940+8528+-6193900</f>
        <v>-16841312</v>
      </c>
      <c r="D16" s="83">
        <f t="shared" si="4"/>
        <v>-8412228</v>
      </c>
      <c r="F16" s="25" t="s">
        <v>74</v>
      </c>
      <c r="G16" s="13">
        <f>'Allocation Factors'!$G$21</f>
        <v>3.54809369866841E-2</v>
      </c>
      <c r="I16" s="7">
        <f t="shared" ref="I16" si="6">D16*G16</f>
        <v>-298473.73158561962</v>
      </c>
    </row>
    <row r="17" spans="1:12" x14ac:dyDescent="0.25">
      <c r="A17" s="62" t="s">
        <v>198</v>
      </c>
      <c r="B17" s="236">
        <v>7954816</v>
      </c>
      <c r="C17" s="236">
        <f>8340550-2514410+3389230</f>
        <v>9215370</v>
      </c>
      <c r="D17" s="83">
        <f t="shared" si="4"/>
        <v>8585093</v>
      </c>
      <c r="F17" s="25" t="s">
        <v>74</v>
      </c>
      <c r="G17" s="13">
        <f>'Allocation Factors'!$G$21</f>
        <v>3.54809369866841E-2</v>
      </c>
      <c r="I17" s="7">
        <f>D17*G17</f>
        <v>304607.14375782275</v>
      </c>
    </row>
    <row r="18" spans="1:12" x14ac:dyDescent="0.25">
      <c r="A18" s="62" t="s">
        <v>122</v>
      </c>
      <c r="B18" s="236">
        <v>-222753</v>
      </c>
      <c r="C18" s="236">
        <f>-105388+-61306</f>
        <v>-166694</v>
      </c>
      <c r="D18" s="83">
        <f t="shared" si="4"/>
        <v>-194724</v>
      </c>
      <c r="F18" s="25" t="s">
        <v>108</v>
      </c>
      <c r="G18" s="13">
        <f>'Rate Base'!$L$42</f>
        <v>9.65808516409917E-2</v>
      </c>
      <c r="I18" s="7">
        <f>D18*G18</f>
        <v>-18806.609754940469</v>
      </c>
    </row>
    <row r="19" spans="1:12" x14ac:dyDescent="0.25">
      <c r="A19" s="62" t="s">
        <v>982</v>
      </c>
      <c r="B19" s="236">
        <v>45032814</v>
      </c>
      <c r="C19" s="236">
        <f>26811552+15597037</f>
        <v>42408589</v>
      </c>
      <c r="D19" s="83">
        <f t="shared" si="4"/>
        <v>43720702</v>
      </c>
      <c r="F19" s="25" t="s">
        <v>140</v>
      </c>
      <c r="G19" s="237">
        <v>0</v>
      </c>
      <c r="I19" s="7">
        <f>D19*G19</f>
        <v>0</v>
      </c>
    </row>
    <row r="20" spans="1:12" x14ac:dyDescent="0.25">
      <c r="A20" s="62" t="s">
        <v>199</v>
      </c>
      <c r="B20" s="236">
        <v>16817377</v>
      </c>
      <c r="C20" s="236">
        <f>17532129-8825879+6728683</f>
        <v>15434933</v>
      </c>
      <c r="D20" s="83">
        <f t="shared" si="4"/>
        <v>16126155</v>
      </c>
      <c r="F20" s="25" t="s">
        <v>74</v>
      </c>
      <c r="G20" s="13">
        <f>'Allocation Factors'!$G$21</f>
        <v>3.54809369866841E-2</v>
      </c>
      <c r="I20" s="7">
        <f t="shared" ref="I20:I29" si="7">D20*G20</f>
        <v>572171.0893925007</v>
      </c>
    </row>
    <row r="21" spans="1:12" x14ac:dyDescent="0.25">
      <c r="A21" s="62" t="s">
        <v>1025</v>
      </c>
      <c r="B21" s="236">
        <v>2509640</v>
      </c>
      <c r="C21" s="236">
        <f>1643357+955987</f>
        <v>2599344</v>
      </c>
      <c r="D21" s="83">
        <f t="shared" si="4"/>
        <v>2554492</v>
      </c>
      <c r="F21" s="25" t="s">
        <v>140</v>
      </c>
      <c r="G21" s="237">
        <v>0</v>
      </c>
      <c r="I21" s="7">
        <f t="shared" ref="I21" si="8">D21*G21</f>
        <v>0</v>
      </c>
    </row>
    <row r="22" spans="1:12" x14ac:dyDescent="0.25">
      <c r="A22" s="62" t="s">
        <v>983</v>
      </c>
      <c r="B22" s="236">
        <v>0</v>
      </c>
      <c r="C22" s="236">
        <v>0</v>
      </c>
      <c r="D22" s="83">
        <f t="shared" ref="D22:D31" si="9">ROUND((B22+C22)/2,0)</f>
        <v>0</v>
      </c>
      <c r="F22" s="25" t="s">
        <v>74</v>
      </c>
      <c r="G22" s="13">
        <f>'Allocation Factors'!$G$21</f>
        <v>3.54809369866841E-2</v>
      </c>
      <c r="I22" s="7">
        <f t="shared" si="7"/>
        <v>0</v>
      </c>
      <c r="L22" s="271"/>
    </row>
    <row r="23" spans="1:12" x14ac:dyDescent="0.25">
      <c r="A23" s="62" t="s">
        <v>124</v>
      </c>
      <c r="B23" s="236">
        <v>0</v>
      </c>
      <c r="C23" s="236">
        <v>0</v>
      </c>
      <c r="D23" s="83">
        <f t="shared" si="9"/>
        <v>0</v>
      </c>
      <c r="F23" s="25" t="s">
        <v>74</v>
      </c>
      <c r="G23" s="13">
        <f>'Allocation Factors'!$G$21</f>
        <v>3.54809369866841E-2</v>
      </c>
      <c r="I23" s="7">
        <f t="shared" si="7"/>
        <v>0</v>
      </c>
      <c r="L23" s="271"/>
    </row>
    <row r="24" spans="1:12" x14ac:dyDescent="0.25">
      <c r="A24" s="62" t="s">
        <v>251</v>
      </c>
      <c r="B24" s="236">
        <f>12426723+22393017</f>
        <v>34819740</v>
      </c>
      <c r="C24" s="236">
        <f>13692423+37616827</f>
        <v>51309250</v>
      </c>
      <c r="D24" s="83">
        <f t="shared" si="9"/>
        <v>43064495</v>
      </c>
      <c r="F24" s="25" t="s">
        <v>140</v>
      </c>
      <c r="G24" s="237">
        <v>0</v>
      </c>
      <c r="I24" s="7">
        <f t="shared" si="7"/>
        <v>0</v>
      </c>
    </row>
    <row r="25" spans="1:12" x14ac:dyDescent="0.25">
      <c r="A25" s="62" t="s">
        <v>125</v>
      </c>
      <c r="B25" s="236">
        <v>4909931</v>
      </c>
      <c r="C25" s="236">
        <f>1271615+739734</f>
        <v>2011349</v>
      </c>
      <c r="D25" s="83">
        <f t="shared" si="9"/>
        <v>3460640</v>
      </c>
      <c r="F25" s="25" t="s">
        <v>140</v>
      </c>
      <c r="G25" s="237">
        <v>0</v>
      </c>
      <c r="I25" s="7">
        <f t="shared" si="7"/>
        <v>0</v>
      </c>
    </row>
    <row r="26" spans="1:12" x14ac:dyDescent="0.25">
      <c r="A26" s="62" t="s">
        <v>984</v>
      </c>
      <c r="B26" s="236">
        <v>0</v>
      </c>
      <c r="C26" s="236">
        <v>0</v>
      </c>
      <c r="D26" s="83">
        <f t="shared" si="9"/>
        <v>0</v>
      </c>
      <c r="F26" s="25" t="s">
        <v>74</v>
      </c>
      <c r="G26" s="13">
        <f>'Allocation Factors'!$G$21</f>
        <v>3.54809369866841E-2</v>
      </c>
      <c r="I26" s="7">
        <f t="shared" ref="I26:I27" si="10">D26*G26</f>
        <v>0</v>
      </c>
    </row>
    <row r="27" spans="1:12" x14ac:dyDescent="0.25">
      <c r="A27" s="62" t="s">
        <v>985</v>
      </c>
      <c r="B27" s="236">
        <v>0</v>
      </c>
      <c r="C27" s="236">
        <v>0</v>
      </c>
      <c r="D27" s="83">
        <f t="shared" si="9"/>
        <v>0</v>
      </c>
      <c r="F27" s="25" t="s">
        <v>74</v>
      </c>
      <c r="G27" s="13">
        <f>'Allocation Factors'!$G$21</f>
        <v>3.54809369866841E-2</v>
      </c>
      <c r="I27" s="7">
        <f t="shared" si="10"/>
        <v>0</v>
      </c>
    </row>
    <row r="28" spans="1:12" x14ac:dyDescent="0.25">
      <c r="A28" s="62" t="s">
        <v>126</v>
      </c>
      <c r="B28" s="236">
        <v>45765</v>
      </c>
      <c r="C28" s="236">
        <f>78476+45652</f>
        <v>124128</v>
      </c>
      <c r="D28" s="83">
        <f t="shared" si="9"/>
        <v>84947</v>
      </c>
      <c r="F28" s="25" t="s">
        <v>108</v>
      </c>
      <c r="G28" s="13">
        <f>'Rate Base'!$L$42</f>
        <v>9.65808516409917E-2</v>
      </c>
      <c r="I28" s="7">
        <f t="shared" si="7"/>
        <v>8204.253604347321</v>
      </c>
    </row>
    <row r="29" spans="1:12" x14ac:dyDescent="0.25">
      <c r="A29" s="62" t="s">
        <v>127</v>
      </c>
      <c r="B29" s="236">
        <v>2320270</v>
      </c>
      <c r="C29" s="236">
        <f>2212766+1287229</f>
        <v>3499995</v>
      </c>
      <c r="D29" s="83">
        <f t="shared" si="9"/>
        <v>2910133</v>
      </c>
      <c r="F29" s="25" t="s">
        <v>108</v>
      </c>
      <c r="G29" s="13">
        <f>'Rate Base'!$L$42</f>
        <v>9.65808516409917E-2</v>
      </c>
      <c r="I29" s="7">
        <f t="shared" si="7"/>
        <v>281063.1235285541</v>
      </c>
    </row>
    <row r="30" spans="1:12" x14ac:dyDescent="0.25">
      <c r="B30" s="291"/>
      <c r="C30" s="291"/>
      <c r="D30" s="179"/>
      <c r="G30" s="13"/>
    </row>
    <row r="31" spans="1:12" x14ac:dyDescent="0.25">
      <c r="A31" s="66" t="s">
        <v>267</v>
      </c>
      <c r="B31" s="116">
        <f>SUM(B10:B29)</f>
        <v>2720556256</v>
      </c>
      <c r="C31" s="116">
        <f>SUM(C10:C29)</f>
        <v>2686883097</v>
      </c>
      <c r="D31" s="18">
        <f t="shared" si="9"/>
        <v>2703719677</v>
      </c>
      <c r="E31" s="60"/>
      <c r="F31" s="60"/>
      <c r="G31" s="64"/>
      <c r="H31" s="60"/>
      <c r="I31" s="116">
        <f>SUM(I10:I29)</f>
        <v>1002746.3169068056</v>
      </c>
    </row>
    <row r="32" spans="1:12" x14ac:dyDescent="0.25">
      <c r="A32" s="29"/>
      <c r="B32" s="28"/>
      <c r="C32" s="28"/>
      <c r="D32" s="83"/>
      <c r="G32" s="13"/>
    </row>
    <row r="33" spans="1:9" x14ac:dyDescent="0.25">
      <c r="A33" s="256"/>
      <c r="B33" s="29"/>
      <c r="C33" s="29"/>
    </row>
    <row r="34" spans="1:9" x14ac:dyDescent="0.25">
      <c r="B34" s="55"/>
      <c r="C34" s="55"/>
      <c r="D34" s="28"/>
    </row>
    <row r="35" spans="1:9" x14ac:dyDescent="0.25">
      <c r="A35" s="331" t="s">
        <v>0</v>
      </c>
      <c r="B35" s="331"/>
      <c r="C35" s="331"/>
      <c r="D35" s="331"/>
      <c r="E35" s="331"/>
      <c r="F35" s="331"/>
      <c r="G35" s="331"/>
      <c r="H35" s="331"/>
      <c r="I35" s="331"/>
    </row>
    <row r="36" spans="1:9" x14ac:dyDescent="0.25">
      <c r="A36" s="331" t="s">
        <v>117</v>
      </c>
      <c r="B36" s="331"/>
      <c r="C36" s="331"/>
      <c r="D36" s="331"/>
      <c r="E36" s="331"/>
      <c r="F36" s="331"/>
      <c r="G36" s="331"/>
      <c r="H36" s="331"/>
      <c r="I36" s="331"/>
    </row>
    <row r="37" spans="1:9" x14ac:dyDescent="0.25">
      <c r="F37" s="291"/>
      <c r="G37" s="291"/>
      <c r="H37" s="26"/>
    </row>
    <row r="38" spans="1:9" x14ac:dyDescent="0.25">
      <c r="A38" s="331" t="s">
        <v>966</v>
      </c>
      <c r="B38" s="331"/>
      <c r="C38" s="331"/>
      <c r="D38" s="331"/>
      <c r="E38" s="331"/>
      <c r="F38" s="331"/>
      <c r="G38" s="331"/>
      <c r="H38" s="331"/>
      <c r="I38" s="331"/>
    </row>
    <row r="40" spans="1:9" x14ac:dyDescent="0.25">
      <c r="B40" s="292" t="s">
        <v>131</v>
      </c>
      <c r="C40" s="292" t="s">
        <v>131</v>
      </c>
      <c r="D40" s="60"/>
      <c r="E40" s="60"/>
      <c r="F40" s="60"/>
      <c r="G40" s="60"/>
      <c r="H40" s="60"/>
      <c r="I40" s="60"/>
    </row>
    <row r="41" spans="1:9" x14ac:dyDescent="0.25">
      <c r="B41" s="61">
        <f>+B7</f>
        <v>42735</v>
      </c>
      <c r="C41" s="61">
        <f>+C7</f>
        <v>43100</v>
      </c>
      <c r="D41" s="292" t="s">
        <v>197</v>
      </c>
      <c r="E41" s="60"/>
      <c r="F41" s="331" t="s">
        <v>129</v>
      </c>
      <c r="G41" s="331"/>
      <c r="H41" s="60"/>
      <c r="I41" s="60"/>
    </row>
    <row r="42" spans="1:9" x14ac:dyDescent="0.25">
      <c r="B42" s="293" t="s">
        <v>132</v>
      </c>
      <c r="C42" s="293" t="s">
        <v>132</v>
      </c>
      <c r="D42" s="293" t="s">
        <v>196</v>
      </c>
      <c r="E42" s="60"/>
      <c r="F42" s="332" t="s">
        <v>130</v>
      </c>
      <c r="G42" s="332"/>
      <c r="H42" s="60"/>
      <c r="I42" s="70" t="s">
        <v>128</v>
      </c>
    </row>
    <row r="43" spans="1:9" x14ac:dyDescent="0.25">
      <c r="B43" s="291"/>
      <c r="C43" s="291"/>
    </row>
    <row r="44" spans="1:9" x14ac:dyDescent="0.25">
      <c r="A44" s="62" t="s">
        <v>198</v>
      </c>
      <c r="B44" s="7">
        <v>0</v>
      </c>
      <c r="C44" s="7"/>
      <c r="D44" s="83">
        <f>ROUND((B44+C44)/2,0)</f>
        <v>0</v>
      </c>
      <c r="F44" s="25" t="s">
        <v>74</v>
      </c>
      <c r="G44" s="27">
        <f>'Allocation Factors'!$G$21</f>
        <v>3.54809369866841E-2</v>
      </c>
      <c r="I44" s="7">
        <f>D44*G44</f>
        <v>0</v>
      </c>
    </row>
    <row r="45" spans="1:9" x14ac:dyDescent="0.25">
      <c r="A45" s="62" t="s">
        <v>199</v>
      </c>
      <c r="B45" s="7">
        <v>0</v>
      </c>
      <c r="C45" s="7"/>
      <c r="D45" s="83">
        <f>ROUND((B45+C45)/2,0)</f>
        <v>0</v>
      </c>
      <c r="F45" s="25" t="s">
        <v>74</v>
      </c>
      <c r="G45" s="27">
        <f>'Allocation Factors'!$G$21</f>
        <v>3.54809369866841E-2</v>
      </c>
      <c r="I45" s="7">
        <f>D45*G45</f>
        <v>0</v>
      </c>
    </row>
    <row r="46" spans="1:9" x14ac:dyDescent="0.25">
      <c r="B46" s="330"/>
      <c r="C46" s="330"/>
    </row>
    <row r="47" spans="1:9" x14ac:dyDescent="0.25">
      <c r="A47" s="63" t="s">
        <v>267</v>
      </c>
      <c r="B47" s="116">
        <f>SUM(B44:B45)</f>
        <v>0</v>
      </c>
      <c r="C47" s="116">
        <f>SUM(C44:C45)</f>
        <v>0</v>
      </c>
      <c r="D47" s="116">
        <f>SUM(D44:D45)</f>
        <v>0</v>
      </c>
      <c r="E47" s="60"/>
      <c r="F47" s="60"/>
      <c r="G47" s="60"/>
      <c r="H47" s="60"/>
      <c r="I47" s="116">
        <f>SUM(I44:I46)</f>
        <v>0</v>
      </c>
    </row>
    <row r="90" spans="2:2" x14ac:dyDescent="0.25">
      <c r="B90" s="193"/>
    </row>
    <row r="91" spans="2:2" x14ac:dyDescent="0.25">
      <c r="B91" s="194"/>
    </row>
    <row r="92" spans="2:2" x14ac:dyDescent="0.25">
      <c r="B92" s="193"/>
    </row>
    <row r="93" spans="2:2" x14ac:dyDescent="0.25">
      <c r="B93" s="194"/>
    </row>
    <row r="94" spans="2:2" x14ac:dyDescent="0.25">
      <c r="B94" s="194"/>
    </row>
    <row r="95" spans="2:2" x14ac:dyDescent="0.25">
      <c r="B95" s="194"/>
    </row>
  </sheetData>
  <sortState ref="A10:I67">
    <sortCondition ref="A10"/>
  </sortState>
  <customSheetViews>
    <customSheetView guid="{589A2A1C-99B3-4A22-A52E-EECEEAD60ADB}" scale="80" fitToPage="1">
      <selection activeCell="C27" sqref="C27"/>
      <pageMargins left="0.7" right="0.7" top="0.75" bottom="0.75" header="0.3" footer="0.3"/>
      <pageSetup scale="52" orientation="portrait" r:id="rId1"/>
      <headerFooter>
        <oddFooter>&amp;L&amp;Z&amp;F</oddFooter>
      </headerFooter>
    </customSheetView>
    <customSheetView guid="{C0F5889E-F852-4CB9-B477-759ADBCFF6D5}" scale="80" fitToPage="1">
      <selection activeCell="K33" sqref="K33"/>
      <pageMargins left="0.7" right="0.7" top="0.75" bottom="0.75" header="0.3" footer="0.3"/>
      <pageSetup scale="52" orientation="portrait" r:id="rId2"/>
      <headerFooter>
        <oddFooter>&amp;L&amp;Z&amp;F</oddFooter>
      </headerFooter>
    </customSheetView>
  </customSheetViews>
  <mergeCells count="12">
    <mergeCell ref="F7:G7"/>
    <mergeCell ref="F8:G8"/>
    <mergeCell ref="A1:H1"/>
    <mergeCell ref="A2:H2"/>
    <mergeCell ref="A3:H3"/>
    <mergeCell ref="A4:H4"/>
    <mergeCell ref="B46:C46"/>
    <mergeCell ref="F41:G41"/>
    <mergeCell ref="F42:G42"/>
    <mergeCell ref="A35:I35"/>
    <mergeCell ref="A36:I36"/>
    <mergeCell ref="A38:I38"/>
  </mergeCells>
  <pageMargins left="0.7" right="0.7" top="0.75" bottom="0.75" header="0.3" footer="0.3"/>
  <pageSetup scale="52" orientation="portrait" r:id="rId3"/>
  <headerFooter>
    <oddFooter>&amp;L&amp;Z&amp;F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FERC Form 1 Inputs</vt:lpstr>
      <vt:lpstr>Data Requests</vt:lpstr>
      <vt:lpstr>Summary</vt:lpstr>
      <vt:lpstr>Rate Base</vt:lpstr>
      <vt:lpstr>Revenue Requirement</vt:lpstr>
      <vt:lpstr>Allocation Factors</vt:lpstr>
      <vt:lpstr> Notes</vt:lpstr>
      <vt:lpstr>Schedule 1</vt:lpstr>
      <vt:lpstr>Attach A - Acct 190</vt:lpstr>
      <vt:lpstr>Attach B - Acct 282</vt:lpstr>
      <vt:lpstr>Attach C - Acct 283</vt:lpstr>
      <vt:lpstr>Attach D - Acct 182</vt:lpstr>
      <vt:lpstr>Attach E - Acct 228</vt:lpstr>
      <vt:lpstr>Attach F - Acct 253-254</vt:lpstr>
      <vt:lpstr>Attach G - Acct 454</vt:lpstr>
      <vt:lpstr>Attach H - Acct 454.3</vt:lpstr>
      <vt:lpstr>Attach I - Acct 456.1</vt:lpstr>
      <vt:lpstr>Attach J - Prepayment</vt:lpstr>
      <vt:lpstr>Attach K - GridSouth</vt:lpstr>
      <vt:lpstr>Attach L - Intangibles Gross</vt:lpstr>
      <vt:lpstr>Attach M -Intangibles Acc Amort</vt:lpstr>
      <vt:lpstr>Attach N -Intangibles Amort Exp</vt:lpstr>
      <vt:lpstr>Attach O - Depr Rate</vt:lpstr>
      <vt:lpstr>Attach P - AFUDC</vt:lpstr>
      <vt:lpstr>Attach Q - 561.1- 561.4</vt:lpstr>
      <vt:lpstr>ATRR True-Up</vt:lpstr>
      <vt:lpstr>Schedule 1 True Up</vt:lpstr>
      <vt:lpstr>Attach S1 - SOC GP</vt:lpstr>
      <vt:lpstr>Interest Worksheet</vt:lpstr>
      <vt:lpstr>Amounts Owed Worksheet</vt:lpstr>
      <vt:lpstr>Amounts Owed Worksheet Sch 1</vt:lpstr>
      <vt:lpstr>Sheet1</vt:lpstr>
      <vt:lpstr>' Notes'!Print_Area</vt:lpstr>
      <vt:lpstr>'Allocation Factors'!Print_Area</vt:lpstr>
      <vt:lpstr>'ATRR True-Up'!Print_Area</vt:lpstr>
      <vt:lpstr>'Attach B - Acct 282'!Print_Area</vt:lpstr>
      <vt:lpstr>'Attach C - Acct 283'!Print_Area</vt:lpstr>
      <vt:lpstr>'Attach F - Acct 253-254'!Print_Area</vt:lpstr>
      <vt:lpstr>'Attach H - Acct 454.3'!Print_Area</vt:lpstr>
      <vt:lpstr>'Attach I - Acct 456.1'!Print_Area</vt:lpstr>
      <vt:lpstr>'Attach J - Prepayment'!Print_Area</vt:lpstr>
      <vt:lpstr>'Attach K - GridSouth'!Print_Area</vt:lpstr>
      <vt:lpstr>'Attach N -Intangibles Amort Exp'!Print_Area</vt:lpstr>
      <vt:lpstr>'Attach Q - 561.1- 561.4'!Print_Area</vt:lpstr>
      <vt:lpstr>'Data Requests'!Print_Area</vt:lpstr>
      <vt:lpstr>'FERC Form 1 Inputs'!Print_Area</vt:lpstr>
      <vt:lpstr>'Rate Base'!Print_Area</vt:lpstr>
      <vt:lpstr>'Revenue Requirement'!Print_Area</vt:lpstr>
      <vt:lpstr>'Schedule 1'!Print_Area</vt:lpstr>
      <vt:lpstr>'Schedule 1 True Up'!Print_Area</vt:lpstr>
      <vt:lpstr>Summary!Print_Area</vt:lpstr>
    </vt:vector>
  </TitlesOfParts>
  <Company>Duke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pjmoulton</dc:creator>
  <cp:lastModifiedBy>Blevins, Drew</cp:lastModifiedBy>
  <cp:lastPrinted>2018-04-18T19:40:13Z</cp:lastPrinted>
  <dcterms:created xsi:type="dcterms:W3CDTF">2010-01-25T14:21:54Z</dcterms:created>
  <dcterms:modified xsi:type="dcterms:W3CDTF">2018-05-14T18:48:16Z</dcterms:modified>
</cp:coreProperties>
</file>