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2855" tabRatio="822"/>
  </bookViews>
  <sheets>
    <sheet name="FERC Form 1 Inputs" sheetId="32" r:id="rId1"/>
    <sheet name="Data Requests" sheetId="33" state="hidden" r:id="rId2"/>
    <sheet name="Summary" sheetId="3" r:id="rId3"/>
    <sheet name="Rate Base" sheetId="1" r:id="rId4"/>
    <sheet name="Revenue Requirement" sheetId="4" r:id="rId5"/>
    <sheet name="Allocation Factors" sheetId="2" r:id="rId6"/>
    <sheet name=" Notes" sheetId="10" r:id="rId7"/>
    <sheet name="Schedule 1" sheetId="23" r:id="rId8"/>
    <sheet name="Attach A - Acct 190" sheetId="5" r:id="rId9"/>
    <sheet name="Attach B - Acct 281 - 282" sheetId="6" r:id="rId10"/>
    <sheet name="Attach C - Acct 283" sheetId="7" r:id="rId11"/>
    <sheet name="Attach D - Acct 182" sheetId="13" r:id="rId12"/>
    <sheet name="Attach E - Acct 228" sheetId="8" r:id="rId13"/>
    <sheet name="Attach F - Acct 253-254" sheetId="15" r:id="rId14"/>
    <sheet name="Attach G - Acct 454" sheetId="12" r:id="rId15"/>
    <sheet name="Attach H - Acct 454.3" sheetId="20" r:id="rId16"/>
    <sheet name="Attach I - Acct 456.1" sheetId="11" r:id="rId17"/>
    <sheet name="Attach J - Prepayments" sheetId="16" r:id="rId18"/>
    <sheet name="Attach K - GridSouth" sheetId="17" r:id="rId19"/>
    <sheet name="Attach L - Intangibles Gross" sheetId="21" r:id="rId20"/>
    <sheet name="Attach M -Intangibles Acc Amort" sheetId="22" r:id="rId21"/>
    <sheet name="Attach N -Intangibles Amort Exp" sheetId="24" r:id="rId22"/>
    <sheet name="Attach O - Depr Rates" sheetId="27" r:id="rId23"/>
    <sheet name="Attach P - AFUDC" sheetId="25" r:id="rId24"/>
    <sheet name="Attach Q - 561.1-561.4" sheetId="29" r:id="rId25"/>
    <sheet name="Attach R - Projection" sheetId="30" r:id="rId26"/>
    <sheet name="Attach S1 - SOC GP" sheetId="31" r:id="rId27"/>
  </sheets>
  <definedNames>
    <definedName name="_xlnm._FilterDatabase" localSheetId="19" hidden="1">'Attach L - Intangibles Gross'!$E$6:$F$91</definedName>
    <definedName name="_xlnm._FilterDatabase" localSheetId="20" hidden="1">'Attach M -Intangibles Acc Amort'!$E$5:$F$98</definedName>
    <definedName name="_xlnm._FilterDatabase" localSheetId="21" hidden="1">'Attach N -Intangibles Amort Exp'!$E$7:$F$117</definedName>
    <definedName name="_xlnm.Print_Area" localSheetId="6">' Notes'!$A$1:$F$47</definedName>
    <definedName name="_xlnm.Print_Area" localSheetId="5">'Allocation Factors'!$A$1:$H$44</definedName>
    <definedName name="_xlnm.Print_Area" localSheetId="9">'Attach B - Acct 281 - 282'!$A$1:$H$28</definedName>
    <definedName name="_xlnm.Print_Area" localSheetId="10">'Attach C - Acct 283'!$A$1:$H$39</definedName>
    <definedName name="_xlnm.Print_Area" localSheetId="13">'Attach F - Acct 253-254'!$A$1:$H$34</definedName>
    <definedName name="_xlnm.Print_Area" localSheetId="15">'Attach H - Acct 454.3'!$A$1:$J$38</definedName>
    <definedName name="_xlnm.Print_Area" localSheetId="16">'Attach I - Acct 456.1'!$A$1:$K$102</definedName>
    <definedName name="_xlnm.Print_Area" localSheetId="17">'Attach J - Prepayments'!$A$1:$N$52</definedName>
    <definedName name="_xlnm.Print_Area" localSheetId="18">'Attach K - GridSouth'!$A$1:$G$25</definedName>
    <definedName name="_xlnm.Print_Area" localSheetId="19">'Attach L - Intangibles Gross'!$A$1:$H$91</definedName>
    <definedName name="_xlnm.Print_Area" localSheetId="20">'Attach M -Intangibles Acc Amort'!$A$1:$H$110</definedName>
    <definedName name="_xlnm.Print_Area" localSheetId="21">'Attach N -Intangibles Amort Exp'!$A$1:$H$119</definedName>
    <definedName name="_xlnm.Print_Area" localSheetId="23">'Attach P - AFUDC'!$A$1:$AH$49</definedName>
    <definedName name="_xlnm.Print_Area" localSheetId="24">'Attach Q - 561.1-561.4'!$A$1:$B$23</definedName>
    <definedName name="_xlnm.Print_Area" localSheetId="25">'Attach R - Projection'!$A$1:$K$17</definedName>
    <definedName name="_xlnm.Print_Area" localSheetId="26">'Attach S1 - SOC GP'!$A$1:$F$23</definedName>
    <definedName name="_xlnm.Print_Area" localSheetId="0">'FERC Form 1 Inputs'!$A$1:$N$73</definedName>
    <definedName name="_xlnm.Print_Area" localSheetId="3">'Rate Base'!$A$1:$J$82</definedName>
    <definedName name="_xlnm.Print_Area" localSheetId="4">'Revenue Requirement'!$A$1:$J$67</definedName>
    <definedName name="_xlnm.Print_Area" localSheetId="7">'Schedule 1'!$A$1:$F$66</definedName>
    <definedName name="_xlnm.Print_Area" localSheetId="2">Summary!$A$1:$I$50</definedName>
    <definedName name="_xlnm.Print_Titles" localSheetId="16">'Attach I - Acct 456.1'!$1:$9</definedName>
  </definedNames>
  <calcPr calcId="145621"/>
</workbook>
</file>

<file path=xl/calcChain.xml><?xml version="1.0" encoding="utf-8"?>
<calcChain xmlns="http://schemas.openxmlformats.org/spreadsheetml/2006/main">
  <c r="H9" i="2" l="1"/>
  <c r="F21" i="23" l="1"/>
  <c r="F10" i="23"/>
  <c r="F8" i="23"/>
  <c r="F32" i="23" l="1"/>
  <c r="I25" i="3"/>
  <c r="F62" i="1"/>
  <c r="F30" i="1"/>
  <c r="F27" i="1"/>
  <c r="E47" i="4"/>
  <c r="E35" i="4"/>
  <c r="C29" i="5"/>
  <c r="C28" i="5"/>
  <c r="C25" i="5"/>
  <c r="C24" i="5"/>
  <c r="C21" i="5"/>
  <c r="C20" i="5"/>
  <c r="C19" i="5"/>
  <c r="C18" i="5"/>
  <c r="C17" i="5"/>
  <c r="C10" i="5" s="1"/>
  <c r="C16" i="5"/>
  <c r="C15" i="5"/>
  <c r="C14" i="5"/>
  <c r="C13" i="5"/>
  <c r="C21" i="7"/>
  <c r="C20" i="7"/>
  <c r="C19" i="7"/>
  <c r="C18" i="7"/>
  <c r="C17" i="7"/>
  <c r="C16" i="7"/>
  <c r="C13" i="7"/>
  <c r="C11" i="7"/>
  <c r="C65" i="13"/>
  <c r="C29" i="15"/>
  <c r="K94" i="11"/>
  <c r="I92" i="11"/>
  <c r="G92" i="11"/>
  <c r="E92" i="11"/>
  <c r="K88" i="11"/>
  <c r="K84" i="11"/>
  <c r="K85" i="11"/>
  <c r="K86" i="11"/>
  <c r="K87"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10" i="11"/>
  <c r="H95" i="21"/>
  <c r="H106" i="21"/>
  <c r="C93" i="21"/>
  <c r="C88" i="21"/>
  <c r="C87" i="21"/>
  <c r="C86" i="21"/>
  <c r="C84" i="21"/>
  <c r="C75" i="21"/>
  <c r="C69" i="21"/>
  <c r="C64" i="21"/>
  <c r="C38" i="21"/>
  <c r="C37" i="21"/>
  <c r="C36" i="21"/>
  <c r="C35" i="21"/>
  <c r="C34" i="21"/>
  <c r="C33" i="21"/>
  <c r="C32" i="21"/>
  <c r="C31" i="21"/>
  <c r="C30" i="21"/>
  <c r="C29" i="21"/>
  <c r="C28" i="21"/>
  <c r="C22" i="21"/>
  <c r="C17" i="21"/>
  <c r="C15" i="21"/>
  <c r="C89" i="22"/>
  <c r="C84" i="22"/>
  <c r="C83" i="22"/>
  <c r="C82" i="22"/>
  <c r="C80" i="22"/>
  <c r="C71" i="22"/>
  <c r="C65" i="22"/>
  <c r="C28" i="22"/>
  <c r="C26" i="22"/>
  <c r="C22" i="22"/>
  <c r="C17" i="22"/>
  <c r="C15" i="22"/>
  <c r="H103" i="22"/>
  <c r="H113" i="24"/>
  <c r="C97" i="24"/>
  <c r="C87" i="24"/>
  <c r="C18" i="24"/>
  <c r="AQ36" i="25"/>
  <c r="AR36" i="25"/>
  <c r="AR34" i="25"/>
  <c r="AR27" i="25"/>
  <c r="AR28" i="25"/>
  <c r="AQ28" i="25" s="1"/>
  <c r="AR29" i="25"/>
  <c r="AR30" i="25"/>
  <c r="AQ30" i="25" s="1"/>
  <c r="AR31" i="25"/>
  <c r="AR32" i="25"/>
  <c r="AQ32" i="25" s="1"/>
  <c r="AR26" i="25"/>
  <c r="AQ27" i="25"/>
  <c r="AQ34" i="25" s="1"/>
  <c r="AQ29" i="25"/>
  <c r="AQ31" i="25"/>
  <c r="AQ26" i="25"/>
  <c r="C34" i="25"/>
  <c r="C23" i="25"/>
  <c r="AR15" i="25"/>
  <c r="AQ15" i="25"/>
  <c r="C22" i="25"/>
  <c r="K11" i="30"/>
  <c r="C10" i="7" l="1"/>
  <c r="C10" i="21"/>
  <c r="C109" i="21" s="1"/>
  <c r="C10" i="22"/>
  <c r="C107" i="22" s="1"/>
  <c r="C10" i="24"/>
  <c r="M61" i="32"/>
  <c r="K60" i="32"/>
  <c r="M56" i="32"/>
  <c r="M41" i="32"/>
  <c r="K33" i="32"/>
  <c r="K11" i="32"/>
  <c r="K9" i="32"/>
  <c r="AP32" i="25" l="1"/>
  <c r="AO32" i="25" s="1"/>
  <c r="AP21" i="25"/>
  <c r="AP15" i="25"/>
  <c r="AO15" i="25" s="1"/>
  <c r="AO11" i="25"/>
  <c r="C47" i="25"/>
  <c r="D31" i="25"/>
  <c r="D30" i="25"/>
  <c r="D32" i="25"/>
  <c r="C32" i="25"/>
  <c r="D20" i="25"/>
  <c r="D19" i="25"/>
  <c r="D21" i="25"/>
  <c r="C21" i="25"/>
  <c r="H93" i="21"/>
  <c r="H25" i="21"/>
  <c r="H45" i="21"/>
  <c r="H47" i="21"/>
  <c r="H18" i="21"/>
  <c r="H17" i="21"/>
  <c r="H10" i="21" l="1"/>
  <c r="H15" i="21"/>
  <c r="AO21" i="25"/>
  <c r="AR21" i="25"/>
  <c r="AQ21" i="25" s="1"/>
  <c r="H64" i="13"/>
  <c r="H63" i="13"/>
  <c r="E23" i="17" l="1"/>
  <c r="F56" i="1" l="1"/>
  <c r="K90" i="11" l="1"/>
  <c r="I90" i="11"/>
  <c r="G90" i="11"/>
  <c r="E90" i="11"/>
  <c r="H61" i="13" l="1"/>
  <c r="H60" i="13"/>
  <c r="H59" i="13"/>
  <c r="C67" i="13"/>
  <c r="AN31" i="25"/>
  <c r="AP31" i="25" s="1"/>
  <c r="AO31" i="25" s="1"/>
  <c r="AL30" i="25"/>
  <c r="AN30" i="25" s="1"/>
  <c r="AN20" i="25"/>
  <c r="AL19" i="25"/>
  <c r="AN19" i="25" s="1"/>
  <c r="AP19" i="25" s="1"/>
  <c r="AL15" i="25"/>
  <c r="AN15" i="25"/>
  <c r="AM15" i="25" s="1"/>
  <c r="AM30" i="25" l="1"/>
  <c r="AP30" i="25"/>
  <c r="AO30" i="25" s="1"/>
  <c r="AM31" i="25"/>
  <c r="AO19" i="25"/>
  <c r="AR19" i="25"/>
  <c r="AQ19" i="25" s="1"/>
  <c r="AM20" i="25"/>
  <c r="AP20" i="25"/>
  <c r="AM19" i="25"/>
  <c r="AO20" i="25" l="1"/>
  <c r="AR20" i="25"/>
  <c r="AQ20" i="25" s="1"/>
  <c r="H30" i="15"/>
  <c r="H13" i="15"/>
  <c r="H55" i="13"/>
  <c r="H56" i="13"/>
  <c r="H57" i="13"/>
  <c r="H58" i="13"/>
  <c r="AK30" i="25" l="1"/>
  <c r="AK19" i="25"/>
  <c r="C25" i="15"/>
  <c r="C38" i="8"/>
  <c r="C22" i="8"/>
  <c r="C24" i="13"/>
  <c r="C34" i="7"/>
  <c r="C18" i="6"/>
  <c r="C41" i="5"/>
  <c r="A3" i="23"/>
  <c r="A3" i="2"/>
  <c r="A3" i="4"/>
  <c r="A3" i="1"/>
  <c r="AK15" i="25" l="1"/>
  <c r="AJ29" i="25" l="1"/>
  <c r="AL29" i="25" s="1"/>
  <c r="AN29" i="25" s="1"/>
  <c r="AJ18" i="25"/>
  <c r="AL18" i="25" s="1"/>
  <c r="AN18" i="25" s="1"/>
  <c r="D29" i="25"/>
  <c r="D18" i="25"/>
  <c r="AM29" i="25" l="1"/>
  <c r="AP29" i="25"/>
  <c r="AO29" i="25" s="1"/>
  <c r="AM18" i="25"/>
  <c r="AP18" i="25"/>
  <c r="AI29" i="25"/>
  <c r="AK29" i="25"/>
  <c r="AI18" i="25"/>
  <c r="AK18" i="25"/>
  <c r="H45" i="24"/>
  <c r="H44" i="24"/>
  <c r="H43" i="24"/>
  <c r="H42" i="24"/>
  <c r="H41" i="24"/>
  <c r="H40" i="24"/>
  <c r="H39" i="24"/>
  <c r="H38" i="24"/>
  <c r="H37" i="24"/>
  <c r="H36" i="24"/>
  <c r="H35" i="24"/>
  <c r="H42" i="22"/>
  <c r="H41" i="22"/>
  <c r="H40" i="22"/>
  <c r="H39" i="22"/>
  <c r="H38" i="22"/>
  <c r="H37" i="22"/>
  <c r="H36" i="22"/>
  <c r="H35" i="22"/>
  <c r="H34" i="22"/>
  <c r="H33" i="22"/>
  <c r="H32" i="22"/>
  <c r="H25" i="22"/>
  <c r="H18" i="22"/>
  <c r="H17" i="22"/>
  <c r="H15" i="22"/>
  <c r="AO18" i="25" l="1"/>
  <c r="AR18" i="25"/>
  <c r="AQ18" i="25" s="1"/>
  <c r="AJ15" i="25"/>
  <c r="AI15" i="25" s="1"/>
  <c r="K92" i="11"/>
  <c r="C46" i="8"/>
  <c r="H62" i="13"/>
  <c r="H54" i="13"/>
  <c r="H53" i="13"/>
  <c r="H52" i="13"/>
  <c r="H51" i="13"/>
  <c r="P95" i="32" l="1"/>
  <c r="P94" i="32"/>
  <c r="P93" i="32"/>
  <c r="P92" i="32"/>
  <c r="P91" i="32"/>
  <c r="P90" i="32"/>
  <c r="P89" i="32"/>
  <c r="P88" i="32"/>
  <c r="P87" i="32"/>
  <c r="P86" i="32"/>
  <c r="P85" i="32"/>
  <c r="P84" i="32"/>
  <c r="P83" i="32"/>
  <c r="P82" i="32"/>
  <c r="P81" i="32"/>
  <c r="P80" i="32"/>
  <c r="P79" i="32"/>
  <c r="P78" i="32"/>
  <c r="P77" i="32"/>
  <c r="P76" i="32"/>
  <c r="P75" i="32"/>
  <c r="P74" i="32"/>
  <c r="J72" i="32"/>
  <c r="J71" i="32"/>
  <c r="J70" i="32"/>
  <c r="J69" i="32"/>
  <c r="J68" i="32"/>
  <c r="J67" i="32"/>
  <c r="J66" i="32"/>
  <c r="J65" i="32"/>
  <c r="J64" i="32"/>
  <c r="J63" i="32"/>
  <c r="J62" i="32"/>
  <c r="J61" i="32"/>
  <c r="J60" i="32"/>
  <c r="J59" i="32"/>
  <c r="J58" i="32"/>
  <c r="J57" i="32"/>
  <c r="J56" i="32"/>
  <c r="J55" i="32"/>
  <c r="J54" i="32"/>
  <c r="J53" i="32"/>
  <c r="J52" i="32"/>
  <c r="J51" i="32"/>
  <c r="J50" i="32"/>
  <c r="J49" i="32"/>
  <c r="J48" i="32"/>
  <c r="J47" i="32"/>
  <c r="J46" i="32"/>
  <c r="J45" i="32"/>
  <c r="J44" i="32"/>
  <c r="J43" i="32"/>
  <c r="J42" i="32"/>
  <c r="J41" i="32"/>
  <c r="J40" i="32"/>
  <c r="J39" i="32"/>
  <c r="J38" i="32"/>
  <c r="J37" i="32"/>
  <c r="J36" i="32"/>
  <c r="J35" i="32"/>
  <c r="J34" i="32"/>
  <c r="J33" i="32"/>
  <c r="J32" i="32"/>
  <c r="J31" i="32"/>
  <c r="J30" i="32"/>
  <c r="J29" i="32"/>
  <c r="J28" i="32"/>
  <c r="J27" i="32"/>
  <c r="J26" i="32"/>
  <c r="J25" i="32"/>
  <c r="J24" i="32"/>
  <c r="J23" i="32"/>
  <c r="J22" i="32"/>
  <c r="J21" i="32"/>
  <c r="J20" i="32"/>
  <c r="J19" i="32"/>
  <c r="J18" i="32"/>
  <c r="J17" i="32"/>
  <c r="J16" i="32"/>
  <c r="J15" i="32"/>
  <c r="J14" i="32"/>
  <c r="J13" i="32"/>
  <c r="J12" i="32"/>
  <c r="J11" i="32"/>
  <c r="J10" i="32"/>
  <c r="J9" i="32"/>
  <c r="J8" i="32"/>
  <c r="J7" i="32"/>
  <c r="J6" i="32"/>
  <c r="J5" i="32"/>
  <c r="J4" i="32"/>
  <c r="J3" i="32"/>
  <c r="J2" i="32"/>
  <c r="H25" i="6" l="1"/>
  <c r="F17" i="1" l="1"/>
  <c r="N72" i="32"/>
  <c r="N71" i="32"/>
  <c r="N70" i="32"/>
  <c r="N69" i="32"/>
  <c r="N68" i="32"/>
  <c r="N67" i="32"/>
  <c r="N66" i="32"/>
  <c r="N65" i="32"/>
  <c r="N64" i="32"/>
  <c r="N63" i="32"/>
  <c r="N61" i="32"/>
  <c r="N60" i="32"/>
  <c r="N59" i="32"/>
  <c r="N58" i="32"/>
  <c r="N57" i="32"/>
  <c r="N55" i="32"/>
  <c r="N54" i="32"/>
  <c r="N53" i="32"/>
  <c r="N52" i="32"/>
  <c r="N51" i="32"/>
  <c r="N50" i="32"/>
  <c r="N49" i="32"/>
  <c r="N48" i="32"/>
  <c r="N46" i="32"/>
  <c r="N45" i="32"/>
  <c r="N44" i="32"/>
  <c r="N43" i="32"/>
  <c r="N42" i="32"/>
  <c r="N40" i="32"/>
  <c r="N39" i="32"/>
  <c r="N38" i="32"/>
  <c r="N37" i="32"/>
  <c r="N36" i="32"/>
  <c r="N35" i="32"/>
  <c r="N34" i="32"/>
  <c r="N33" i="32"/>
  <c r="N32" i="32"/>
  <c r="N31" i="32"/>
  <c r="N30" i="32"/>
  <c r="N29" i="32"/>
  <c r="N28" i="32"/>
  <c r="N27" i="32"/>
  <c r="N26" i="32"/>
  <c r="N25" i="32"/>
  <c r="N24" i="32"/>
  <c r="N23" i="32"/>
  <c r="N22" i="32"/>
  <c r="N21" i="32"/>
  <c r="N20" i="32"/>
  <c r="N19" i="32"/>
  <c r="N18" i="32"/>
  <c r="N17" i="32"/>
  <c r="N16" i="32"/>
  <c r="N15" i="32"/>
  <c r="N14" i="32"/>
  <c r="N13" i="32"/>
  <c r="N12" i="32"/>
  <c r="N11" i="32"/>
  <c r="F13" i="1" s="1"/>
  <c r="N10" i="32"/>
  <c r="N9" i="32"/>
  <c r="N8" i="32"/>
  <c r="N7" i="32"/>
  <c r="N6" i="32"/>
  <c r="N5" i="32"/>
  <c r="N4" i="32"/>
  <c r="N3" i="32"/>
  <c r="N2" i="32"/>
  <c r="N47" i="32"/>
  <c r="N56" i="32" l="1"/>
  <c r="E16" i="4" s="1"/>
  <c r="N62" i="32"/>
  <c r="N41" i="32" l="1"/>
  <c r="E46" i="4" s="1"/>
  <c r="F28" i="1" l="1"/>
  <c r="F34" i="1" l="1"/>
  <c r="C9" i="31" l="1"/>
  <c r="C10" i="31"/>
  <c r="C11" i="31"/>
  <c r="C12" i="31"/>
  <c r="C13" i="31"/>
  <c r="C14" i="31"/>
  <c r="C15" i="31"/>
  <c r="C16" i="31"/>
  <c r="C17" i="31"/>
  <c r="C18" i="31"/>
  <c r="C19" i="31"/>
  <c r="C20" i="31"/>
  <c r="AF27" i="25" l="1"/>
  <c r="AF26" i="25"/>
  <c r="AF15" i="25"/>
  <c r="AH11" i="25"/>
  <c r="AG11" i="25"/>
  <c r="AD11" i="25"/>
  <c r="AD27" i="25"/>
  <c r="AD28" i="25" s="1"/>
  <c r="AF28" i="25" s="1"/>
  <c r="AD16" i="25"/>
  <c r="AD17" i="25" s="1"/>
  <c r="AF17" i="25" s="1"/>
  <c r="AG23" i="25"/>
  <c r="AF16" i="25" l="1"/>
  <c r="H50" i="13" l="1"/>
  <c r="H49" i="13"/>
  <c r="H48" i="13"/>
  <c r="H47" i="13"/>
  <c r="H46" i="13"/>
  <c r="H45" i="13"/>
  <c r="C10" i="8" l="1"/>
  <c r="F59" i="1"/>
  <c r="E25" i="4"/>
  <c r="C39" i="7" l="1"/>
  <c r="C32" i="15"/>
  <c r="F20" i="1" l="1"/>
  <c r="H42" i="13" l="1"/>
  <c r="H41" i="13"/>
  <c r="H40" i="13"/>
  <c r="H39" i="13"/>
  <c r="H35" i="13"/>
  <c r="H34" i="13"/>
  <c r="AC11" i="25"/>
  <c r="AB11" i="25"/>
  <c r="AA11" i="25"/>
  <c r="AA28" i="25"/>
  <c r="AA27" i="25"/>
  <c r="AA16" i="25"/>
  <c r="AA17" i="25" s="1"/>
  <c r="C31" i="5" l="1"/>
  <c r="E12" i="4"/>
  <c r="F58" i="1"/>
  <c r="F51" i="1"/>
  <c r="F50" i="1"/>
  <c r="E60" i="4"/>
  <c r="C26" i="6"/>
  <c r="H21" i="6"/>
  <c r="F49" i="1"/>
  <c r="K97" i="11" l="1"/>
  <c r="B7" i="29" l="1"/>
  <c r="B22" i="29" s="1"/>
  <c r="B17" i="29"/>
  <c r="B11" i="29"/>
  <c r="B12" i="29"/>
  <c r="B13" i="29"/>
  <c r="B10" i="29"/>
  <c r="B9" i="29"/>
  <c r="Z11" i="25"/>
  <c r="Y11" i="25"/>
  <c r="X11" i="25"/>
  <c r="X27" i="25"/>
  <c r="X28" i="25" s="1"/>
  <c r="X16" i="25"/>
  <c r="X17" i="25" s="1"/>
  <c r="F16" i="23"/>
  <c r="H34" i="2"/>
  <c r="H33" i="2"/>
  <c r="H29" i="2"/>
  <c r="H28" i="2"/>
  <c r="H27" i="2"/>
  <c r="H24" i="2"/>
  <c r="H19" i="2"/>
  <c r="H10" i="2"/>
  <c r="E40" i="4"/>
  <c r="E38" i="4"/>
  <c r="E34" i="4"/>
  <c r="E27" i="4"/>
  <c r="E22" i="4"/>
  <c r="E21" i="4"/>
  <c r="E20" i="4"/>
  <c r="E19" i="4"/>
  <c r="E11" i="4"/>
  <c r="F76" i="1"/>
  <c r="F75" i="1"/>
  <c r="F57" i="1"/>
  <c r="F48" i="1"/>
  <c r="F36" i="1"/>
  <c r="F33" i="1"/>
  <c r="F32" i="1"/>
  <c r="F29" i="1"/>
  <c r="F26" i="1"/>
  <c r="F22" i="1"/>
  <c r="F19" i="1"/>
  <c r="F18" i="1"/>
  <c r="F15" i="1"/>
  <c r="F14" i="1"/>
  <c r="F11" i="1"/>
  <c r="A17" i="32"/>
  <c r="A16" i="32"/>
  <c r="A15" i="32"/>
  <c r="A14" i="32"/>
  <c r="A13" i="32"/>
  <c r="E24" i="17" l="1"/>
  <c r="J40" i="1" l="1"/>
  <c r="J42" i="1"/>
  <c r="D8" i="17"/>
  <c r="G51" i="16" l="1"/>
  <c r="I51" i="16" s="1"/>
  <c r="F70" i="1" l="1"/>
  <c r="J70" i="1" s="1"/>
  <c r="E57" i="4"/>
  <c r="E59" i="4" s="1"/>
  <c r="E62" i="4" s="1"/>
  <c r="E10" i="31" l="1"/>
  <c r="E11" i="31"/>
  <c r="E12" i="31"/>
  <c r="E13" i="31"/>
  <c r="E14" i="31"/>
  <c r="E15" i="31"/>
  <c r="E16" i="31"/>
  <c r="E17" i="31"/>
  <c r="E18" i="31"/>
  <c r="E19" i="31"/>
  <c r="E20" i="31"/>
  <c r="E9" i="31"/>
  <c r="D21" i="31"/>
  <c r="F7" i="23" s="1"/>
  <c r="C21" i="31"/>
  <c r="F19" i="23"/>
  <c r="F18" i="23"/>
  <c r="F17" i="23"/>
  <c r="E13" i="4" s="1"/>
  <c r="F30" i="23"/>
  <c r="F62" i="23" l="1"/>
  <c r="F58" i="23"/>
  <c r="E21" i="31"/>
  <c r="F21" i="1"/>
  <c r="K12" i="30" l="1"/>
  <c r="K14" i="30" l="1"/>
  <c r="E37" i="4" s="1"/>
  <c r="F16" i="1"/>
  <c r="H8" i="2" s="1"/>
  <c r="U27" i="25"/>
  <c r="P27" i="25"/>
  <c r="P28" i="25" s="1"/>
  <c r="G27" i="25"/>
  <c r="G28" i="25" s="1"/>
  <c r="M28" i="25" s="1"/>
  <c r="F27" i="25"/>
  <c r="F28" i="25" s="1"/>
  <c r="J28" i="25" s="1"/>
  <c r="M26" i="25"/>
  <c r="J26" i="25"/>
  <c r="H26" i="25"/>
  <c r="H27" i="25" s="1"/>
  <c r="F12" i="1"/>
  <c r="E17" i="25"/>
  <c r="E28" i="25" s="1"/>
  <c r="D17" i="25"/>
  <c r="D28" i="25" s="1"/>
  <c r="U16" i="25"/>
  <c r="U17" i="25" s="1"/>
  <c r="P16" i="25"/>
  <c r="P17" i="25" s="1"/>
  <c r="G16" i="25"/>
  <c r="G17" i="25" s="1"/>
  <c r="M17" i="25" s="1"/>
  <c r="F16" i="25"/>
  <c r="J16" i="25" s="1"/>
  <c r="E16" i="25"/>
  <c r="E27" i="25" s="1"/>
  <c r="D16" i="25"/>
  <c r="D27" i="25" s="1"/>
  <c r="M15" i="25"/>
  <c r="J15" i="25"/>
  <c r="H15" i="25"/>
  <c r="H16" i="25" s="1"/>
  <c r="E15" i="25"/>
  <c r="E26" i="25" s="1"/>
  <c r="D15" i="25"/>
  <c r="D26" i="25" s="1"/>
  <c r="W11" i="25"/>
  <c r="V11" i="25" s="1"/>
  <c r="U11" i="25"/>
  <c r="T11" i="25"/>
  <c r="S11" i="25" s="1"/>
  <c r="P11" i="25"/>
  <c r="O11" i="25"/>
  <c r="Q9" i="25" s="1"/>
  <c r="N11" i="25"/>
  <c r="K11" i="25"/>
  <c r="L11" i="25" s="1"/>
  <c r="I11" i="25"/>
  <c r="J11" i="25" s="1"/>
  <c r="H11" i="25"/>
  <c r="G11" i="25"/>
  <c r="F11" i="25"/>
  <c r="F31" i="1" l="1"/>
  <c r="M11" i="25"/>
  <c r="N9" i="25"/>
  <c r="F17" i="25"/>
  <c r="J17" i="25" s="1"/>
  <c r="J23" i="25" s="1"/>
  <c r="C36" i="25"/>
  <c r="K16" i="25"/>
  <c r="H17" i="25"/>
  <c r="K17" i="25" s="1"/>
  <c r="K27" i="25"/>
  <c r="H28" i="25"/>
  <c r="K28" i="25" s="1"/>
  <c r="L16" i="25"/>
  <c r="L28" i="25"/>
  <c r="O28" i="25" s="1"/>
  <c r="R28" i="25" s="1"/>
  <c r="T28" i="25" s="1"/>
  <c r="S28" i="25" s="1"/>
  <c r="K15" i="25"/>
  <c r="K26" i="25"/>
  <c r="J27" i="25"/>
  <c r="U28" i="25"/>
  <c r="Q11" i="25"/>
  <c r="R11" i="25" s="1"/>
  <c r="M16" i="25"/>
  <c r="M23" i="25" s="1"/>
  <c r="M27" i="25"/>
  <c r="M34" i="25" s="1"/>
  <c r="L27" i="25" l="1"/>
  <c r="L17" i="25"/>
  <c r="O17" i="25" s="1"/>
  <c r="R17" i="25" s="1"/>
  <c r="T17" i="25" s="1"/>
  <c r="S17" i="25" s="1"/>
  <c r="J34" i="25"/>
  <c r="J36" i="25" s="1"/>
  <c r="K34" i="25"/>
  <c r="K23" i="25"/>
  <c r="O16" i="25"/>
  <c r="R16" i="25" s="1"/>
  <c r="T16" i="25" s="1"/>
  <c r="S16" i="25" s="1"/>
  <c r="W28" i="25"/>
  <c r="M36" i="25"/>
  <c r="O27" i="25"/>
  <c r="R27" i="25" s="1"/>
  <c r="T27" i="25" s="1"/>
  <c r="L26" i="25"/>
  <c r="L15" i="25"/>
  <c r="W17" i="25" l="1"/>
  <c r="V17" i="25" s="1"/>
  <c r="V28" i="25"/>
  <c r="Z28" i="25"/>
  <c r="W16" i="25"/>
  <c r="K36" i="25"/>
  <c r="O15" i="25"/>
  <c r="L23" i="25"/>
  <c r="O26" i="25"/>
  <c r="L34" i="25"/>
  <c r="S27" i="25"/>
  <c r="W27" i="25"/>
  <c r="Z17" i="25" l="1"/>
  <c r="AC17" i="25" s="1"/>
  <c r="V27" i="25"/>
  <c r="Z27" i="25"/>
  <c r="L36" i="25"/>
  <c r="AC28" i="25"/>
  <c r="Y28" i="25"/>
  <c r="V16" i="25"/>
  <c r="Z16" i="25"/>
  <c r="O34" i="25"/>
  <c r="R26" i="25"/>
  <c r="O23" i="25"/>
  <c r="R15" i="25"/>
  <c r="Y17" i="25" l="1"/>
  <c r="AH17" i="25"/>
  <c r="AJ17" i="25" s="1"/>
  <c r="AL17" i="25" s="1"/>
  <c r="AN17" i="25" s="1"/>
  <c r="AB17" i="25"/>
  <c r="AC27" i="25"/>
  <c r="Y27" i="25"/>
  <c r="AH28" i="25"/>
  <c r="AB28" i="25"/>
  <c r="Y16" i="25"/>
  <c r="AC16" i="25"/>
  <c r="R23" i="25"/>
  <c r="T15" i="25"/>
  <c r="R34" i="25"/>
  <c r="T26" i="25"/>
  <c r="O36" i="25"/>
  <c r="AM17" i="25" l="1"/>
  <c r="AP17" i="25"/>
  <c r="AI17" i="25"/>
  <c r="AK17" i="25"/>
  <c r="AG28" i="25"/>
  <c r="AG34" i="25" s="1"/>
  <c r="AG36" i="25" s="1"/>
  <c r="AJ28" i="25"/>
  <c r="AL28" i="25" s="1"/>
  <c r="AN28" i="25" s="1"/>
  <c r="R36" i="25"/>
  <c r="AH16" i="25"/>
  <c r="AB16" i="25"/>
  <c r="AH27" i="25"/>
  <c r="AJ27" i="25" s="1"/>
  <c r="AL27" i="25" s="1"/>
  <c r="AN27" i="25" s="1"/>
  <c r="AB27" i="25"/>
  <c r="T34" i="25"/>
  <c r="S26" i="25"/>
  <c r="S34" i="25" s="1"/>
  <c r="W26" i="25"/>
  <c r="Z26" i="25" s="1"/>
  <c r="T23" i="25"/>
  <c r="S15" i="25"/>
  <c r="S23" i="25" s="1"/>
  <c r="W15" i="25"/>
  <c r="Z15" i="25" s="1"/>
  <c r="AM28" i="25" l="1"/>
  <c r="AP28" i="25"/>
  <c r="AO28" i="25" s="1"/>
  <c r="AO17" i="25"/>
  <c r="AR17" i="25"/>
  <c r="AQ17" i="25" s="1"/>
  <c r="AM27" i="25"/>
  <c r="AP27" i="25"/>
  <c r="AO27" i="25" s="1"/>
  <c r="AI27" i="25"/>
  <c r="AK27" i="25"/>
  <c r="AI28" i="25"/>
  <c r="AK28" i="25"/>
  <c r="AJ16" i="25"/>
  <c r="AL16" i="25" s="1"/>
  <c r="AH23" i="25"/>
  <c r="S36" i="25"/>
  <c r="Y15" i="25"/>
  <c r="Y23" i="25" s="1"/>
  <c r="AC15" i="25"/>
  <c r="Z23" i="25"/>
  <c r="Y26" i="25"/>
  <c r="Y34" i="25" s="1"/>
  <c r="AC26" i="25"/>
  <c r="Z34" i="25"/>
  <c r="W23" i="25"/>
  <c r="V15" i="25"/>
  <c r="V23" i="25" s="1"/>
  <c r="W34" i="25"/>
  <c r="V26" i="25"/>
  <c r="V34" i="25" s="1"/>
  <c r="T36" i="25"/>
  <c r="AN16" i="25" l="1"/>
  <c r="AJ23" i="25"/>
  <c r="AI16" i="25"/>
  <c r="AI23" i="25" s="1"/>
  <c r="AB15" i="25"/>
  <c r="AB23" i="25" s="1"/>
  <c r="AH15" i="25"/>
  <c r="AC23" i="25"/>
  <c r="Z36" i="25"/>
  <c r="AH26" i="25"/>
  <c r="AH34" i="25" s="1"/>
  <c r="AH36" i="25" s="1"/>
  <c r="AB26" i="25"/>
  <c r="AB34" i="25" s="1"/>
  <c r="AC34" i="25"/>
  <c r="AC36" i="25" s="1"/>
  <c r="Y36" i="25"/>
  <c r="W36" i="25"/>
  <c r="V36" i="25"/>
  <c r="AN23" i="25" l="1"/>
  <c r="AP16" i="25"/>
  <c r="AR16" i="25" s="1"/>
  <c r="AM16" i="25"/>
  <c r="AM23" i="25" s="1"/>
  <c r="AL23" i="25"/>
  <c r="AK16" i="25"/>
  <c r="AK23" i="25" s="1"/>
  <c r="AJ26" i="25"/>
  <c r="AL26" i="25" s="1"/>
  <c r="AN26" i="25" s="1"/>
  <c r="AB36" i="25"/>
  <c r="J64" i="1"/>
  <c r="H10" i="5"/>
  <c r="AR23" i="25" l="1"/>
  <c r="AQ16" i="25"/>
  <c r="AQ23" i="25" s="1"/>
  <c r="AN34" i="25"/>
  <c r="AP26" i="25"/>
  <c r="AO16" i="25"/>
  <c r="AO23" i="25" s="1"/>
  <c r="AP23" i="25"/>
  <c r="AM26" i="25"/>
  <c r="AM34" i="25" s="1"/>
  <c r="AJ34" i="25"/>
  <c r="AJ36" i="25" s="1"/>
  <c r="AI26" i="25"/>
  <c r="AI34" i="25" s="1"/>
  <c r="AI36" i="25" s="1"/>
  <c r="H10" i="22"/>
  <c r="AP34" i="25" l="1"/>
  <c r="AO26" i="25"/>
  <c r="AO34" i="25" s="1"/>
  <c r="AP36" i="25"/>
  <c r="AN36" i="25"/>
  <c r="AM36" i="25"/>
  <c r="AK26" i="25"/>
  <c r="AK34" i="25" s="1"/>
  <c r="AL34" i="25"/>
  <c r="AO36" i="25" l="1"/>
  <c r="F41" i="1"/>
  <c r="AL36" i="25"/>
  <c r="AK36" i="25"/>
  <c r="H12" i="2"/>
  <c r="F59" i="23"/>
  <c r="F40" i="1"/>
  <c r="H10" i="7"/>
  <c r="H38" i="13"/>
  <c r="H37" i="13"/>
  <c r="H36" i="13"/>
  <c r="H33" i="13"/>
  <c r="H32" i="13"/>
  <c r="H30" i="13"/>
  <c r="H29" i="13"/>
  <c r="H28" i="13"/>
  <c r="H27" i="13"/>
  <c r="H25" i="8"/>
  <c r="J62" i="1"/>
  <c r="F60" i="23" l="1"/>
  <c r="E20" i="17"/>
  <c r="E25" i="17" s="1"/>
  <c r="I35" i="3" l="1"/>
  <c r="F41" i="23" s="1"/>
  <c r="F35" i="1"/>
  <c r="F43" i="1" s="1"/>
  <c r="E39" i="4"/>
  <c r="E42" i="4" s="1"/>
  <c r="C15" i="15" l="1"/>
  <c r="I8" i="20" l="1"/>
  <c r="I10" i="20" l="1"/>
  <c r="K35" i="16"/>
  <c r="K37" i="16" s="1"/>
  <c r="I35" i="16"/>
  <c r="G35" i="16"/>
  <c r="E35" i="16"/>
  <c r="E37" i="16" l="1"/>
  <c r="I16" i="3" s="1"/>
  <c r="G37" i="16"/>
  <c r="F55" i="1"/>
  <c r="F60" i="1" s="1"/>
  <c r="G11" i="12" l="1"/>
  <c r="C28" i="8" l="1"/>
  <c r="C47" i="5"/>
  <c r="F44" i="1" l="1"/>
  <c r="F42" i="1"/>
  <c r="F23" i="1"/>
  <c r="F63" i="23" s="1"/>
  <c r="F64" i="23" s="1"/>
  <c r="E26" i="4" s="1"/>
  <c r="C23" i="7" l="1"/>
  <c r="C14" i="13"/>
  <c r="H35" i="2" l="1"/>
  <c r="H30" i="2"/>
  <c r="H37" i="2" l="1"/>
  <c r="D41" i="2" s="1"/>
  <c r="D40" i="2" l="1"/>
  <c r="G10" i="12"/>
  <c r="G15" i="12"/>
  <c r="G12" i="12"/>
  <c r="B18" i="12"/>
  <c r="I13" i="3" l="1"/>
  <c r="I28" i="4" l="1"/>
  <c r="H41" i="2" l="1"/>
  <c r="H10" i="6" l="1"/>
  <c r="C15" i="6"/>
  <c r="F37" i="1" l="1"/>
  <c r="F9" i="23"/>
  <c r="F45" i="1"/>
  <c r="K13" i="16" l="1"/>
  <c r="M22" i="16" s="1"/>
  <c r="M23" i="16" s="1"/>
  <c r="M24" i="16" s="1"/>
  <c r="M25" i="16" s="1"/>
  <c r="M26" i="16" s="1"/>
  <c r="M27" i="16" s="1"/>
  <c r="M28" i="16" s="1"/>
  <c r="M29" i="16" s="1"/>
  <c r="M30" i="16" s="1"/>
  <c r="M31" i="16" s="1"/>
  <c r="M32" i="16" s="1"/>
  <c r="M33" i="16" s="1"/>
  <c r="D11" i="17" l="1"/>
  <c r="I20" i="3" s="1"/>
  <c r="K39" i="16" l="1"/>
  <c r="F69" i="1" s="1"/>
  <c r="I39" i="16"/>
  <c r="F68" i="1" s="1"/>
  <c r="F71" i="1" l="1"/>
  <c r="M38" i="16"/>
  <c r="F22" i="23" l="1"/>
  <c r="F20" i="23" l="1"/>
  <c r="E48" i="4" l="1"/>
  <c r="F23" i="23" s="1"/>
  <c r="E49" i="4" l="1"/>
  <c r="E14" i="4" l="1"/>
  <c r="E23" i="4" l="1"/>
  <c r="I25" i="20" l="1"/>
  <c r="I12" i="20"/>
  <c r="I14" i="20" s="1"/>
  <c r="H25" i="2" l="1"/>
  <c r="F40" i="2" s="1"/>
  <c r="H40" i="2" s="1"/>
  <c r="H42" i="2" l="1"/>
  <c r="E58" i="4" s="1"/>
  <c r="H18" i="2"/>
  <c r="H20" i="2" s="1"/>
  <c r="F24" i="23" l="1"/>
  <c r="F13" i="23" s="1"/>
  <c r="F52" i="1" l="1"/>
  <c r="J69" i="1" l="1"/>
  <c r="J68" i="1" l="1"/>
  <c r="J71" i="1" s="1"/>
  <c r="F11" i="23" l="1"/>
  <c r="F14" i="23" s="1"/>
  <c r="F26" i="23" s="1"/>
  <c r="F27" i="23" l="1"/>
  <c r="F29" i="23" s="1"/>
  <c r="F33" i="23" s="1"/>
  <c r="H13" i="2" l="1"/>
  <c r="F102" i="21" l="1"/>
  <c r="H102" i="21" s="1"/>
  <c r="F96" i="21"/>
  <c r="H96" i="21" s="1"/>
  <c r="F87" i="21"/>
  <c r="H87" i="21" s="1"/>
  <c r="F80" i="21"/>
  <c r="H80" i="21" s="1"/>
  <c r="F66" i="21"/>
  <c r="F54" i="21"/>
  <c r="H54" i="21" s="1"/>
  <c r="F37" i="21"/>
  <c r="F27" i="21"/>
  <c r="H27" i="21" s="1"/>
  <c r="F101" i="22"/>
  <c r="F97" i="22"/>
  <c r="F90" i="22"/>
  <c r="H90" i="22" s="1"/>
  <c r="F82" i="22"/>
  <c r="F75" i="22"/>
  <c r="F61" i="22"/>
  <c r="F29" i="22"/>
  <c r="F13" i="22"/>
  <c r="H13" i="22" s="1"/>
  <c r="F105" i="24"/>
  <c r="F109" i="24"/>
  <c r="F100" i="24"/>
  <c r="F90" i="24"/>
  <c r="F83" i="24"/>
  <c r="F68" i="24"/>
  <c r="F60" i="24"/>
  <c r="F32" i="24"/>
  <c r="F14" i="24"/>
  <c r="F104" i="21"/>
  <c r="H104" i="21" s="1"/>
  <c r="F100" i="21"/>
  <c r="H100" i="21" s="1"/>
  <c r="F89" i="21"/>
  <c r="H89" i="21" s="1"/>
  <c r="F68" i="21"/>
  <c r="H68" i="21" s="1"/>
  <c r="F58" i="21"/>
  <c r="F39" i="21"/>
  <c r="F35" i="21"/>
  <c r="H35" i="21" s="1"/>
  <c r="F99" i="22"/>
  <c r="F93" i="22"/>
  <c r="H93" i="22" s="1"/>
  <c r="F84" i="22"/>
  <c r="H84" i="22" s="1"/>
  <c r="F63" i="22"/>
  <c r="F51" i="22"/>
  <c r="F107" i="24"/>
  <c r="H107" i="24" s="1"/>
  <c r="F92" i="24"/>
  <c r="F70" i="24"/>
  <c r="F101" i="21"/>
  <c r="H101" i="21" s="1"/>
  <c r="F94" i="21"/>
  <c r="F86" i="21"/>
  <c r="H86" i="21" s="1"/>
  <c r="F79" i="21"/>
  <c r="F65" i="21"/>
  <c r="F40" i="21"/>
  <c r="F36" i="21"/>
  <c r="H36" i="21" s="1"/>
  <c r="F19" i="21"/>
  <c r="H19" i="21" s="1"/>
  <c r="F100" i="22"/>
  <c r="H100" i="22" s="1"/>
  <c r="F96" i="22"/>
  <c r="F85" i="22"/>
  <c r="F81" i="22"/>
  <c r="H81" i="22" s="1"/>
  <c r="F64" i="22"/>
  <c r="F52" i="22"/>
  <c r="H52" i="22" s="1"/>
  <c r="F27" i="22"/>
  <c r="H27" i="22" s="1"/>
  <c r="F106" i="24"/>
  <c r="F110" i="24"/>
  <c r="H110" i="24" s="1"/>
  <c r="F98" i="24"/>
  <c r="F89" i="24"/>
  <c r="F82" i="24"/>
  <c r="H82" i="24" s="1"/>
  <c r="F67" i="24"/>
  <c r="F56" i="24"/>
  <c r="H56" i="24" s="1"/>
  <c r="F30" i="24"/>
  <c r="F13" i="24"/>
  <c r="F85" i="21"/>
  <c r="F14" i="21"/>
  <c r="H14" i="21" s="1"/>
  <c r="F78" i="22"/>
  <c r="H78" i="22" s="1"/>
  <c r="F19" i="22"/>
  <c r="H19" i="22" s="1"/>
  <c r="F104" i="24"/>
  <c r="F88" i="24"/>
  <c r="H88" i="24" s="1"/>
  <c r="F66" i="24"/>
  <c r="F99" i="21"/>
  <c r="H99" i="21" s="1"/>
  <c r="F55" i="21"/>
  <c r="F83" i="22"/>
  <c r="F14" i="22"/>
  <c r="H14" i="22" s="1"/>
  <c r="F102" i="24"/>
  <c r="H102" i="24" s="1"/>
  <c r="F61" i="24"/>
  <c r="F20" i="24"/>
  <c r="F88" i="21"/>
  <c r="H88" i="21" s="1"/>
  <c r="F38" i="21"/>
  <c r="F76" i="22"/>
  <c r="F91" i="24"/>
  <c r="F55" i="24"/>
  <c r="F82" i="21"/>
  <c r="H82" i="21" s="1"/>
  <c r="F34" i="21"/>
  <c r="H34" i="21" s="1"/>
  <c r="F98" i="22"/>
  <c r="F62" i="22"/>
  <c r="F111" i="24"/>
  <c r="F85" i="24"/>
  <c r="F54" i="24"/>
  <c r="F103" i="21"/>
  <c r="H103" i="21" s="1"/>
  <c r="F67" i="21"/>
  <c r="H67" i="21" s="1"/>
  <c r="F13" i="21"/>
  <c r="F92" i="22"/>
  <c r="F30" i="22"/>
  <c r="F108" i="24"/>
  <c r="F69" i="24"/>
  <c r="F29" i="24"/>
  <c r="H91" i="21"/>
  <c r="H75" i="21"/>
  <c r="H43" i="21"/>
  <c r="H75" i="22"/>
  <c r="H83" i="21"/>
  <c r="H90" i="21"/>
  <c r="H55" i="21"/>
  <c r="H13" i="21"/>
  <c r="H86" i="24"/>
  <c r="H46" i="21"/>
  <c r="H66" i="21"/>
  <c r="H81" i="21"/>
  <c r="H105" i="24"/>
  <c r="I17" i="1"/>
  <c r="J17" i="1" s="1"/>
  <c r="H99" i="24"/>
  <c r="H94" i="24"/>
  <c r="H58" i="24"/>
  <c r="H83" i="24"/>
  <c r="H85" i="24"/>
  <c r="H76" i="22"/>
  <c r="H79" i="22"/>
  <c r="H87" i="22"/>
  <c r="H86" i="22"/>
  <c r="H18" i="24"/>
  <c r="H36" i="4"/>
  <c r="I36" i="4" s="1"/>
  <c r="F22" i="6"/>
  <c r="H22" i="6" s="1"/>
  <c r="H14" i="4"/>
  <c r="I14" i="4" s="1"/>
  <c r="I15" i="1"/>
  <c r="J15" i="1" s="1"/>
  <c r="H21" i="2"/>
  <c r="I74" i="1"/>
  <c r="F11" i="6"/>
  <c r="H11" i="6" s="1"/>
  <c r="I29" i="1"/>
  <c r="J29" i="1" s="1"/>
  <c r="I28" i="20"/>
  <c r="H34" i="4"/>
  <c r="I34" i="4" s="1"/>
  <c r="I15" i="20"/>
  <c r="I16" i="20" s="1"/>
  <c r="I18" i="20" s="1"/>
  <c r="I34" i="20" s="1"/>
  <c r="I31" i="1"/>
  <c r="J31" i="1" s="1"/>
  <c r="H41" i="4"/>
  <c r="I41" i="4" s="1"/>
  <c r="I75" i="1"/>
  <c r="J75" i="1" s="1"/>
  <c r="H37" i="4"/>
  <c r="I37" i="4" s="1"/>
  <c r="H35" i="4"/>
  <c r="I35" i="4" s="1"/>
  <c r="I30" i="1"/>
  <c r="J30" i="1" s="1"/>
  <c r="H27" i="4"/>
  <c r="I27" i="4" s="1"/>
  <c r="I65" i="1"/>
  <c r="J65" i="1" s="1"/>
  <c r="I16" i="1"/>
  <c r="J16" i="1" s="1"/>
  <c r="F107" i="21" l="1"/>
  <c r="H107" i="21" s="1"/>
  <c r="F92" i="21"/>
  <c r="H92" i="21" s="1"/>
  <c r="F76" i="21"/>
  <c r="H76" i="21" s="1"/>
  <c r="F71" i="21"/>
  <c r="H71" i="21" s="1"/>
  <c r="F63" i="21"/>
  <c r="F53" i="21"/>
  <c r="H53" i="21" s="1"/>
  <c r="F49" i="21"/>
  <c r="H49" i="21" s="1"/>
  <c r="F32" i="21"/>
  <c r="H32" i="21" s="1"/>
  <c r="F28" i="21"/>
  <c r="H28" i="21" s="1"/>
  <c r="F21" i="21"/>
  <c r="H21" i="21" s="1"/>
  <c r="F11" i="21"/>
  <c r="H11" i="21" s="1"/>
  <c r="F95" i="22"/>
  <c r="H95" i="22" s="1"/>
  <c r="F74" i="22"/>
  <c r="H74" i="22" s="1"/>
  <c r="F69" i="22"/>
  <c r="H69" i="22" s="1"/>
  <c r="F65" i="22"/>
  <c r="H65" i="22" s="1"/>
  <c r="F57" i="22"/>
  <c r="H57" i="22" s="1"/>
  <c r="F48" i="22"/>
  <c r="F31" i="22"/>
  <c r="H31" i="22" s="1"/>
  <c r="F23" i="22"/>
  <c r="H23" i="22" s="1"/>
  <c r="F16" i="22"/>
  <c r="H16" i="22" s="1"/>
  <c r="F112" i="24"/>
  <c r="H112" i="24" s="1"/>
  <c r="F95" i="24"/>
  <c r="H95" i="24" s="1"/>
  <c r="F79" i="24"/>
  <c r="F74" i="24"/>
  <c r="H74" i="24" s="1"/>
  <c r="F65" i="24"/>
  <c r="H65" i="24" s="1"/>
  <c r="F57" i="24"/>
  <c r="H57" i="24" s="1"/>
  <c r="F50" i="24"/>
  <c r="H50" i="24" s="1"/>
  <c r="F33" i="24"/>
  <c r="H33" i="24" s="1"/>
  <c r="F25" i="24"/>
  <c r="F21" i="24"/>
  <c r="F98" i="21"/>
  <c r="H98" i="21" s="1"/>
  <c r="F73" i="21"/>
  <c r="H73" i="21" s="1"/>
  <c r="F61" i="21"/>
  <c r="F41" i="21"/>
  <c r="H41" i="21" s="1"/>
  <c r="F23" i="21"/>
  <c r="H23" i="21" s="1"/>
  <c r="F104" i="22"/>
  <c r="H104" i="22" s="1"/>
  <c r="F72" i="22"/>
  <c r="H72" i="22" s="1"/>
  <c r="F59" i="22"/>
  <c r="H59" i="22" s="1"/>
  <c r="F46" i="22"/>
  <c r="H46" i="22" s="1"/>
  <c r="F21" i="22"/>
  <c r="H21" i="22" s="1"/>
  <c r="F26" i="21"/>
  <c r="F105" i="21"/>
  <c r="H105" i="21" s="1"/>
  <c r="F84" i="21"/>
  <c r="H84" i="21" s="1"/>
  <c r="F74" i="21"/>
  <c r="H74" i="21" s="1"/>
  <c r="F70" i="21"/>
  <c r="H70" i="21" s="1"/>
  <c r="F62" i="21"/>
  <c r="H62" i="21" s="1"/>
  <c r="F52" i="21"/>
  <c r="H52" i="21" s="1"/>
  <c r="F48" i="21"/>
  <c r="H48" i="21" s="1"/>
  <c r="F31" i="21"/>
  <c r="H31" i="21" s="1"/>
  <c r="F24" i="21"/>
  <c r="H24" i="21" s="1"/>
  <c r="F20" i="21"/>
  <c r="H20" i="21" s="1"/>
  <c r="F105" i="22"/>
  <c r="H105" i="22" s="1"/>
  <c r="F94" i="22"/>
  <c r="F73" i="22"/>
  <c r="H73" i="22" s="1"/>
  <c r="F68" i="22"/>
  <c r="H68" i="22" s="1"/>
  <c r="F60" i="22"/>
  <c r="H60" i="22" s="1"/>
  <c r="F53" i="22"/>
  <c r="H53" i="22" s="1"/>
  <c r="F47" i="22"/>
  <c r="H47" i="22" s="1"/>
  <c r="F28" i="22"/>
  <c r="H28" i="22" s="1"/>
  <c r="F22" i="22"/>
  <c r="H22" i="22" s="1"/>
  <c r="F12" i="22"/>
  <c r="F103" i="24"/>
  <c r="H103" i="24" s="1"/>
  <c r="F87" i="24"/>
  <c r="H87" i="24" s="1"/>
  <c r="F77" i="24"/>
  <c r="H77" i="24" s="1"/>
  <c r="F73" i="24"/>
  <c r="F64" i="24"/>
  <c r="H64" i="24" s="1"/>
  <c r="F53" i="24"/>
  <c r="H53" i="24" s="1"/>
  <c r="F49" i="24"/>
  <c r="H49" i="24" s="1"/>
  <c r="F31" i="24"/>
  <c r="F24" i="24"/>
  <c r="F17" i="24"/>
  <c r="F78" i="21"/>
  <c r="H78" i="21" s="1"/>
  <c r="F69" i="21"/>
  <c r="H69" i="21" s="1"/>
  <c r="F51" i="21"/>
  <c r="H51" i="21" s="1"/>
  <c r="F30" i="21"/>
  <c r="H30" i="21" s="1"/>
  <c r="F16" i="21"/>
  <c r="H16" i="21" s="1"/>
  <c r="F88" i="22"/>
  <c r="F67" i="22"/>
  <c r="H67" i="22" s="1"/>
  <c r="F50" i="22"/>
  <c r="H50" i="22" s="1"/>
  <c r="F26" i="22"/>
  <c r="H26" i="22" s="1"/>
  <c r="F11" i="22"/>
  <c r="F97" i="21"/>
  <c r="H97" i="21" s="1"/>
  <c r="F56" i="21"/>
  <c r="H56" i="21" s="1"/>
  <c r="F22" i="21"/>
  <c r="H22" i="21" s="1"/>
  <c r="F66" i="22"/>
  <c r="H66" i="22" s="1"/>
  <c r="F24" i="22"/>
  <c r="H24" i="22" s="1"/>
  <c r="F96" i="24"/>
  <c r="H96" i="24" s="1"/>
  <c r="F75" i="24"/>
  <c r="H75" i="24" s="1"/>
  <c r="F62" i="24"/>
  <c r="F34" i="24"/>
  <c r="H34" i="24" s="1"/>
  <c r="F22" i="24"/>
  <c r="F77" i="21"/>
  <c r="H77" i="21" s="1"/>
  <c r="F50" i="21"/>
  <c r="F12" i="21"/>
  <c r="H12" i="21" s="1"/>
  <c r="F102" i="22"/>
  <c r="H102" i="22" s="1"/>
  <c r="F58" i="22"/>
  <c r="H58" i="22" s="1"/>
  <c r="F20" i="22"/>
  <c r="F115" i="24"/>
  <c r="H115" i="24" s="1"/>
  <c r="F81" i="24"/>
  <c r="H81" i="24" s="1"/>
  <c r="F72" i="24"/>
  <c r="H72" i="24" s="1"/>
  <c r="F52" i="24"/>
  <c r="F28" i="24"/>
  <c r="F12" i="24"/>
  <c r="F72" i="21"/>
  <c r="H72" i="21" s="1"/>
  <c r="F33" i="21"/>
  <c r="H33" i="21" s="1"/>
  <c r="F80" i="22"/>
  <c r="H80" i="22" s="1"/>
  <c r="F49" i="22"/>
  <c r="H49" i="22" s="1"/>
  <c r="F114" i="24"/>
  <c r="H114" i="24" s="1"/>
  <c r="F80" i="24"/>
  <c r="H80" i="24" s="1"/>
  <c r="F71" i="24"/>
  <c r="H71" i="24" s="1"/>
  <c r="F51" i="24"/>
  <c r="H51" i="24" s="1"/>
  <c r="F26" i="24"/>
  <c r="F11" i="24"/>
  <c r="F64" i="21"/>
  <c r="H64" i="21" s="1"/>
  <c r="F29" i="21"/>
  <c r="H29" i="21" s="1"/>
  <c r="F70" i="22"/>
  <c r="H70" i="22" s="1"/>
  <c r="F45" i="22"/>
  <c r="F101" i="24"/>
  <c r="H101" i="24" s="1"/>
  <c r="F76" i="24"/>
  <c r="H76" i="24" s="1"/>
  <c r="F63" i="24"/>
  <c r="H63" i="24" s="1"/>
  <c r="F48" i="24"/>
  <c r="H48" i="24" s="1"/>
  <c r="F23" i="24"/>
  <c r="H31" i="13"/>
  <c r="H44" i="13"/>
  <c r="H43" i="13"/>
  <c r="H100" i="24"/>
  <c r="H92" i="24"/>
  <c r="H78" i="24"/>
  <c r="H91" i="22"/>
  <c r="H71" i="22"/>
  <c r="H94" i="21"/>
  <c r="H39" i="21"/>
  <c r="H58" i="21"/>
  <c r="H60" i="21"/>
  <c r="H63" i="21"/>
  <c r="H37" i="21"/>
  <c r="H59" i="21"/>
  <c r="H92" i="22"/>
  <c r="H79" i="21"/>
  <c r="H42" i="21"/>
  <c r="H98" i="24"/>
  <c r="H84" i="24"/>
  <c r="H77" i="22"/>
  <c r="H85" i="21"/>
  <c r="H65" i="21"/>
  <c r="H40" i="21"/>
  <c r="H44" i="21"/>
  <c r="H50" i="21"/>
  <c r="H111" i="24"/>
  <c r="H85" i="22"/>
  <c r="H61" i="21"/>
  <c r="H57" i="21"/>
  <c r="H109" i="24"/>
  <c r="H93" i="24"/>
  <c r="H101" i="22"/>
  <c r="H26" i="21"/>
  <c r="H38" i="21"/>
  <c r="F12" i="15"/>
  <c r="H12" i="15" s="1"/>
  <c r="F29" i="15"/>
  <c r="H29" i="15" s="1"/>
  <c r="H12" i="13"/>
  <c r="H97" i="24"/>
  <c r="H108" i="24"/>
  <c r="H83" i="22"/>
  <c r="H51" i="22"/>
  <c r="H91" i="24"/>
  <c r="H55" i="24"/>
  <c r="H99" i="22"/>
  <c r="H52" i="24"/>
  <c r="H98" i="22"/>
  <c r="H30" i="22"/>
  <c r="H73" i="24"/>
  <c r="H89" i="22"/>
  <c r="F45" i="8"/>
  <c r="H45" i="8" s="1"/>
  <c r="H70" i="24"/>
  <c r="H66" i="24"/>
  <c r="H59" i="24"/>
  <c r="H32" i="24"/>
  <c r="H62" i="24"/>
  <c r="H106" i="24"/>
  <c r="H89" i="24"/>
  <c r="H68" i="24"/>
  <c r="H61" i="24"/>
  <c r="H47" i="24"/>
  <c r="H104" i="24"/>
  <c r="H67" i="24"/>
  <c r="H60" i="24"/>
  <c r="H46" i="24"/>
  <c r="H90" i="24"/>
  <c r="H69" i="24"/>
  <c r="H54" i="24"/>
  <c r="H97" i="22"/>
  <c r="H82" i="22"/>
  <c r="H61" i="22"/>
  <c r="H55" i="22"/>
  <c r="H43" i="22"/>
  <c r="H12" i="22"/>
  <c r="H96" i="22"/>
  <c r="H64" i="22"/>
  <c r="H54" i="22"/>
  <c r="H29" i="22"/>
  <c r="H11" i="22"/>
  <c r="H94" i="22"/>
  <c r="H63" i="22"/>
  <c r="H45" i="22"/>
  <c r="H20" i="22"/>
  <c r="H88" i="22"/>
  <c r="H62" i="22"/>
  <c r="H56" i="22"/>
  <c r="H48" i="22"/>
  <c r="H44" i="22"/>
  <c r="F28" i="15"/>
  <c r="H28" i="15" s="1"/>
  <c r="F44" i="8"/>
  <c r="H44" i="8" s="1"/>
  <c r="F44" i="5"/>
  <c r="H44" i="5" s="1"/>
  <c r="F21" i="7"/>
  <c r="H21" i="7" s="1"/>
  <c r="H17" i="7"/>
  <c r="F16" i="7"/>
  <c r="H16" i="7" s="1"/>
  <c r="H21" i="5"/>
  <c r="F16" i="5"/>
  <c r="H16" i="5" s="1"/>
  <c r="F43" i="8"/>
  <c r="H43" i="8" s="1"/>
  <c r="F18" i="7"/>
  <c r="F15" i="7"/>
  <c r="H15" i="7" s="1"/>
  <c r="F26" i="5"/>
  <c r="H26" i="5" s="1"/>
  <c r="F22" i="5"/>
  <c r="F15" i="5"/>
  <c r="H12" i="5"/>
  <c r="F11" i="7"/>
  <c r="H11" i="7" s="1"/>
  <c r="F14" i="7"/>
  <c r="H14" i="7" s="1"/>
  <c r="F27" i="5"/>
  <c r="H27" i="5" s="1"/>
  <c r="H25" i="5"/>
  <c r="F23" i="5"/>
  <c r="F20" i="5"/>
  <c r="F17" i="5"/>
  <c r="H17" i="5" s="1"/>
  <c r="F13" i="5"/>
  <c r="F24" i="6"/>
  <c r="H24" i="6" s="1"/>
  <c r="F23" i="6"/>
  <c r="H23" i="6" s="1"/>
  <c r="J41" i="1"/>
  <c r="F13" i="6"/>
  <c r="H13" i="6" s="1"/>
  <c r="F41" i="8"/>
  <c r="H41" i="8" s="1"/>
  <c r="F11" i="15"/>
  <c r="H11" i="15" s="1"/>
  <c r="F10" i="13"/>
  <c r="H10" i="13" s="1"/>
  <c r="I19" i="1"/>
  <c r="J19" i="1" s="1"/>
  <c r="H23" i="4"/>
  <c r="H46" i="4"/>
  <c r="I46" i="4" s="1"/>
  <c r="F11" i="5"/>
  <c r="H11" i="5" s="1"/>
  <c r="H39" i="4"/>
  <c r="I39" i="4" s="1"/>
  <c r="E14" i="12"/>
  <c r="G14" i="12" s="1"/>
  <c r="I33" i="1"/>
  <c r="J33" i="1" s="1"/>
  <c r="I20" i="1"/>
  <c r="J20" i="1" s="1"/>
  <c r="I35" i="1"/>
  <c r="J35" i="1" s="1"/>
  <c r="H38" i="4"/>
  <c r="I38" i="4" s="1"/>
  <c r="F12" i="6"/>
  <c r="H12" i="6" s="1"/>
  <c r="I56" i="1"/>
  <c r="J56" i="1" s="1"/>
  <c r="E16" i="12"/>
  <c r="G16" i="12" s="1"/>
  <c r="F11" i="13"/>
  <c r="H11" i="13" s="1"/>
  <c r="F42" i="8"/>
  <c r="H42" i="8" s="1"/>
  <c r="F20" i="7"/>
  <c r="H20" i="7" s="1"/>
  <c r="I76" i="1"/>
  <c r="J76" i="1" s="1"/>
  <c r="I21" i="1"/>
  <c r="J21" i="1" s="1"/>
  <c r="F45" i="5"/>
  <c r="H45" i="5" s="1"/>
  <c r="I34" i="1"/>
  <c r="J34" i="1" s="1"/>
  <c r="F37" i="7"/>
  <c r="H37" i="7" s="1"/>
  <c r="H39" i="7" s="1"/>
  <c r="I55" i="1"/>
  <c r="J55" i="1" s="1"/>
  <c r="H109" i="21" l="1"/>
  <c r="H107" i="22"/>
  <c r="H67" i="13"/>
  <c r="J57" i="1" s="1"/>
  <c r="H32" i="15"/>
  <c r="H15" i="15"/>
  <c r="H46" i="8"/>
  <c r="H15" i="6"/>
  <c r="J49" i="1" s="1"/>
  <c r="H26" i="6"/>
  <c r="J50" i="1" s="1"/>
  <c r="J43" i="1"/>
  <c r="I22" i="20"/>
  <c r="I23" i="20" s="1"/>
  <c r="I27" i="20" s="1"/>
  <c r="I29" i="20" s="1"/>
  <c r="I31" i="20" s="1"/>
  <c r="I35" i="20" s="1"/>
  <c r="I36" i="20" s="1"/>
  <c r="G13" i="12" s="1"/>
  <c r="G18" i="12" s="1"/>
  <c r="I12" i="3" s="1"/>
  <c r="I14" i="3" s="1"/>
  <c r="I23" i="4"/>
  <c r="H14" i="13"/>
  <c r="H47" i="5"/>
  <c r="H13" i="5" l="1"/>
  <c r="H22" i="5"/>
  <c r="H15" i="5"/>
  <c r="H23" i="5"/>
  <c r="H19" i="7"/>
  <c r="H20" i="5"/>
  <c r="H19" i="5"/>
  <c r="H18" i="7"/>
  <c r="F36" i="23" l="1"/>
  <c r="F39" i="23" l="1"/>
  <c r="F43" i="23" s="1"/>
  <c r="F46" i="23" l="1"/>
  <c r="F45" i="23"/>
  <c r="F44" i="23"/>
  <c r="F47" i="23"/>
  <c r="F51" i="23" l="1"/>
  <c r="F55" i="23" s="1"/>
  <c r="F50" i="23"/>
  <c r="F54" i="23" s="1"/>
  <c r="H29" i="24" l="1"/>
  <c r="H28" i="24"/>
  <c r="H20" i="24"/>
  <c r="H15" i="24"/>
  <c r="H13" i="24"/>
  <c r="H16" i="24"/>
  <c r="H14" i="24"/>
  <c r="H27" i="24"/>
  <c r="H31" i="24" l="1"/>
  <c r="H26" i="24"/>
  <c r="H24" i="24"/>
  <c r="H22" i="24"/>
  <c r="H17" i="24"/>
  <c r="H11" i="24"/>
  <c r="H30" i="24"/>
  <c r="H25" i="24"/>
  <c r="H21" i="24"/>
  <c r="H23" i="24"/>
  <c r="H19" i="24"/>
  <c r="H12" i="24"/>
  <c r="J22" i="1" l="1"/>
  <c r="J23" i="1" s="1"/>
  <c r="I23" i="1" s="1"/>
  <c r="J36" i="1"/>
  <c r="J37" i="1" s="1"/>
  <c r="J44" i="1" l="1"/>
  <c r="J45" i="1" s="1"/>
  <c r="H47" i="4"/>
  <c r="I47" i="4" s="1"/>
  <c r="H25" i="4"/>
  <c r="I25" i="4" s="1"/>
  <c r="H48" i="4"/>
  <c r="I48" i="4" s="1"/>
  <c r="F10" i="8"/>
  <c r="H10" i="8" s="1"/>
  <c r="J59" i="1" s="1"/>
  <c r="H26" i="4"/>
  <c r="I26" i="4" s="1"/>
  <c r="I77" i="1"/>
  <c r="J77" i="1" s="1"/>
  <c r="I31" i="4" l="1"/>
  <c r="F74" i="1" s="1"/>
  <c r="H24" i="5"/>
  <c r="I45" i="1"/>
  <c r="F28" i="5" s="1"/>
  <c r="H28" i="5" s="1"/>
  <c r="I49" i="4"/>
  <c r="F12" i="7" l="1"/>
  <c r="H12" i="7" s="1"/>
  <c r="F26" i="8"/>
  <c r="H26" i="8" s="1"/>
  <c r="H28" i="8" s="1"/>
  <c r="J58" i="1" s="1"/>
  <c r="J60" i="1" s="1"/>
  <c r="F14" i="5"/>
  <c r="H14" i="5" s="1"/>
  <c r="F29" i="5"/>
  <c r="H29" i="5" s="1"/>
  <c r="H62" i="4"/>
  <c r="I62" i="4" s="1"/>
  <c r="F18" i="5"/>
  <c r="H18" i="5" s="1"/>
  <c r="F13" i="7"/>
  <c r="H13" i="7" s="1"/>
  <c r="F78" i="1"/>
  <c r="F80" i="1" s="1"/>
  <c r="J74" i="1"/>
  <c r="J78" i="1" s="1"/>
  <c r="H23" i="7" l="1"/>
  <c r="J51" i="1" s="1"/>
  <c r="H31" i="5"/>
  <c r="J48" i="1" s="1"/>
  <c r="J52" i="1" l="1"/>
  <c r="J80" i="1" s="1"/>
  <c r="I52" i="4" s="1"/>
  <c r="I61" i="4" s="1"/>
  <c r="I63" i="4" s="1"/>
  <c r="E61" i="4" l="1"/>
  <c r="C117" i="24"/>
  <c r="H10" i="24"/>
  <c r="H117" i="24" s="1"/>
  <c r="I40" i="4" s="1"/>
  <c r="I42" i="4" s="1"/>
  <c r="I66" i="4" s="1"/>
  <c r="I9" i="3" s="1"/>
  <c r="I24" i="3" s="1"/>
  <c r="I27" i="3" s="1"/>
  <c r="I30" i="3" l="1"/>
  <c r="I33" i="3"/>
  <c r="I37" i="3" s="1"/>
  <c r="I39" i="3" l="1"/>
  <c r="I41" i="3"/>
  <c r="I45" i="3" l="1"/>
  <c r="I49" i="3" s="1"/>
  <c r="I44" i="3"/>
  <c r="I48" i="3" s="1"/>
</calcChain>
</file>

<file path=xl/comments1.xml><?xml version="1.0" encoding="utf-8"?>
<comments xmlns="http://schemas.openxmlformats.org/spreadsheetml/2006/main">
  <authors>
    <author>Blevins, Drew</author>
  </authors>
  <commentList>
    <comment ref="M15" authorId="0">
      <text>
        <r>
          <rPr>
            <b/>
            <sz val="9"/>
            <color indexed="81"/>
            <rFont val="Tahoma"/>
            <charset val="1"/>
          </rPr>
          <t>Blevins, Drew:</t>
        </r>
        <r>
          <rPr>
            <sz val="9"/>
            <color indexed="81"/>
            <rFont val="Tahoma"/>
            <charset val="1"/>
          </rPr>
          <t xml:space="preserve">
Asset Reclassification</t>
        </r>
      </text>
    </comment>
    <comment ref="M16" authorId="0">
      <text>
        <r>
          <rPr>
            <b/>
            <sz val="9"/>
            <color indexed="81"/>
            <rFont val="Tahoma"/>
            <charset val="1"/>
          </rPr>
          <t>Blevins, Drew:</t>
        </r>
        <r>
          <rPr>
            <sz val="9"/>
            <color indexed="81"/>
            <rFont val="Tahoma"/>
            <charset val="1"/>
          </rPr>
          <t xml:space="preserve">
Asset Reclassification</t>
        </r>
      </text>
    </comment>
    <comment ref="N17" authorId="0">
      <text>
        <r>
          <rPr>
            <b/>
            <sz val="9"/>
            <color indexed="81"/>
            <rFont val="Tahoma"/>
            <charset val="1"/>
          </rPr>
          <t>Blevins, Drew:</t>
        </r>
        <r>
          <rPr>
            <sz val="9"/>
            <color indexed="81"/>
            <rFont val="Tahoma"/>
            <charset val="1"/>
          </rPr>
          <t xml:space="preserve">
To Rate Base Ln 4</t>
        </r>
      </text>
    </comment>
    <comment ref="N18" authorId="0">
      <text>
        <r>
          <rPr>
            <b/>
            <sz val="9"/>
            <color indexed="81"/>
            <rFont val="Tahoma"/>
            <charset val="1"/>
          </rPr>
          <t>Blevins, Drew:</t>
        </r>
        <r>
          <rPr>
            <sz val="9"/>
            <color indexed="81"/>
            <rFont val="Tahoma"/>
            <charset val="1"/>
          </rPr>
          <t xml:space="preserve">
To Rate Base Ln 4a</t>
        </r>
      </text>
    </comment>
    <comment ref="N30" authorId="0">
      <text>
        <r>
          <rPr>
            <b/>
            <sz val="9"/>
            <color indexed="81"/>
            <rFont val="Tahoma"/>
            <charset val="1"/>
          </rPr>
          <t>Blevins, Drew:</t>
        </r>
        <r>
          <rPr>
            <sz val="9"/>
            <color indexed="81"/>
            <rFont val="Tahoma"/>
            <charset val="1"/>
          </rPr>
          <t xml:space="preserve">
To Att S1  Ln 20</t>
        </r>
      </text>
    </comment>
    <comment ref="N31" authorId="0">
      <text>
        <r>
          <rPr>
            <b/>
            <sz val="9"/>
            <color indexed="81"/>
            <rFont val="Tahoma"/>
            <charset val="1"/>
          </rPr>
          <t>Blevins, Drew:</t>
        </r>
        <r>
          <rPr>
            <sz val="9"/>
            <color indexed="81"/>
            <rFont val="Tahoma"/>
            <charset val="1"/>
          </rPr>
          <t xml:space="preserve">
Ties to total on Att S1 (not a cell reference to this field)</t>
        </r>
      </text>
    </comment>
    <comment ref="M34" authorId="0">
      <text>
        <r>
          <rPr>
            <b/>
            <sz val="9"/>
            <color indexed="81"/>
            <rFont val="Tahoma"/>
            <charset val="1"/>
          </rPr>
          <t>Blevins, Drew:</t>
        </r>
        <r>
          <rPr>
            <sz val="9"/>
            <color indexed="81"/>
            <rFont val="Tahoma"/>
            <charset val="1"/>
          </rPr>
          <t xml:space="preserve">
Asset Reclassification</t>
        </r>
      </text>
    </comment>
    <comment ref="M35" authorId="0">
      <text>
        <r>
          <rPr>
            <b/>
            <sz val="9"/>
            <color indexed="81"/>
            <rFont val="Tahoma"/>
            <charset val="1"/>
          </rPr>
          <t>Blevins, Drew:</t>
        </r>
        <r>
          <rPr>
            <sz val="9"/>
            <color indexed="81"/>
            <rFont val="Tahoma"/>
            <charset val="1"/>
          </rPr>
          <t xml:space="preserve">
Asset Reclassification</t>
        </r>
      </text>
    </comment>
    <comment ref="I37" authorId="0">
      <text>
        <r>
          <rPr>
            <b/>
            <sz val="9"/>
            <color indexed="81"/>
            <rFont val="Tahoma"/>
            <charset val="1"/>
          </rPr>
          <t>Blevins, Drew:</t>
        </r>
        <r>
          <rPr>
            <sz val="9"/>
            <color indexed="81"/>
            <rFont val="Tahoma"/>
            <charset val="1"/>
          </rPr>
          <t xml:space="preserve">
50% of 44kv per 2016 OATT settlement</t>
        </r>
      </text>
    </comment>
    <comment ref="I40" authorId="0">
      <text>
        <r>
          <rPr>
            <b/>
            <sz val="9"/>
            <color indexed="81"/>
            <rFont val="Tahoma"/>
            <charset val="1"/>
          </rPr>
          <t>Blevins, Drew:</t>
        </r>
        <r>
          <rPr>
            <sz val="9"/>
            <color indexed="81"/>
            <rFont val="Tahoma"/>
            <charset val="1"/>
          </rPr>
          <t xml:space="preserve">
No CTA Def Tax </t>
        </r>
      </text>
    </comment>
    <comment ref="M40" authorId="0">
      <text>
        <r>
          <rPr>
            <b/>
            <sz val="9"/>
            <color indexed="81"/>
            <rFont val="Tahoma"/>
            <family val="2"/>
          </rPr>
          <t>Blevins, Drew:</t>
        </r>
        <r>
          <rPr>
            <sz val="9"/>
            <color indexed="81"/>
            <rFont val="Tahoma"/>
            <family val="2"/>
          </rPr>
          <t xml:space="preserve">
Federal tax rate change. No CTA Def Tax</t>
        </r>
      </text>
    </comment>
    <comment ref="D41" authorId="0">
      <text>
        <r>
          <rPr>
            <b/>
            <sz val="9"/>
            <color indexed="81"/>
            <rFont val="Tahoma"/>
            <charset val="1"/>
          </rPr>
          <t>Blevins, Drew:</t>
        </r>
        <r>
          <rPr>
            <sz val="9"/>
            <color indexed="81"/>
            <rFont val="Tahoma"/>
            <charset val="1"/>
          </rPr>
          <t xml:space="preserve">
Line #s can change each year; 2017 lines:
5,17,27-33,37,38</t>
        </r>
      </text>
    </comment>
    <comment ref="I41" authorId="0">
      <text>
        <r>
          <rPr>
            <b/>
            <sz val="9"/>
            <color indexed="81"/>
            <rFont val="Tahoma"/>
            <charset val="1"/>
          </rPr>
          <t>Blevins, Drew:</t>
        </r>
        <r>
          <rPr>
            <sz val="9"/>
            <color indexed="81"/>
            <rFont val="Tahoma"/>
            <charset val="1"/>
          </rPr>
          <t xml:space="preserve">
DOJ 27,388. Payroll Tax FERC Audit 21,088. ATL 9,435</t>
        </r>
      </text>
    </comment>
    <comment ref="M41" authorId="0">
      <text>
        <r>
          <rPr>
            <b/>
            <sz val="9"/>
            <color indexed="81"/>
            <rFont val="Tahoma"/>
            <family val="2"/>
          </rPr>
          <t>Blevins, Drew:</t>
        </r>
        <r>
          <rPr>
            <sz val="9"/>
            <color indexed="81"/>
            <rFont val="Tahoma"/>
            <family val="2"/>
          </rPr>
          <t xml:space="preserve">
DOJ $32,585.78; ATL $1,118.78; ATL $5,242.75</t>
        </r>
      </text>
    </comment>
    <comment ref="D42" authorId="0">
      <text>
        <r>
          <rPr>
            <b/>
            <sz val="9"/>
            <color indexed="81"/>
            <rFont val="Tahoma"/>
            <charset val="1"/>
          </rPr>
          <t>Blevins, Drew:</t>
        </r>
        <r>
          <rPr>
            <sz val="9"/>
            <color indexed="81"/>
            <rFont val="Tahoma"/>
            <charset val="1"/>
          </rPr>
          <t xml:space="preserve">
Line #s can change each year; 2017 lines: 10,23,39</t>
        </r>
      </text>
    </comment>
    <comment ref="I42" authorId="0">
      <text>
        <r>
          <rPr>
            <b/>
            <sz val="9"/>
            <color indexed="81"/>
            <rFont val="Tahoma"/>
            <charset val="1"/>
          </rPr>
          <t>Blevins, Drew:</t>
        </r>
        <r>
          <rPr>
            <sz val="9"/>
            <color indexed="81"/>
            <rFont val="Tahoma"/>
            <charset val="1"/>
          </rPr>
          <t xml:space="preserve">
ATL 132,928. ATL 193,370.</t>
        </r>
      </text>
    </comment>
    <comment ref="M42" authorId="0">
      <text>
        <r>
          <rPr>
            <b/>
            <sz val="9"/>
            <color indexed="81"/>
            <rFont val="Tahoma"/>
            <family val="2"/>
          </rPr>
          <t>Blevins, Drew:</t>
        </r>
        <r>
          <rPr>
            <sz val="9"/>
            <color indexed="81"/>
            <rFont val="Tahoma"/>
            <family val="2"/>
          </rPr>
          <t xml:space="preserve">
ATL 194,255.64</t>
        </r>
      </text>
    </comment>
    <comment ref="G44" authorId="0">
      <text>
        <r>
          <rPr>
            <b/>
            <sz val="9"/>
            <color indexed="81"/>
            <rFont val="Tahoma"/>
            <charset val="1"/>
          </rPr>
          <t>Blevins, Drew:</t>
        </r>
        <r>
          <rPr>
            <sz val="9"/>
            <color indexed="81"/>
            <rFont val="Tahoma"/>
            <charset val="1"/>
          </rPr>
          <t xml:space="preserve">
No balance CY or PY for acct 281 on pp 272-273</t>
        </r>
      </text>
    </comment>
    <comment ref="K44" authorId="0">
      <text>
        <r>
          <rPr>
            <b/>
            <sz val="9"/>
            <color indexed="81"/>
            <rFont val="Tahoma"/>
            <charset val="1"/>
          </rPr>
          <t>Blevins, Drew:</t>
        </r>
        <r>
          <rPr>
            <sz val="9"/>
            <color indexed="81"/>
            <rFont val="Tahoma"/>
            <charset val="1"/>
          </rPr>
          <t xml:space="preserve">
No balance CY or PY for acct 281 on pp 272-273</t>
        </r>
      </text>
    </comment>
    <comment ref="M45" authorId="0">
      <text>
        <r>
          <rPr>
            <b/>
            <sz val="9"/>
            <color indexed="81"/>
            <rFont val="Tahoma"/>
            <family val="2"/>
          </rPr>
          <t>Blevins, Drew:</t>
        </r>
        <r>
          <rPr>
            <sz val="9"/>
            <color indexed="81"/>
            <rFont val="Tahoma"/>
            <family val="2"/>
          </rPr>
          <t xml:space="preserve">
Federal tax rate change</t>
        </r>
      </text>
    </comment>
    <comment ref="M46" authorId="0">
      <text>
        <r>
          <rPr>
            <b/>
            <sz val="9"/>
            <color indexed="81"/>
            <rFont val="Tahoma"/>
            <family val="2"/>
          </rPr>
          <t>Blevins, Drew:</t>
        </r>
        <r>
          <rPr>
            <sz val="9"/>
            <color indexed="81"/>
            <rFont val="Tahoma"/>
            <family val="2"/>
          </rPr>
          <t xml:space="preserve">
Federal tax rate change</t>
        </r>
      </text>
    </comment>
    <comment ref="M47" authorId="0">
      <text>
        <r>
          <rPr>
            <b/>
            <sz val="9"/>
            <color indexed="81"/>
            <rFont val="Tahoma"/>
            <family val="2"/>
          </rPr>
          <t>Blevins, Drew:</t>
        </r>
        <r>
          <rPr>
            <sz val="9"/>
            <color indexed="81"/>
            <rFont val="Tahoma"/>
            <family val="2"/>
          </rPr>
          <t xml:space="preserve">
Remove Customer owned facilities (Summary Ln 6)</t>
        </r>
      </text>
    </comment>
    <comment ref="M53" authorId="0">
      <text>
        <r>
          <rPr>
            <b/>
            <sz val="9"/>
            <color indexed="81"/>
            <rFont val="Tahoma"/>
            <charset val="1"/>
          </rPr>
          <t>Blevins, Drew:</t>
        </r>
        <r>
          <rPr>
            <sz val="9"/>
            <color indexed="81"/>
            <rFont val="Tahoma"/>
            <charset val="1"/>
          </rPr>
          <t xml:space="preserve">
zero out 561.6 and 561.7 for studies</t>
        </r>
      </text>
    </comment>
    <comment ref="M54" authorId="0">
      <text>
        <r>
          <rPr>
            <b/>
            <sz val="9"/>
            <color indexed="81"/>
            <rFont val="Tahoma"/>
            <charset val="1"/>
          </rPr>
          <t>Blevins, Drew:</t>
        </r>
        <r>
          <rPr>
            <sz val="9"/>
            <color indexed="81"/>
            <rFont val="Tahoma"/>
            <charset val="1"/>
          </rPr>
          <t xml:space="preserve">
zero out 561.6 and 561.7 for studies</t>
        </r>
      </text>
    </comment>
    <comment ref="D56" authorId="0">
      <text>
        <r>
          <rPr>
            <b/>
            <sz val="9"/>
            <color indexed="81"/>
            <rFont val="Tahoma"/>
            <charset val="1"/>
          </rPr>
          <t>Blevins, Drew:</t>
        </r>
        <r>
          <rPr>
            <sz val="9"/>
            <color indexed="81"/>
            <rFont val="Tahoma"/>
            <charset val="1"/>
          </rPr>
          <t xml:space="preserve">
line 197 total incl lines 185, 189 and 191</t>
        </r>
      </text>
    </comment>
    <comment ref="I56" authorId="0">
      <text>
        <r>
          <rPr>
            <b/>
            <sz val="9"/>
            <color indexed="81"/>
            <rFont val="Tahoma"/>
            <charset val="1"/>
          </rPr>
          <t>Blevins, Drew:</t>
        </r>
        <r>
          <rPr>
            <sz val="9"/>
            <color indexed="81"/>
            <rFont val="Tahoma"/>
            <charset val="1"/>
          </rPr>
          <t xml:space="preserve">
FERC Labor Audit 239,862. DOJ 2,195,617. ATL 37,486. ATL 18,034,939. ATL 701,885. ATL 193,544. ATL 3,532,922. ATL 1,897. ATL 26,290. ATL 1,368,000</t>
        </r>
      </text>
    </comment>
    <comment ref="M56" authorId="0">
      <text>
        <r>
          <rPr>
            <b/>
            <sz val="9"/>
            <color indexed="81"/>
            <rFont val="Tahoma"/>
            <charset val="1"/>
          </rPr>
          <t>Blevins, Drew:</t>
        </r>
        <r>
          <rPr>
            <sz val="9"/>
            <color indexed="81"/>
            <rFont val="Tahoma"/>
            <charset val="1"/>
          </rPr>
          <t xml:space="preserve">
Project Hawaii $210,216.72; FERC Labor Audit $1,865.50; DOJ $1,923,019.75; ATL $5,772,352.93; ATL $5,439,844.25; ATL $267,083.13; ATL $44,644.15; ATL $113,377.56; ATL $16,513.18; ATL $26,798.00</t>
        </r>
      </text>
    </comment>
    <comment ref="D57" authorId="0">
      <text>
        <r>
          <rPr>
            <b/>
            <sz val="9"/>
            <color indexed="81"/>
            <rFont val="Tahoma"/>
            <charset val="1"/>
          </rPr>
          <t>Blevins, Drew:</t>
        </r>
        <r>
          <rPr>
            <sz val="9"/>
            <color indexed="81"/>
            <rFont val="Tahoma"/>
            <charset val="1"/>
          </rPr>
          <t xml:space="preserve">
924</t>
        </r>
      </text>
    </comment>
    <comment ref="D58" authorId="0">
      <text>
        <r>
          <rPr>
            <b/>
            <sz val="9"/>
            <color indexed="81"/>
            <rFont val="Tahoma"/>
            <charset val="1"/>
          </rPr>
          <t>Blevins, Drew:</t>
        </r>
        <r>
          <rPr>
            <sz val="9"/>
            <color indexed="81"/>
            <rFont val="Tahoma"/>
            <charset val="1"/>
          </rPr>
          <t xml:space="preserve">
928</t>
        </r>
      </text>
    </comment>
    <comment ref="I58" authorId="0">
      <text>
        <r>
          <rPr>
            <b/>
            <sz val="9"/>
            <color indexed="81"/>
            <rFont val="Tahoma"/>
            <charset val="1"/>
          </rPr>
          <t>Blevins, Drew:</t>
        </r>
        <r>
          <rPr>
            <sz val="9"/>
            <color indexed="81"/>
            <rFont val="Tahoma"/>
            <charset val="1"/>
          </rPr>
          <t xml:space="preserve">
ATL 701,885</t>
        </r>
      </text>
    </comment>
    <comment ref="D59" authorId="0">
      <text>
        <r>
          <rPr>
            <b/>
            <sz val="9"/>
            <color indexed="81"/>
            <rFont val="Tahoma"/>
            <charset val="1"/>
          </rPr>
          <t>Blevins, Drew:</t>
        </r>
        <r>
          <rPr>
            <sz val="9"/>
            <color indexed="81"/>
            <rFont val="Tahoma"/>
            <charset val="1"/>
          </rPr>
          <t xml:space="preserve">
930.1</t>
        </r>
      </text>
    </comment>
    <comment ref="I59" authorId="0">
      <text>
        <r>
          <rPr>
            <b/>
            <sz val="9"/>
            <color indexed="81"/>
            <rFont val="Tahoma"/>
            <charset val="1"/>
          </rPr>
          <t>Blevins, Drew:</t>
        </r>
        <r>
          <rPr>
            <sz val="9"/>
            <color indexed="81"/>
            <rFont val="Tahoma"/>
            <charset val="1"/>
          </rPr>
          <t xml:space="preserve">
ATL 3,532,922</t>
        </r>
      </text>
    </comment>
    <comment ref="M59" authorId="0">
      <text>
        <r>
          <rPr>
            <b/>
            <sz val="9"/>
            <color indexed="81"/>
            <rFont val="Tahoma"/>
            <charset val="1"/>
          </rPr>
          <t>Blevins, Drew:</t>
        </r>
        <r>
          <rPr>
            <sz val="9"/>
            <color indexed="81"/>
            <rFont val="Tahoma"/>
            <charset val="1"/>
          </rPr>
          <t xml:space="preserve">
ATL $5,439,844.25</t>
        </r>
      </text>
    </comment>
    <comment ref="D60" authorId="0">
      <text>
        <r>
          <rPr>
            <b/>
            <sz val="9"/>
            <color indexed="81"/>
            <rFont val="Tahoma"/>
            <charset val="1"/>
          </rPr>
          <t>Blevins, Drew:</t>
        </r>
        <r>
          <rPr>
            <sz val="9"/>
            <color indexed="81"/>
            <rFont val="Tahoma"/>
            <charset val="1"/>
          </rPr>
          <t xml:space="preserve">
line #s will change from year to year since this page is blank and a list is keyed in; 2015 lines: 1-3</t>
        </r>
      </text>
    </comment>
    <comment ref="M61" authorId="0">
      <text>
        <r>
          <rPr>
            <b/>
            <sz val="9"/>
            <color indexed="81"/>
            <rFont val="Tahoma"/>
            <family val="2"/>
          </rPr>
          <t>Blevins, Drew:</t>
        </r>
        <r>
          <rPr>
            <sz val="9"/>
            <color indexed="81"/>
            <rFont val="Tahoma"/>
            <family val="2"/>
          </rPr>
          <t xml:space="preserve">
$73,292.62 Asset Reclassification; $7,103.36 ATL</t>
        </r>
      </text>
    </comment>
    <comment ref="D64" authorId="0">
      <text>
        <r>
          <rPr>
            <b/>
            <sz val="9"/>
            <color indexed="81"/>
            <rFont val="Tahoma"/>
            <charset val="1"/>
          </rPr>
          <t>Blevins, Drew:</t>
        </r>
        <r>
          <rPr>
            <sz val="9"/>
            <color indexed="81"/>
            <rFont val="Tahoma"/>
            <charset val="1"/>
          </rPr>
          <t xml:space="preserve">
2015 line 18</t>
        </r>
      </text>
    </comment>
    <comment ref="I67" authorId="0">
      <text>
        <r>
          <rPr>
            <b/>
            <sz val="9"/>
            <color indexed="81"/>
            <rFont val="Tahoma"/>
            <charset val="1"/>
          </rPr>
          <t>Blevins, Drew:</t>
        </r>
        <r>
          <rPr>
            <sz val="9"/>
            <color indexed="81"/>
            <rFont val="Tahoma"/>
            <charset val="1"/>
          </rPr>
          <t xml:space="preserve">
FERC Labor Audit 340,727</t>
        </r>
      </text>
    </comment>
    <comment ref="M67" authorId="0">
      <text>
        <r>
          <rPr>
            <b/>
            <sz val="9"/>
            <color indexed="81"/>
            <rFont val="Tahoma"/>
            <family val="2"/>
          </rPr>
          <t>Blevins, Drew:</t>
        </r>
        <r>
          <rPr>
            <sz val="9"/>
            <color indexed="81"/>
            <rFont val="Tahoma"/>
            <family val="2"/>
          </rPr>
          <t xml:space="preserve">
FERC Labor Audit 1,866</t>
        </r>
      </text>
    </comment>
  </commentList>
</comments>
</file>

<file path=xl/comments10.xml><?xml version="1.0" encoding="utf-8"?>
<comments xmlns="http://schemas.openxmlformats.org/spreadsheetml/2006/main">
  <authors>
    <author>Blevins, Drew</author>
  </authors>
  <commentList>
    <comment ref="B14" authorId="0">
      <text>
        <r>
          <rPr>
            <b/>
            <sz val="9"/>
            <color indexed="81"/>
            <rFont val="Tahoma"/>
            <charset val="1"/>
          </rPr>
          <t>Blevins, Drew:</t>
        </r>
        <r>
          <rPr>
            <sz val="9"/>
            <color indexed="81"/>
            <rFont val="Tahoma"/>
            <charset val="1"/>
          </rPr>
          <t xml:space="preserve">
Since these accounts are immaterial, transient in nature and are mostly offset by customer payments, we are electing to change the values for both Acct 561.6 and 561.7 to zero both this year and in future years thus removing their impact on the OATT .</t>
        </r>
      </text>
    </comment>
    <comment ref="B15" authorId="0">
      <text>
        <r>
          <rPr>
            <b/>
            <sz val="9"/>
            <color indexed="81"/>
            <rFont val="Tahoma"/>
            <charset val="1"/>
          </rPr>
          <t>Blevins, Drew:</t>
        </r>
        <r>
          <rPr>
            <sz val="9"/>
            <color indexed="81"/>
            <rFont val="Tahoma"/>
            <charset val="1"/>
          </rPr>
          <t xml:space="preserve">
Since these accounts are immaterial, transient in nature and are mostly offset by customer payments, we are electing to change the values for both Acct 561.6 and 561.7 to zero both this year and in future years thus removing their impact on the OATT .</t>
        </r>
      </text>
    </comment>
  </commentList>
</comments>
</file>

<file path=xl/comments11.xml><?xml version="1.0" encoding="utf-8"?>
<comments xmlns="http://schemas.openxmlformats.org/spreadsheetml/2006/main">
  <authors>
    <author>Blevins, Drew</author>
  </authors>
  <commentList>
    <comment ref="K11" authorId="0">
      <text>
        <r>
          <rPr>
            <b/>
            <sz val="9"/>
            <color indexed="81"/>
            <rFont val="Tahoma"/>
            <family val="2"/>
          </rPr>
          <t>Blevins, Drew:</t>
        </r>
        <r>
          <rPr>
            <sz val="9"/>
            <color indexed="81"/>
            <rFont val="Tahoma"/>
            <family val="2"/>
          </rPr>
          <t xml:space="preserve">
Labor-FERC Audit</t>
        </r>
      </text>
    </comment>
  </commentList>
</comments>
</file>

<file path=xl/comments2.xml><?xml version="1.0" encoding="utf-8"?>
<comments xmlns="http://schemas.openxmlformats.org/spreadsheetml/2006/main">
  <authors>
    <author>Blevins, Drew</author>
  </authors>
  <commentList>
    <comment ref="I18" authorId="0">
      <text>
        <r>
          <rPr>
            <b/>
            <sz val="9"/>
            <color indexed="81"/>
            <rFont val="Tahoma"/>
            <charset val="1"/>
          </rPr>
          <t>Blevins, Drew:</t>
        </r>
        <r>
          <rPr>
            <sz val="9"/>
            <color indexed="81"/>
            <rFont val="Tahoma"/>
            <charset val="1"/>
          </rPr>
          <t xml:space="preserve">
Query</t>
        </r>
      </text>
    </comment>
    <comment ref="I29" authorId="0">
      <text>
        <r>
          <rPr>
            <b/>
            <sz val="9"/>
            <color indexed="81"/>
            <rFont val="Tahoma"/>
            <charset val="1"/>
          </rPr>
          <t>Blevins, Drew:</t>
        </r>
        <r>
          <rPr>
            <sz val="9"/>
            <color indexed="81"/>
            <rFont val="Tahoma"/>
            <charset val="1"/>
          </rPr>
          <t xml:space="preserve">
use CY Historic file</t>
        </r>
      </text>
    </comment>
    <comment ref="I32" authorId="0">
      <text>
        <r>
          <rPr>
            <b/>
            <sz val="9"/>
            <color indexed="81"/>
            <rFont val="Tahoma"/>
            <charset val="1"/>
          </rPr>
          <t>Blevins, Drew:</t>
        </r>
        <r>
          <rPr>
            <sz val="9"/>
            <color indexed="81"/>
            <rFont val="Tahoma"/>
            <charset val="1"/>
          </rPr>
          <t xml:space="preserve">
use CY Historic file</t>
        </r>
      </text>
    </comment>
  </commentList>
</comments>
</file>

<file path=xl/comments3.xml><?xml version="1.0" encoding="utf-8"?>
<comments xmlns="http://schemas.openxmlformats.org/spreadsheetml/2006/main">
  <authors>
    <author>Blevins, Drew</author>
  </authors>
  <commentList>
    <comment ref="E35" authorId="0">
      <text>
        <r>
          <rPr>
            <b/>
            <sz val="9"/>
            <color indexed="81"/>
            <rFont val="Tahoma"/>
            <charset val="1"/>
          </rPr>
          <t>Blevins, Drew:</t>
        </r>
        <r>
          <rPr>
            <sz val="9"/>
            <color indexed="81"/>
            <rFont val="Tahoma"/>
            <charset val="1"/>
          </rPr>
          <t xml:space="preserve">
update formula to the appropriate column from Att P each year</t>
        </r>
      </text>
    </comment>
  </commentList>
</comments>
</file>

<file path=xl/comments4.xml><?xml version="1.0" encoding="utf-8"?>
<comments xmlns="http://schemas.openxmlformats.org/spreadsheetml/2006/main">
  <authors>
    <author>Haskett, Tim</author>
    <author>Blevins, Drew</author>
  </authors>
  <commentList>
    <comment ref="H9" authorId="0">
      <text>
        <r>
          <rPr>
            <b/>
            <sz val="9"/>
            <color indexed="81"/>
            <rFont val="Tahoma"/>
            <charset val="1"/>
          </rPr>
          <t>Haskett, Tim:</t>
        </r>
        <r>
          <rPr>
            <sz val="9"/>
            <color indexed="81"/>
            <rFont val="Tahoma"/>
            <charset val="1"/>
          </rPr>
          <t xml:space="preserve">
Always review for Interconnect Facilities/GSUs that have retired or been reimbursed by a 3rd party generator owner in the current Form 1 year.</t>
        </r>
      </text>
    </comment>
    <comment ref="H16" authorId="1">
      <text>
        <r>
          <rPr>
            <b/>
            <sz val="9"/>
            <color indexed="81"/>
            <rFont val="Tahoma"/>
            <charset val="1"/>
          </rPr>
          <t>Blevins, Drew:</t>
        </r>
        <r>
          <rPr>
            <sz val="9"/>
            <color indexed="81"/>
            <rFont val="Tahoma"/>
            <charset val="1"/>
          </rPr>
          <t xml:space="preserve">
key in amount from Historic file</t>
        </r>
      </text>
    </comment>
    <comment ref="H17" authorId="1">
      <text>
        <r>
          <rPr>
            <b/>
            <sz val="9"/>
            <color indexed="81"/>
            <rFont val="Tahoma"/>
            <charset val="1"/>
          </rPr>
          <t>Blevins, Drew:</t>
        </r>
        <r>
          <rPr>
            <sz val="9"/>
            <color indexed="81"/>
            <rFont val="Tahoma"/>
            <charset val="1"/>
          </rPr>
          <t xml:space="preserve">
key in amount from Historic file</t>
        </r>
      </text>
    </comment>
    <comment ref="D41" authorId="1">
      <text>
        <r>
          <rPr>
            <b/>
            <sz val="9"/>
            <color indexed="81"/>
            <rFont val="Tahoma"/>
            <charset val="1"/>
          </rPr>
          <t>Blevins, Drew:</t>
        </r>
        <r>
          <rPr>
            <sz val="9"/>
            <color indexed="81"/>
            <rFont val="Tahoma"/>
            <charset val="1"/>
          </rPr>
          <t xml:space="preserve">
Note V</t>
        </r>
      </text>
    </comment>
    <comment ref="F41" authorId="1">
      <text>
        <r>
          <rPr>
            <b/>
            <sz val="9"/>
            <color indexed="81"/>
            <rFont val="Tahoma"/>
            <charset val="1"/>
          </rPr>
          <t>Blevins, Drew:</t>
        </r>
        <r>
          <rPr>
            <sz val="9"/>
            <color indexed="81"/>
            <rFont val="Tahoma"/>
            <charset val="1"/>
          </rPr>
          <t xml:space="preserve">
Per ROE Settlement</t>
        </r>
      </text>
    </comment>
  </commentList>
</comments>
</file>

<file path=xl/comments5.xml><?xml version="1.0" encoding="utf-8"?>
<comments xmlns="http://schemas.openxmlformats.org/spreadsheetml/2006/main">
  <authors>
    <author>Blevins, Drew</author>
  </authors>
  <commentList>
    <comment ref="F8" authorId="0">
      <text>
        <r>
          <rPr>
            <b/>
            <sz val="9"/>
            <color indexed="81"/>
            <rFont val="Tahoma"/>
            <family val="2"/>
          </rPr>
          <t>Blevins, Drew:</t>
        </r>
        <r>
          <rPr>
            <sz val="9"/>
            <color indexed="81"/>
            <rFont val="Tahoma"/>
            <family val="2"/>
          </rPr>
          <t xml:space="preserve">
Update formula if insert rows to Intangibles</t>
        </r>
      </text>
    </comment>
    <comment ref="F10" authorId="0">
      <text>
        <r>
          <rPr>
            <b/>
            <sz val="9"/>
            <color indexed="81"/>
            <rFont val="Tahoma"/>
            <family val="2"/>
          </rPr>
          <t>Blevins, Drew:</t>
        </r>
        <r>
          <rPr>
            <sz val="9"/>
            <color indexed="81"/>
            <rFont val="Tahoma"/>
            <family val="2"/>
          </rPr>
          <t xml:space="preserve">
Update formula if insert rows to Intangibles</t>
        </r>
      </text>
    </comment>
    <comment ref="F21" authorId="0">
      <text>
        <r>
          <rPr>
            <b/>
            <sz val="9"/>
            <color indexed="81"/>
            <rFont val="Tahoma"/>
            <family val="2"/>
          </rPr>
          <t>Blevins, Drew:</t>
        </r>
        <r>
          <rPr>
            <sz val="9"/>
            <color indexed="81"/>
            <rFont val="Tahoma"/>
            <family val="2"/>
          </rPr>
          <t xml:space="preserve">
Update formula if insert rows to Intangibles</t>
        </r>
      </text>
    </comment>
    <comment ref="F35" authorId="0">
      <text>
        <r>
          <rPr>
            <b/>
            <sz val="9"/>
            <color indexed="81"/>
            <rFont val="Tahoma"/>
            <charset val="1"/>
          </rPr>
          <t>Blevins, Drew:</t>
        </r>
        <r>
          <rPr>
            <sz val="9"/>
            <color indexed="81"/>
            <rFont val="Tahoma"/>
            <charset val="1"/>
          </rPr>
          <t xml:space="preserve">
use CY Historic file</t>
        </r>
      </text>
    </comment>
    <comment ref="F38" authorId="0">
      <text>
        <r>
          <rPr>
            <b/>
            <sz val="9"/>
            <color indexed="81"/>
            <rFont val="Tahoma"/>
            <charset val="1"/>
          </rPr>
          <t>Blevins, Drew:</t>
        </r>
        <r>
          <rPr>
            <sz val="9"/>
            <color indexed="81"/>
            <rFont val="Tahoma"/>
            <charset val="1"/>
          </rPr>
          <t xml:space="preserve">
use CY Historic file</t>
        </r>
      </text>
    </comment>
  </commentList>
</comments>
</file>

<file path=xl/comments6.xml><?xml version="1.0" encoding="utf-8"?>
<comments xmlns="http://schemas.openxmlformats.org/spreadsheetml/2006/main">
  <authors>
    <author>Blevins, Drew</author>
  </authors>
  <commentList>
    <comment ref="C25" authorId="0">
      <text>
        <r>
          <rPr>
            <b/>
            <sz val="9"/>
            <color indexed="81"/>
            <rFont val="Tahoma"/>
            <charset val="1"/>
          </rPr>
          <t>Blevins, Drew:</t>
        </r>
        <r>
          <rPr>
            <sz val="9"/>
            <color indexed="81"/>
            <rFont val="Tahoma"/>
            <charset val="1"/>
          </rPr>
          <t xml:space="preserve">
No CTA Def Tax in 2016</t>
        </r>
      </text>
    </comment>
  </commentList>
</comments>
</file>

<file path=xl/comments7.xml><?xml version="1.0" encoding="utf-8"?>
<comments xmlns="http://schemas.openxmlformats.org/spreadsheetml/2006/main">
  <authors>
    <author>Blevins, Drew</author>
  </authors>
  <commentList>
    <comment ref="C22" authorId="0">
      <text>
        <r>
          <rPr>
            <b/>
            <sz val="9"/>
            <color indexed="81"/>
            <rFont val="Tahoma"/>
            <charset val="1"/>
          </rPr>
          <t>Blevins, Drew:</t>
        </r>
        <r>
          <rPr>
            <sz val="9"/>
            <color indexed="81"/>
            <rFont val="Tahoma"/>
            <charset val="1"/>
          </rPr>
          <t xml:space="preserve">
CTA Adjustment per CTA Deferred Income Taxes Schedule</t>
        </r>
      </text>
    </comment>
  </commentList>
</comments>
</file>

<file path=xl/comments8.xml><?xml version="1.0" encoding="utf-8"?>
<comments xmlns="http://schemas.openxmlformats.org/spreadsheetml/2006/main">
  <authors>
    <author>Blevins, Drew</author>
  </authors>
  <commentList>
    <comment ref="G13" authorId="0">
      <text>
        <r>
          <rPr>
            <b/>
            <sz val="9"/>
            <color indexed="81"/>
            <rFont val="Tahoma"/>
            <charset val="1"/>
          </rPr>
          <t>Blevins, Drew:</t>
        </r>
        <r>
          <rPr>
            <sz val="9"/>
            <color indexed="81"/>
            <rFont val="Tahoma"/>
            <charset val="1"/>
          </rPr>
          <t xml:space="preserve">
Attachment H Line 21</t>
        </r>
      </text>
    </comment>
  </commentList>
</comments>
</file>

<file path=xl/comments9.xml><?xml version="1.0" encoding="utf-8"?>
<comments xmlns="http://schemas.openxmlformats.org/spreadsheetml/2006/main">
  <authors>
    <author>Blevins, Drew</author>
    <author>Collis, Steve</author>
  </authors>
  <commentList>
    <comment ref="D7" authorId="0">
      <text>
        <r>
          <rPr>
            <b/>
            <sz val="9"/>
            <color indexed="81"/>
            <rFont val="Tahoma"/>
            <family val="2"/>
          </rPr>
          <t>Blevins, Drew:</t>
        </r>
        <r>
          <rPr>
            <sz val="9"/>
            <color indexed="81"/>
            <rFont val="Tahoma"/>
            <family val="2"/>
          </rPr>
          <t xml:space="preserve">
Remains same</t>
        </r>
      </text>
    </comment>
    <comment ref="D10" authorId="1">
      <text>
        <r>
          <rPr>
            <b/>
            <sz val="9"/>
            <color indexed="81"/>
            <rFont val="Tahoma"/>
            <family val="2"/>
          </rPr>
          <t>Collis, Steve:</t>
        </r>
        <r>
          <rPr>
            <sz val="9"/>
            <color indexed="81"/>
            <rFont val="Tahoma"/>
            <family val="2"/>
          </rPr>
          <t xml:space="preserve">
Per ROE Settlement</t>
        </r>
      </text>
    </comment>
    <comment ref="D11" authorId="0">
      <text>
        <r>
          <rPr>
            <b/>
            <sz val="9"/>
            <color indexed="81"/>
            <rFont val="Tahoma"/>
            <charset val="1"/>
          </rPr>
          <t>Blevins, Drew:</t>
        </r>
        <r>
          <rPr>
            <sz val="9"/>
            <color indexed="81"/>
            <rFont val="Tahoma"/>
            <charset val="1"/>
          </rPr>
          <t xml:space="preserve">
2010 - 2016 (data year)  7 yrs amortization</t>
        </r>
      </text>
    </comment>
  </commentList>
</comments>
</file>

<file path=xl/sharedStrings.xml><?xml version="1.0" encoding="utf-8"?>
<sst xmlns="http://schemas.openxmlformats.org/spreadsheetml/2006/main" count="2515" uniqueCount="1280">
  <si>
    <t>Duke Energy Carolinas, LLC</t>
  </si>
  <si>
    <t>Development of Rate Base</t>
  </si>
  <si>
    <t xml:space="preserve">Line </t>
  </si>
  <si>
    <t>Rate Base:</t>
  </si>
  <si>
    <t>Reference</t>
  </si>
  <si>
    <t xml:space="preserve">Total </t>
  </si>
  <si>
    <t>Allocator</t>
  </si>
  <si>
    <t xml:space="preserve">OATT </t>
  </si>
  <si>
    <t>Total Gross Plant</t>
  </si>
  <si>
    <t xml:space="preserve">     Production Plant</t>
  </si>
  <si>
    <t xml:space="preserve">     Transmission Plant</t>
  </si>
  <si>
    <t xml:space="preserve">     Distribution Plant</t>
  </si>
  <si>
    <t xml:space="preserve">     General Plant</t>
  </si>
  <si>
    <t xml:space="preserve">     Intangible Plant</t>
  </si>
  <si>
    <t>Accumulated Depreciation</t>
  </si>
  <si>
    <t>Total Accumulated Depr.</t>
  </si>
  <si>
    <t xml:space="preserve">     Production Depr. Reserve</t>
  </si>
  <si>
    <t xml:space="preserve">     Transmission Depr. Reserve</t>
  </si>
  <si>
    <t xml:space="preserve">     Distribution Depr. Reserve</t>
  </si>
  <si>
    <t xml:space="preserve">     General Depr. Reserve</t>
  </si>
  <si>
    <t xml:space="preserve">     Intangible Depr. Reserve</t>
  </si>
  <si>
    <t>Net Plant in Service</t>
  </si>
  <si>
    <t xml:space="preserve">     Net Production Plant</t>
  </si>
  <si>
    <t xml:space="preserve">     Net Transmission Plant</t>
  </si>
  <si>
    <t xml:space="preserve">     Net Distribution Plant</t>
  </si>
  <si>
    <t xml:space="preserve">     Net General Plant</t>
  </si>
  <si>
    <t xml:space="preserve">     Net Intangible Plant</t>
  </si>
  <si>
    <t>Total Net Plant</t>
  </si>
  <si>
    <t>Adjustments to Rate Base - Deferred Taxes</t>
  </si>
  <si>
    <t xml:space="preserve">     ADIT - 190</t>
  </si>
  <si>
    <t xml:space="preserve">     ADIT - 283</t>
  </si>
  <si>
    <t>Total Deferred Tax Adjustments</t>
  </si>
  <si>
    <t>Plant Held For Future Use</t>
  </si>
  <si>
    <t xml:space="preserve">     Balance - Network Prepayments</t>
  </si>
  <si>
    <t xml:space="preserve">     Accrued Interest Balance</t>
  </si>
  <si>
    <t>Total Network Upgrade Prepayment Adjustments</t>
  </si>
  <si>
    <t>Working Capital</t>
  </si>
  <si>
    <t xml:space="preserve">     Cash Working Captial (1/8 O&amp;M)</t>
  </si>
  <si>
    <t xml:space="preserve">     Prepayments</t>
  </si>
  <si>
    <t>Total Working Capital</t>
  </si>
  <si>
    <t>Line 3 - Line 9</t>
  </si>
  <si>
    <t>Line 5 - Line 11</t>
  </si>
  <si>
    <t>227.8.c</t>
  </si>
  <si>
    <t>227.16.c</t>
  </si>
  <si>
    <t>Supporting Allocation Factor and Return Calculations</t>
  </si>
  <si>
    <t>Transmission Plant Included in OATT Rate</t>
  </si>
  <si>
    <t xml:space="preserve">      Total Transmission Plant</t>
  </si>
  <si>
    <t xml:space="preserve">     Trans Plant for OATT Rate</t>
  </si>
  <si>
    <t>TP Allocator (Line 4/Line1)</t>
  </si>
  <si>
    <t>Labor Allocation Factor</t>
  </si>
  <si>
    <t xml:space="preserve">     Total Direct Payroll - O&amp;M Labor</t>
  </si>
  <si>
    <t xml:space="preserve">     A&amp;G Labor</t>
  </si>
  <si>
    <t xml:space="preserve">     Transmission O&amp;M Labor</t>
  </si>
  <si>
    <t>Return and Capitalization:</t>
  </si>
  <si>
    <t xml:space="preserve">     Long Term Interest Expense </t>
  </si>
  <si>
    <t xml:space="preserve">     Net Long Term Interest Expense</t>
  </si>
  <si>
    <t xml:space="preserve">     Long Term Debt</t>
  </si>
  <si>
    <t xml:space="preserve">      Less Loss on Reacquired Debt</t>
  </si>
  <si>
    <t xml:space="preserve">      Plus Gain on Reacquired Debt</t>
  </si>
  <si>
    <t xml:space="preserve">     Net Long Term Debt</t>
  </si>
  <si>
    <t>Common Stock Development</t>
  </si>
  <si>
    <t xml:space="preserve">     Proprietary Capital </t>
  </si>
  <si>
    <t xml:space="preserve">     Common Stock</t>
  </si>
  <si>
    <t xml:space="preserve">      Less Account 216.1</t>
  </si>
  <si>
    <t>354.21.b</t>
  </si>
  <si>
    <t>112.24.c</t>
  </si>
  <si>
    <t>111.81.c</t>
  </si>
  <si>
    <t>113.61.c</t>
  </si>
  <si>
    <t>112.16.c</t>
  </si>
  <si>
    <t>112.12.c</t>
  </si>
  <si>
    <t>Weight</t>
  </si>
  <si>
    <t>Cost</t>
  </si>
  <si>
    <t>Weighted Cost</t>
  </si>
  <si>
    <t xml:space="preserve">     Less:  Gen. Step-up Transformers and Interconnection Facilities</t>
  </si>
  <si>
    <t>N/A</t>
  </si>
  <si>
    <t>TP</t>
  </si>
  <si>
    <t>OATT Labor</t>
  </si>
  <si>
    <t>GP</t>
  </si>
  <si>
    <t>Development of Revenue Requirement</t>
  </si>
  <si>
    <t>Expenses</t>
  </si>
  <si>
    <t>TOTAL Transmission Expenses</t>
  </si>
  <si>
    <t xml:space="preserve">    Net Transmission O&amp;M</t>
  </si>
  <si>
    <t xml:space="preserve">     Less (924) Property Insurance</t>
  </si>
  <si>
    <t xml:space="preserve">     Less (928) Regulatory Commission Expense</t>
  </si>
  <si>
    <t xml:space="preserve">     Less (930.1) General Advertising Expenses</t>
  </si>
  <si>
    <t xml:space="preserve">     Net Labor Related A&amp;G</t>
  </si>
  <si>
    <t xml:space="preserve">    (924) Property Insurance</t>
  </si>
  <si>
    <t xml:space="preserve">     Trans. Related Regulatory Expense</t>
  </si>
  <si>
    <t>Depreciation Expense</t>
  </si>
  <si>
    <t>Total Depreciation</t>
  </si>
  <si>
    <t xml:space="preserve">     Transmission Depr. Expense</t>
  </si>
  <si>
    <t>321.112.b</t>
  </si>
  <si>
    <t>323.185.b</t>
  </si>
  <si>
    <t>323.189.b</t>
  </si>
  <si>
    <t>323.191.b</t>
  </si>
  <si>
    <t>D/A</t>
  </si>
  <si>
    <t xml:space="preserve">     Labor Related</t>
  </si>
  <si>
    <t xml:space="preserve">     Property Related</t>
  </si>
  <si>
    <t>Total Other Taxes</t>
  </si>
  <si>
    <t>Return</t>
  </si>
  <si>
    <t>Income Taxes</t>
  </si>
  <si>
    <t xml:space="preserve">     NC/SC Composite</t>
  </si>
  <si>
    <t xml:space="preserve">     Federal </t>
  </si>
  <si>
    <t xml:space="preserve">     Tax Rev. Req't Factor = T/(1-T) * (1 - Wtd.Debt.Cost/R)</t>
  </si>
  <si>
    <t>Total Income Taxes</t>
  </si>
  <si>
    <t>336.1.f</t>
  </si>
  <si>
    <t>266.8.f</t>
  </si>
  <si>
    <t>NP</t>
  </si>
  <si>
    <t>Summary of Rates</t>
  </si>
  <si>
    <t>OATT</t>
  </si>
  <si>
    <t>Revenue Credits:</t>
  </si>
  <si>
    <t>Total Revenue Credits</t>
  </si>
  <si>
    <t>Interest Disbursed w/ Network Prepay Refunds</t>
  </si>
  <si>
    <t>On-Peak Days</t>
  </si>
  <si>
    <t>Off-Peak Days</t>
  </si>
  <si>
    <t xml:space="preserve">     Less:  Transmission under 44KV</t>
  </si>
  <si>
    <t>Transmission Rate Formula Support</t>
  </si>
  <si>
    <t>Deferred Income Tax Balances - GL Account 190</t>
  </si>
  <si>
    <t>123R stock option</t>
  </si>
  <si>
    <t>Employee Benefits</t>
  </si>
  <si>
    <t>Environmental</t>
  </si>
  <si>
    <t>Hedging</t>
  </si>
  <si>
    <t>OPEB</t>
  </si>
  <si>
    <t>Phantom Stk Awards</t>
  </si>
  <si>
    <t>Severance Accrual</t>
  </si>
  <si>
    <t>Surplus Inventory Write-off</t>
  </si>
  <si>
    <t>Surplus Inventory Write-off - Current</t>
  </si>
  <si>
    <t>OATT Amount</t>
  </si>
  <si>
    <t>Allocation</t>
  </si>
  <si>
    <t>Factor</t>
  </si>
  <si>
    <t>GL Balance</t>
  </si>
  <si>
    <t>Dr(Cr)</t>
  </si>
  <si>
    <t>GP=</t>
  </si>
  <si>
    <t>NP=</t>
  </si>
  <si>
    <t>Deferred Income Tax Balances - GL Account 283</t>
  </si>
  <si>
    <t>Thorpe Rewind</t>
  </si>
  <si>
    <t>Bond Loss Amoritization</t>
  </si>
  <si>
    <t>Auction Rate securities</t>
  </si>
  <si>
    <t>Other</t>
  </si>
  <si>
    <t>Production</t>
  </si>
  <si>
    <t>Distribution</t>
  </si>
  <si>
    <t>Company Records</t>
  </si>
  <si>
    <t>Pension Cost Adj (ODC)</t>
  </si>
  <si>
    <t>Transmission of Electricity for Others</t>
  </si>
  <si>
    <t>Classification</t>
  </si>
  <si>
    <t>Total Revenue</t>
  </si>
  <si>
    <t>Revenue</t>
  </si>
  <si>
    <t>Ancillary/Other</t>
  </si>
  <si>
    <t>Payment by</t>
  </si>
  <si>
    <t>Form 1</t>
  </si>
  <si>
    <t>(Column (b))</t>
  </si>
  <si>
    <t>(Column (d))</t>
  </si>
  <si>
    <t>(Column (k))</t>
  </si>
  <si>
    <t>(Column (m))</t>
  </si>
  <si>
    <t>(Column (n))</t>
  </si>
  <si>
    <t>Calpine Power Services Company</t>
  </si>
  <si>
    <t>The Energy Authority</t>
  </si>
  <si>
    <t>Westar Energy</t>
  </si>
  <si>
    <t>OS</t>
  </si>
  <si>
    <t>SFP</t>
  </si>
  <si>
    <t>LFP</t>
  </si>
  <si>
    <t xml:space="preserve">Energy </t>
  </si>
  <si>
    <t>Charges</t>
  </si>
  <si>
    <t>(Column (l))</t>
  </si>
  <si>
    <t>North Carolina Municipal Power Agency 1</t>
  </si>
  <si>
    <t>City of Seneca</t>
  </si>
  <si>
    <t>Total Per Form 1</t>
  </si>
  <si>
    <t>Account 454 Reconciliation - Rents</t>
  </si>
  <si>
    <t>Amount</t>
  </si>
  <si>
    <t>North Carolina</t>
  </si>
  <si>
    <t>0454200 - Pole and Line Attachments</t>
  </si>
  <si>
    <t>0454300 - Tower Lease Revenues</t>
  </si>
  <si>
    <t>0454400 - Other Electric Rents</t>
  </si>
  <si>
    <t>0454500 - Leased Facilities Fee - Catawba</t>
  </si>
  <si>
    <t>0454510 - Return and Dep - Catawba Gen Plt</t>
  </si>
  <si>
    <t>117.62-67.c</t>
  </si>
  <si>
    <t xml:space="preserve">     Acct 454 - Allocable to Transmission</t>
  </si>
  <si>
    <t>Gross Revenue Requirement</t>
  </si>
  <si>
    <t>200.21.c</t>
  </si>
  <si>
    <t xml:space="preserve">     Intangible Amortization</t>
  </si>
  <si>
    <t>335.1-3.b</t>
  </si>
  <si>
    <t>Trans Labor Factor (Line 9/Line 8)</t>
  </si>
  <si>
    <t>336.7.f</t>
  </si>
  <si>
    <t xml:space="preserve">     Amortized ITC (Negative)</t>
  </si>
  <si>
    <t>NOTES:</t>
  </si>
  <si>
    <t>(B) FERC Form 1 page 214 excluding non-transmission related items</t>
  </si>
  <si>
    <t>Note B</t>
  </si>
  <si>
    <t xml:space="preserve">     Accum Provision for I&amp;D (228.2)</t>
  </si>
  <si>
    <t>112.28.c</t>
  </si>
  <si>
    <t xml:space="preserve">Transmission Loss Factor </t>
  </si>
  <si>
    <t>Ending Balance</t>
  </si>
  <si>
    <t>Beginning Balance</t>
  </si>
  <si>
    <t xml:space="preserve">     Less Industry Dues, R&amp;D and Nuc Assoc Exp</t>
  </si>
  <si>
    <t>Revenue Requirement - Customer Owned Facilities</t>
  </si>
  <si>
    <t xml:space="preserve">Total Transmission Revenue Requirement </t>
  </si>
  <si>
    <t>Divisor - 12 Month Average Transmission Peak</t>
  </si>
  <si>
    <t xml:space="preserve">FAS 112 </t>
  </si>
  <si>
    <t xml:space="preserve">OPEB </t>
  </si>
  <si>
    <t>FAS 87 - employee qualified plan</t>
  </si>
  <si>
    <t xml:space="preserve">     Acct 456.1 - NF+STF x/Ancillaries, GridSouth</t>
  </si>
  <si>
    <t>OATT Transmission  Rate Formula Template Using Form 1-Data</t>
  </si>
  <si>
    <t>OATT Transmission Rate Formula Template Using Form 1-Data</t>
  </si>
  <si>
    <t>Gridsouth Investment NC Retail</t>
  </si>
  <si>
    <t>FAS 109</t>
  </si>
  <si>
    <t xml:space="preserve">ARO </t>
  </si>
  <si>
    <t>Nantahala Rewind</t>
  </si>
  <si>
    <t>Section 124</t>
  </si>
  <si>
    <t>NC DSM Regulatory Asset</t>
  </si>
  <si>
    <t>Pension Cost Adj</t>
  </si>
  <si>
    <t>I and D Extraordinary</t>
  </si>
  <si>
    <t>DPC OPEB FAS 106</t>
  </si>
  <si>
    <t>DPC Pos EMP FAS 112</t>
  </si>
  <si>
    <t>0454100 - Extra - Facilities</t>
  </si>
  <si>
    <t xml:space="preserve">Adjustments to Rate Base </t>
  </si>
  <si>
    <t xml:space="preserve">      Net Rate Base Adjustments</t>
  </si>
  <si>
    <t>Note G</t>
  </si>
  <si>
    <t>1a</t>
  </si>
  <si>
    <t>2a</t>
  </si>
  <si>
    <t>7a</t>
  </si>
  <si>
    <t>8a</t>
  </si>
  <si>
    <t xml:space="preserve">          Production Contra AFUDC</t>
  </si>
  <si>
    <t xml:space="preserve">          Transmission Contra AFUDC</t>
  </si>
  <si>
    <t>Explanatory Notes</t>
  </si>
  <si>
    <t>7b</t>
  </si>
  <si>
    <t>0454110 - Inter-connection-Cogeneration</t>
  </si>
  <si>
    <t>City of Concord</t>
  </si>
  <si>
    <t>Greenwood Commissioners of Public Works</t>
  </si>
  <si>
    <t>Haywood Electric Membership Corporation</t>
  </si>
  <si>
    <t>Piedmont Municipal Power Agency</t>
  </si>
  <si>
    <t>Demand</t>
  </si>
  <si>
    <t>Allen Environmental Compliance</t>
  </si>
  <si>
    <t>Energy Efficiency Program Cost Deferral -SC</t>
  </si>
  <si>
    <t>Energy Efficiency Program Cost Deferral -NC</t>
  </si>
  <si>
    <t>263.i, 263.1.i</t>
  </si>
  <si>
    <t>Attachment I</t>
  </si>
  <si>
    <t>GridSouth Amortization</t>
  </si>
  <si>
    <t>Wholesale Allocation Factor</t>
  </si>
  <si>
    <t xml:space="preserve">     Firm Network Service for Others</t>
  </si>
  <si>
    <t>400.17.f</t>
  </si>
  <si>
    <t>400.17.g</t>
  </si>
  <si>
    <t xml:space="preserve">     Other Service</t>
  </si>
  <si>
    <t>400.17.j</t>
  </si>
  <si>
    <t xml:space="preserve">     Firm Network Service for Self</t>
  </si>
  <si>
    <t>400.17.e</t>
  </si>
  <si>
    <t>1b</t>
  </si>
  <si>
    <t xml:space="preserve">1c </t>
  </si>
  <si>
    <t>205.15.g, 205.24.g, 205.34.g, 205.44.g</t>
  </si>
  <si>
    <t>4a</t>
  </si>
  <si>
    <t>or inclusion of CWIP in rate base for wholesale jurisdiction but not retail.</t>
  </si>
  <si>
    <t>R &amp; D Tax Credit</t>
  </si>
  <si>
    <t>(A) Contra AFUDC adjustments may relate to inclusion of CWIP in rate base for retail jurisdictions but not wholesale,</t>
  </si>
  <si>
    <t xml:space="preserve">    15a</t>
  </si>
  <si>
    <t xml:space="preserve">          Add Transmission Contra AFUDC</t>
  </si>
  <si>
    <t xml:space="preserve">          Eliminate Production ARO</t>
  </si>
  <si>
    <t xml:space="preserve">          Eliminate Production ARO Accum Depreciation</t>
  </si>
  <si>
    <t xml:space="preserve">          Eliminate General ARO</t>
  </si>
  <si>
    <t xml:space="preserve">          Eliminate General ARO Accum Depreciation</t>
  </si>
  <si>
    <t xml:space="preserve">Other Regulatory Assets - Acct 182.3  </t>
  </si>
  <si>
    <t>Attachment B</t>
  </si>
  <si>
    <t>Attachment C</t>
  </si>
  <si>
    <t>Attachment D</t>
  </si>
  <si>
    <t>Attachment F</t>
  </si>
  <si>
    <t>Attachment G</t>
  </si>
  <si>
    <t>Attachment K</t>
  </si>
  <si>
    <t>Attachment H</t>
  </si>
  <si>
    <t xml:space="preserve">Total GL Account 190 </t>
  </si>
  <si>
    <t>PP&amp;E - Transmission</t>
  </si>
  <si>
    <t>PP&amp;E  - General</t>
  </si>
  <si>
    <t>Attachment J</t>
  </si>
  <si>
    <t>Cash</t>
  </si>
  <si>
    <t>Payments</t>
  </si>
  <si>
    <t xml:space="preserve">Accrued </t>
  </si>
  <si>
    <t>Interest</t>
  </si>
  <si>
    <t>Liability</t>
  </si>
  <si>
    <t>Test Year Refund History:</t>
  </si>
  <si>
    <t>Allocation of Amount Refunded</t>
  </si>
  <si>
    <t>Service</t>
  </si>
  <si>
    <t>Current</t>
  </si>
  <si>
    <t>Ending</t>
  </si>
  <si>
    <t>Month</t>
  </si>
  <si>
    <t>Refunded</t>
  </si>
  <si>
    <t>Prepayment</t>
  </si>
  <si>
    <t>Liability Balance</t>
  </si>
  <si>
    <t>ATRR True up from previous year (Network)</t>
  </si>
  <si>
    <t>ATRR True up from previous year (PTP)</t>
  </si>
  <si>
    <t>Allocation of Balance Refunds</t>
  </si>
  <si>
    <t>Interest Disbursed</t>
  </si>
  <si>
    <t>Allocation of Ending Balance</t>
  </si>
  <si>
    <t>Account 454.3 Reconciliation - Tower Lease Revenues</t>
  </si>
  <si>
    <t>Revenues  -0454300</t>
  </si>
  <si>
    <t xml:space="preserve">Less: Direct Costs </t>
  </si>
  <si>
    <t>Net Revenues Before Taxes</t>
  </si>
  <si>
    <t>Composite Tax Rate</t>
  </si>
  <si>
    <t xml:space="preserve">After Tax Net Revenues </t>
  </si>
  <si>
    <t>TP Allocator</t>
  </si>
  <si>
    <t xml:space="preserve">Adjusted Net Revenues </t>
  </si>
  <si>
    <t>Revenue Sharing Percent</t>
  </si>
  <si>
    <t>Revenue Credit Amount</t>
  </si>
  <si>
    <t>Tower Lease Revenue Net Margin</t>
  </si>
  <si>
    <t>Tower Lease Revenue Reported in Formula</t>
  </si>
  <si>
    <t>Tower Lease Revenue Adjustment to Formula</t>
  </si>
  <si>
    <t>Line 1 - Line 2</t>
  </si>
  <si>
    <t>Line 5 * Line 6</t>
  </si>
  <si>
    <t>Line 10 - Line 11</t>
  </si>
  <si>
    <t>Line 9</t>
  </si>
  <si>
    <t>Line 19 - Line 20</t>
  </si>
  <si>
    <t xml:space="preserve">O&amp;M Expense </t>
  </si>
  <si>
    <t>(D) Includes percentage of SC Franchise tax that is related to property</t>
  </si>
  <si>
    <t>(E) Determined by annual apportionment factors provided by Tax Department</t>
  </si>
  <si>
    <t>(F) Analysis of Company records of Interconnection facilities built after March 15, 2000.</t>
  </si>
  <si>
    <t>Taxes Other Than Income (Note C)</t>
  </si>
  <si>
    <t>263.i - Note D</t>
  </si>
  <si>
    <t>Note E</t>
  </si>
  <si>
    <t>(I) Amounts in Gross Plant that are not provided by investor funds are excluded.  These include FAS 109 and ARO</t>
  </si>
  <si>
    <t>10a</t>
  </si>
  <si>
    <t>Attachment E</t>
  </si>
  <si>
    <t xml:space="preserve">Attachment G </t>
  </si>
  <si>
    <t xml:space="preserve">     Less Account 561.1, 561.2, 561.3, 561.4 &amp; 565</t>
  </si>
  <si>
    <t>4b</t>
  </si>
  <si>
    <t xml:space="preserve">          Eliminate System Operating Center (SOC)</t>
  </si>
  <si>
    <t>10b</t>
  </si>
  <si>
    <t xml:space="preserve">          Eliminate SOC Accum Depreciation</t>
  </si>
  <si>
    <t xml:space="preserve">     Less Property Insurance allocated to SOC</t>
  </si>
  <si>
    <t xml:space="preserve">    16a</t>
  </si>
  <si>
    <t xml:space="preserve">    10a</t>
  </si>
  <si>
    <t xml:space="preserve">     Less General Depreciation allocated to SOC</t>
  </si>
  <si>
    <t xml:space="preserve">     Less Property Related allocated to SOC</t>
  </si>
  <si>
    <t>(M) The wholesale allocation factor for GridSouth will be set at the 2009 Transmission peak.</t>
  </si>
  <si>
    <t>PP&amp;E - Production &amp; Distribution</t>
  </si>
  <si>
    <t>PP&amp;E  - Intangible</t>
  </si>
  <si>
    <t>Total GridSouth costs as of 12/31/2003</t>
  </si>
  <si>
    <t>Wholesale allocated portion of GridSouth</t>
  </si>
  <si>
    <t>Attachment L</t>
  </si>
  <si>
    <t>Project Description</t>
  </si>
  <si>
    <t>SOC Migration</t>
  </si>
  <si>
    <t>Acquire/Maintain</t>
  </si>
  <si>
    <t>Fleet Svcs Fleet Management Sy</t>
  </si>
  <si>
    <t>DP&amp;S</t>
  </si>
  <si>
    <t>TWAMS Capital UT Top</t>
  </si>
  <si>
    <t>Mobile Atlas(MapLink)</t>
  </si>
  <si>
    <t>Prioritization Tool - Asset</t>
  </si>
  <si>
    <t>Data Log Aggregation SW</t>
  </si>
  <si>
    <t>TCC Migration Phase 1</t>
  </si>
  <si>
    <t>OE Express Core Pay Track</t>
  </si>
  <si>
    <t>OE Express PE Hardware Costs</t>
  </si>
  <si>
    <t>FMIS Release 2</t>
  </si>
  <si>
    <t>Financial System Replacement</t>
  </si>
  <si>
    <t>FMIS Release 1</t>
  </si>
  <si>
    <t>YEAR 2000 Platinum Tools</t>
  </si>
  <si>
    <t>Assistance Agency Portal Capit</t>
  </si>
  <si>
    <t>Database Maintenance Tools</t>
  </si>
  <si>
    <t>OE Express Release 2B</t>
  </si>
  <si>
    <t>FMIS Rel 3 Accounting</t>
  </si>
  <si>
    <t>Tivoli SW Purchase</t>
  </si>
  <si>
    <t>OE Express System Enhancements</t>
  </si>
  <si>
    <t>FMIS Release 3</t>
  </si>
  <si>
    <t>OE Express Release 1</t>
  </si>
  <si>
    <t>BPM Software</t>
  </si>
  <si>
    <t>UOF-Charlotte-Software</t>
  </si>
  <si>
    <t>Ebill Proj Software</t>
  </si>
  <si>
    <t>Phoenix Phases 1-4</t>
  </si>
  <si>
    <t>Special Agency Assisstance Portal</t>
  </si>
  <si>
    <t>Witness Software</t>
  </si>
  <si>
    <t>Phoenix Phase 5</t>
  </si>
  <si>
    <t>Phoenix Phase 6</t>
  </si>
  <si>
    <t>In House Software-Acct System</t>
  </si>
  <si>
    <t>In House Software-Cash Mgmt</t>
  </si>
  <si>
    <t>Franklin Franchise</t>
  </si>
  <si>
    <t>Attachment M</t>
  </si>
  <si>
    <t>Schedule 1 Duke Energy Carolinas Revenue Requirements</t>
  </si>
  <si>
    <t>Total Net SOC</t>
  </si>
  <si>
    <t>Total Rate Base</t>
  </si>
  <si>
    <t>Total Load Dispatch &amp; Scheduling Expense- Accounts 561.1 - 561.4</t>
  </si>
  <si>
    <t>Depreciation Expense on SOC</t>
  </si>
  <si>
    <t>Property Insurance on SOC</t>
  </si>
  <si>
    <t>Property Related Taxes Other than Income on SOC</t>
  </si>
  <si>
    <t>Total Expenses</t>
  </si>
  <si>
    <t>Return on Rate Base</t>
  </si>
  <si>
    <t>Total Revenue Requirement</t>
  </si>
  <si>
    <t>Less:  Non- Firm PTP Service Credit (prior year Sched 1 revenue from non-firm PTP transactions)</t>
  </si>
  <si>
    <t>Attachment N</t>
  </si>
  <si>
    <t>Intangibles - Amortization Expense</t>
  </si>
  <si>
    <t>Intangibles - Accumulated Amortization</t>
  </si>
  <si>
    <t>Line 2 / 7 years</t>
  </si>
  <si>
    <t>Annual Amortization at System Level</t>
  </si>
  <si>
    <t>Annual Amortization  - Wholesale</t>
  </si>
  <si>
    <t>336.10.f</t>
  </si>
  <si>
    <t>Schedule 1</t>
  </si>
  <si>
    <t>Attachment A</t>
  </si>
  <si>
    <t>TOTAL</t>
  </si>
  <si>
    <t>Amortization Expense on SOC</t>
  </si>
  <si>
    <t>2b</t>
  </si>
  <si>
    <t xml:space="preserve">          Plus Capital Additions</t>
  </si>
  <si>
    <t xml:space="preserve">8b </t>
  </si>
  <si>
    <t xml:space="preserve">          Plus Accumulated Depreciation on Capital Additions</t>
  </si>
  <si>
    <t>205.46.g</t>
  </si>
  <si>
    <t xml:space="preserve"> 207.58.g</t>
  </si>
  <si>
    <t>207.75.g</t>
  </si>
  <si>
    <t>207.99.g</t>
  </si>
  <si>
    <t>207.98.g</t>
  </si>
  <si>
    <t>205.5.g</t>
  </si>
  <si>
    <t>234.18.c</t>
  </si>
  <si>
    <t>275.9.k</t>
  </si>
  <si>
    <t>277.19.k</t>
  </si>
  <si>
    <t>Projected Annual Revenue Requirement</t>
  </si>
  <si>
    <t>DEC- Projected Rate</t>
  </si>
  <si>
    <t>DEC-Projected Rate</t>
  </si>
  <si>
    <t>Attachment O</t>
  </si>
  <si>
    <t>Worksheet Supporting Transmission Plant in Service Additions</t>
  </si>
  <si>
    <t>Calculation of Composite Depreciation Rate</t>
  </si>
  <si>
    <t>Composite Depreciation Rate</t>
  </si>
  <si>
    <t xml:space="preserve">          Add Transmission Projected Depreciation Expense</t>
  </si>
  <si>
    <t xml:space="preserve">      2a</t>
  </si>
  <si>
    <t xml:space="preserve">     Trans. Related Advertising Expense</t>
  </si>
  <si>
    <t xml:space="preserve">     General Depreciation Expense</t>
  </si>
  <si>
    <t>Amounts Not Allocated to Transmission</t>
  </si>
  <si>
    <t>SOC Allocation Factor Calculation</t>
  </si>
  <si>
    <t xml:space="preserve">     SOC Gross Plant</t>
  </si>
  <si>
    <t xml:space="preserve">     Gross General Plant</t>
  </si>
  <si>
    <t>Line 1</t>
  </si>
  <si>
    <t xml:space="preserve">     SOC GP Allocation Factor</t>
  </si>
  <si>
    <t xml:space="preserve">     System Gross Plant (Including SOC)</t>
  </si>
  <si>
    <t xml:space="preserve">     SOC System Allocation Factor</t>
  </si>
  <si>
    <t>PTP Trans. Rev Req't Rate $/kW - Year</t>
  </si>
  <si>
    <t>PTP Demand Rate $/kW- Mth</t>
  </si>
  <si>
    <t>Weekly Firm/Non-Firm PTP Rate $/kW - Week</t>
  </si>
  <si>
    <t>Daily Firm/Non-Firm PTP Rates ($/kW):</t>
  </si>
  <si>
    <t>Non-Firm Hourly PTP Rates ($/kW):</t>
  </si>
  <si>
    <t>Page 3, Line 14 /8</t>
  </si>
  <si>
    <t>232.44.f</t>
  </si>
  <si>
    <t xml:space="preserve">     Total Capitalization (Sum Lines 17 and 20)</t>
  </si>
  <si>
    <t>Total GL Account 282</t>
  </si>
  <si>
    <t>Total GL Account 283</t>
  </si>
  <si>
    <t>Total GL Account 182.3</t>
  </si>
  <si>
    <t>Accumulated Provisions for Injuries and Damages - GL Account 228.2</t>
  </si>
  <si>
    <t>Total GL Account 228.2</t>
  </si>
  <si>
    <t>Total GL Account 228.3</t>
  </si>
  <si>
    <t>Accumulated Provisions for Pensions and Benefits  - GL Account 228.3</t>
  </si>
  <si>
    <t>Total GL Account 454</t>
  </si>
  <si>
    <t>Page 3, Line 25</t>
  </si>
  <si>
    <t>Page 4, Line 5</t>
  </si>
  <si>
    <t>Line 12 - (Line 12*Line 13)</t>
  </si>
  <si>
    <t>Line 14 * Line 15</t>
  </si>
  <si>
    <t>Line 16 * Line 17</t>
  </si>
  <si>
    <t>Line 18</t>
  </si>
  <si>
    <t xml:space="preserve"> Customer Prepayment for Network Upgrades Detail</t>
  </si>
  <si>
    <t xml:space="preserve">Transmission Rate Formula Support </t>
  </si>
  <si>
    <t>Intangibles - Gross Plant - GL Accounts 302 and 303</t>
  </si>
  <si>
    <t>Line</t>
  </si>
  <si>
    <t xml:space="preserve">Page 3, Line 10a </t>
  </si>
  <si>
    <t>Line (1:1c) - Line (7:7b)</t>
  </si>
  <si>
    <t>Line (2:2b) - Line (8:8b)</t>
  </si>
  <si>
    <t>Line (4:4b) - Line (10:10b)</t>
  </si>
  <si>
    <t>Annual PTP Rate $/kW - Year</t>
  </si>
  <si>
    <t>Annual PTP Rate $/kW - Week</t>
  </si>
  <si>
    <t>Annual PTP Rate $/kW - Mth</t>
  </si>
  <si>
    <t>Annual PTP Rate $/kW - Day</t>
  </si>
  <si>
    <t>Annual PTP Rate $/kW - Hour</t>
  </si>
  <si>
    <t>Page 2, Line 4</t>
  </si>
  <si>
    <t>DEC - Historic Rate, ATRR True Up Line 6</t>
  </si>
  <si>
    <t>DEC - Historic Rate, ATRR True Up Line 14</t>
  </si>
  <si>
    <t>Note K</t>
  </si>
  <si>
    <t>12 Month Average Transmission Peak</t>
  </si>
  <si>
    <t>DEC Historical Rate - Schedule 1 True Up, Line 7</t>
  </si>
  <si>
    <t>DEC Historical Rate - Schedule 1 True Up, Line 15</t>
  </si>
  <si>
    <t>ARR True Up Amount from previous year (Network)</t>
  </si>
  <si>
    <t>ARR True Up Amount from previous year (PTP)</t>
  </si>
  <si>
    <t>System Operating Center (SOC)Gross Plant</t>
  </si>
  <si>
    <t>NCEMC Anson Co. Project</t>
  </si>
  <si>
    <t>OATT Labor Allocator (Line 5*Line 10)</t>
  </si>
  <si>
    <t xml:space="preserve">     Acccum Provision for P&amp;B (182.3 &amp; 228.3)</t>
  </si>
  <si>
    <t xml:space="preserve">Line 2 *  Page 4, Line 11 </t>
  </si>
  <si>
    <t xml:space="preserve">Revenue Credit </t>
  </si>
  <si>
    <t>Adjusted Revenue Credit</t>
  </si>
  <si>
    <t>Revenue Credit in other components of Formula</t>
  </si>
  <si>
    <t xml:space="preserve">     Long Term PTP Reservations</t>
  </si>
  <si>
    <t>Page 2, Line 10b</t>
  </si>
  <si>
    <t>Page 2, Lines 2 thru 2b</t>
  </si>
  <si>
    <t>SOC Intangible Plant</t>
  </si>
  <si>
    <t>Less:  SOC Accumulated Depreciation Gross Plant</t>
  </si>
  <si>
    <t>Less:  SOC Accumulated Depreciation Intangible Plant</t>
  </si>
  <si>
    <t xml:space="preserve">     Materials &amp; Supplies - Transmission</t>
  </si>
  <si>
    <t xml:space="preserve">     Materials &amp; Supplies - Stores Expense</t>
  </si>
  <si>
    <t>Transmission Incentives</t>
  </si>
  <si>
    <t>(Line 1 - Line 4 + Line 5 + Line 6 + Line 7+ Line 8)</t>
  </si>
  <si>
    <t>Line 12 + Line 13</t>
  </si>
  <si>
    <t>Line 12 + Line 15</t>
  </si>
  <si>
    <t>Line 16 / Line 17 / 1000</t>
  </si>
  <si>
    <t>Line 18/12</t>
  </si>
  <si>
    <t>Line 18/ 52 weeks</t>
  </si>
  <si>
    <t>Line 20 / 5 days</t>
  </si>
  <si>
    <t>Line 20 / 7 days</t>
  </si>
  <si>
    <t>Line 21 / 16hrs</t>
  </si>
  <si>
    <t>Line 22/ 24hrs</t>
  </si>
  <si>
    <t>CWIP for Transmission Projects</t>
  </si>
  <si>
    <t>Unamortized Abandoned Plant</t>
  </si>
  <si>
    <t>Page 3, Line 33</t>
  </si>
  <si>
    <t xml:space="preserve">          Add Amortization of Abandoned Plant</t>
  </si>
  <si>
    <t>15b</t>
  </si>
  <si>
    <t xml:space="preserve">    15c</t>
  </si>
  <si>
    <t xml:space="preserve">     Extraordinary Property Loss</t>
  </si>
  <si>
    <t xml:space="preserve">    21a</t>
  </si>
  <si>
    <t xml:space="preserve">     Income Taxes Calculated (Line 23 * Line 27)</t>
  </si>
  <si>
    <t>TOTAL REVENUE REQUIREMENT (Sum of Lines 14, 19, 22, 23, and 32)</t>
  </si>
  <si>
    <t xml:space="preserve">     ITC Adjustment (Line 28 * Line 29)</t>
  </si>
  <si>
    <t>(T)  DEC must make the appropriate filing at FERC before inputting or changing amounts associated with Transmission Incentives</t>
  </si>
  <si>
    <t>(U) Revenue Tax Rate shall equal 1.0 minus the applicable revenue or gross receipts tax rate(s) to which Duke is subject for the revenue</t>
  </si>
  <si>
    <t>Note T</t>
  </si>
  <si>
    <t>Note U</t>
  </si>
  <si>
    <t>Note P</t>
  </si>
  <si>
    <t>Note Q</t>
  </si>
  <si>
    <t>Note R</t>
  </si>
  <si>
    <t xml:space="preserve">     Less:  NERC/SERC Fees related to Retail Load</t>
  </si>
  <si>
    <t xml:space="preserve">     Less:  Scheduling Fees Associated with Off-system Sales</t>
  </si>
  <si>
    <t xml:space="preserve">             8a</t>
  </si>
  <si>
    <t xml:space="preserve">             8c</t>
  </si>
  <si>
    <t xml:space="preserve">             8b</t>
  </si>
  <si>
    <t>(Line 23 / Line 24/1000)</t>
  </si>
  <si>
    <t>Line 19 + Line 22</t>
  </si>
  <si>
    <t>Sum Line 19 + Line 20</t>
  </si>
  <si>
    <t>Sum (Line 10: Line 12)</t>
  </si>
  <si>
    <t>Line 7 *Page 4, Line 24</t>
  </si>
  <si>
    <t>Sum (Line 1: Line 4)</t>
  </si>
  <si>
    <t>Line 5 + Line 6</t>
  </si>
  <si>
    <t>3a</t>
  </si>
  <si>
    <t xml:space="preserve">     Common Stock (Note V)</t>
  </si>
  <si>
    <t>Related Depreciation Expense Using 1/2 Year Convention</t>
  </si>
  <si>
    <t>Total Depreciation Expense</t>
  </si>
  <si>
    <t>(Line 1 * Line 2)</t>
  </si>
  <si>
    <t>1/2 Year Depreciation Expense</t>
  </si>
  <si>
    <t>Line 3 / 2</t>
  </si>
  <si>
    <t>Attachment D and Attachment E</t>
  </si>
  <si>
    <t>Attachment D and Attachment F</t>
  </si>
  <si>
    <t>355.65.b, Note H</t>
  </si>
  <si>
    <t>354.27.b, Note H</t>
  </si>
  <si>
    <t>Attachment P</t>
  </si>
  <si>
    <t>Weighted Depreciation Rates</t>
  </si>
  <si>
    <t>Depreciable Group</t>
  </si>
  <si>
    <t>Description</t>
  </si>
  <si>
    <t>Rate</t>
  </si>
  <si>
    <t>Transmission - Land Rights</t>
  </si>
  <si>
    <t xml:space="preserve">Transmission </t>
  </si>
  <si>
    <t>General-Land Rights</t>
  </si>
  <si>
    <t>General-EDP</t>
  </si>
  <si>
    <t>Miscellaneous Equipment</t>
  </si>
  <si>
    <t>Transmission Rate Base</t>
  </si>
  <si>
    <t>Attachment Q</t>
  </si>
  <si>
    <t>deprec</t>
  </si>
  <si>
    <t xml:space="preserve">weighted </t>
  </si>
  <si>
    <t>number of</t>
  </si>
  <si>
    <t>rate from</t>
  </si>
  <si>
    <t>years from</t>
  </si>
  <si>
    <t xml:space="preserve"> annual depr</t>
  </si>
  <si>
    <t>first yr.</t>
  </si>
  <si>
    <t>CO date</t>
  </si>
  <si>
    <t>rate</t>
  </si>
  <si>
    <t>accum</t>
  </si>
  <si>
    <t>expense</t>
  </si>
  <si>
    <t>partial</t>
  </si>
  <si>
    <t>thru</t>
  </si>
  <si>
    <t>effective</t>
  </si>
  <si>
    <t>year ending</t>
  </si>
  <si>
    <t>ending</t>
  </si>
  <si>
    <t>beginning</t>
  </si>
  <si>
    <t>year</t>
  </si>
  <si>
    <t>(B)*(E)*(H)</t>
  </si>
  <si>
    <t>B*G</t>
  </si>
  <si>
    <t>I+J</t>
  </si>
  <si>
    <t>B*F</t>
  </si>
  <si>
    <t>K+(L*M)</t>
  </si>
  <si>
    <t>N+(C*O*P)</t>
  </si>
  <si>
    <t>T-R</t>
  </si>
  <si>
    <t>R+(C*P)</t>
  </si>
  <si>
    <t>W-T</t>
  </si>
  <si>
    <t>T+(C*U)</t>
  </si>
  <si>
    <t xml:space="preserve">  Production contra afudc</t>
  </si>
  <si>
    <t>McGuire 1</t>
  </si>
  <si>
    <t>McGuire 2</t>
  </si>
  <si>
    <t>Radwaste</t>
  </si>
  <si>
    <t>Total</t>
  </si>
  <si>
    <t xml:space="preserve">  Transmission contra afudc</t>
  </si>
  <si>
    <t>Total contra afudc</t>
  </si>
  <si>
    <t>(W)  Account 108.499 from general ledger</t>
  </si>
  <si>
    <t>561.1- 561.4 Break Down</t>
  </si>
  <si>
    <t>Schedule 1 Line 1</t>
  </si>
  <si>
    <t>Note F</t>
  </si>
  <si>
    <t>Note X</t>
  </si>
  <si>
    <t>321.85.b:321.88.b</t>
  </si>
  <si>
    <t>Attachment R</t>
  </si>
  <si>
    <t>ARO Nuclear Accum Depr -Nuc</t>
  </si>
  <si>
    <t>Total ARO</t>
  </si>
  <si>
    <t>Total O&amp;M (Sum of lines 3, 9, and 10 thru 13a)</t>
  </si>
  <si>
    <t>Note L</t>
  </si>
  <si>
    <t>Projected Capital Additions*</t>
  </si>
  <si>
    <t>Attachment S1</t>
  </si>
  <si>
    <t xml:space="preserve">Attachment I </t>
  </si>
  <si>
    <t xml:space="preserve">Annual Transmission Revenue Requirement </t>
  </si>
  <si>
    <t>Projected Annual Revenue Requirement (Network)</t>
  </si>
  <si>
    <t>Projected Annual Revenue Requirement (PTP)</t>
  </si>
  <si>
    <t>Projected Annual Transmission Revenue Requirement (PTP)</t>
  </si>
  <si>
    <t>Projected Annual Transmission Revenue Requirement (Network)</t>
  </si>
  <si>
    <t>Contra AFUDC Amount</t>
  </si>
  <si>
    <t>Commercial Operation Date</t>
  </si>
  <si>
    <t xml:space="preserve">     Less amounts:</t>
  </si>
  <si>
    <t xml:space="preserve">          Control center assets included in Transmission Service Revenue Requirement</t>
  </si>
  <si>
    <t xml:space="preserve">          Reliability Council fees related to retail service</t>
  </si>
  <si>
    <t xml:space="preserve">          Scheduling fees paid for off-system sales</t>
  </si>
  <si>
    <t>Load Dispatch and Scheduling Expense included in Schedule 1</t>
  </si>
  <si>
    <t>Total Accounts 561.1-561.4 (321.85.b:321.88.b)</t>
  </si>
  <si>
    <t>207.86.g</t>
  </si>
  <si>
    <t>207.87.g</t>
  </si>
  <si>
    <t>207.88.g</t>
  </si>
  <si>
    <t>207.89.g</t>
  </si>
  <si>
    <t>207.90.g</t>
  </si>
  <si>
    <t>207.91.g</t>
  </si>
  <si>
    <t>207.92.g</t>
  </si>
  <si>
    <t>207.93.g</t>
  </si>
  <si>
    <t>207.94.g</t>
  </si>
  <si>
    <t>207.95.g</t>
  </si>
  <si>
    <t>207.97.g</t>
  </si>
  <si>
    <t>Account</t>
  </si>
  <si>
    <t>(389) Land and Land Rights</t>
  </si>
  <si>
    <t>(390) Structures and Improvements</t>
  </si>
  <si>
    <t>(391) Office Furniture and Equipment</t>
  </si>
  <si>
    <t>(392) Transportation Equipment</t>
  </si>
  <si>
    <t>(393) Stores Equipment</t>
  </si>
  <si>
    <t>(394) Tools, Shop and Garage Equipment</t>
  </si>
  <si>
    <t>(395) Laboratory Equipment</t>
  </si>
  <si>
    <t>(396) Power Operated Equipment</t>
  </si>
  <si>
    <t>(397) Communication Equipment</t>
  </si>
  <si>
    <t>(398) Miscellaneous Equipment</t>
  </si>
  <si>
    <t>(399) Other Tangible Property</t>
  </si>
  <si>
    <t>(399.1) Asset Reitrement Costs for General Plant</t>
  </si>
  <si>
    <t>Total General Plant</t>
  </si>
  <si>
    <t>Amounts Related to System Operating Center</t>
  </si>
  <si>
    <t>Remaining General Plant</t>
  </si>
  <si>
    <t>1/8 * [Line 13-Line 9-Line 10-Line 12]</t>
  </si>
  <si>
    <t>Schedule 1, Line 8a</t>
  </si>
  <si>
    <t>561.1 Load Dispatch Reliability</t>
  </si>
  <si>
    <t>561.2 Load Dispatch Monitor and Operate Trans System</t>
  </si>
  <si>
    <t>561.3 Load Dispatch Trans Service &amp; Scheduling</t>
  </si>
  <si>
    <t>561.4 Scheduling System Control and Dispatch Services</t>
  </si>
  <si>
    <t>561.7 Generation Interconnect Studies</t>
  </si>
  <si>
    <t>561.6 Transmission Service</t>
  </si>
  <si>
    <t>561.5 Reliability Planning</t>
  </si>
  <si>
    <t>Form 1 (561.1-561.7)</t>
  </si>
  <si>
    <t>Page 1 of 6</t>
  </si>
  <si>
    <t>Page 2 of 6</t>
  </si>
  <si>
    <t>Page 3 of 6</t>
  </si>
  <si>
    <t>Page 4 of 6</t>
  </si>
  <si>
    <t>Page 5 of 6</t>
  </si>
  <si>
    <t>Page 6 of 6</t>
  </si>
  <si>
    <t>Line 14*Page 3, Line 27</t>
  </si>
  <si>
    <t>Page 3, Line 16 a</t>
  </si>
  <si>
    <t xml:space="preserve">     Less: Costs Associated with TCC</t>
  </si>
  <si>
    <t>Revenue Tax Factor</t>
  </si>
  <si>
    <t xml:space="preserve">      or gross receipts that Duke receives under this agreement.  This is subject to change upon the filing of a full section 205 rate case.</t>
  </si>
  <si>
    <t>(P) DEC must make a full section 205 filing at FERC before inputting or changing amounts associated with CWIP</t>
  </si>
  <si>
    <t>(Q) DEC must make a full section 205 filing at FERC before inputting or changing amounts associated with abandoned plant</t>
  </si>
  <si>
    <t>(R)  DEC must make a full section 205 filing at FERC before inputting or changing amounts associated with extraordinary property loss</t>
  </si>
  <si>
    <t>(S) ROE will be supported in the original filing and no change in ROE will be made absent a full section 205 filing at FERC.</t>
  </si>
  <si>
    <t xml:space="preserve">       A full section 205 filing at FERC is required to change this stated value.</t>
  </si>
  <si>
    <t>(Line 25/ 12)</t>
  </si>
  <si>
    <t>(Line 25/ 52)</t>
  </si>
  <si>
    <t>(Line 25 / 365)</t>
  </si>
  <si>
    <t>(Line 25/ 8760)</t>
  </si>
  <si>
    <t>Sum Line 13 + Line 14 + Line 15</t>
  </si>
  <si>
    <r>
      <t xml:space="preserve">(K) Duke Energy Carolinas will retain 50% of net revenues consistent with </t>
    </r>
    <r>
      <rPr>
        <i/>
        <u/>
        <sz val="14"/>
        <rFont val="Calibri"/>
        <family val="2"/>
        <scheme val="minor"/>
      </rPr>
      <t xml:space="preserve">Pacific Gas and Electric Company, 90 FERC </t>
    </r>
    <r>
      <rPr>
        <u/>
        <sz val="14"/>
        <rFont val="Calibri"/>
        <family val="2"/>
        <scheme val="minor"/>
      </rPr>
      <t>¶</t>
    </r>
    <r>
      <rPr>
        <i/>
        <u/>
        <sz val="14"/>
        <rFont val="Calibri"/>
        <family val="2"/>
        <scheme val="minor"/>
      </rPr>
      <t xml:space="preserve"> 61,314.  </t>
    </r>
  </si>
  <si>
    <t xml:space="preserve">      Depreciation rates shown are fixed until changed as the result of a 205 filing at FERC.</t>
  </si>
  <si>
    <t xml:space="preserve">(C) Excludes all income and gross receipts taxes.  Labor related other taxes include FICA and unemployment taxes.  </t>
  </si>
  <si>
    <t xml:space="preserve">      Property related taxes include county and local property, highway use, and intangible taxes.</t>
  </si>
  <si>
    <t xml:space="preserve">(G) The allocator "TP" is the percent of gross transmission plant that is OATT related, i.e., after removal of generator step-up and </t>
  </si>
  <si>
    <t xml:space="preserve">       interconnection investments.   It also serves as the basis for deriving the OATT transmission related labor from the Form 1 reported values.</t>
  </si>
  <si>
    <t xml:space="preserve">(O) The Company only functionalizes Account 282 during annual tax return process. Will use most recent annual tax return reports to allocate </t>
  </si>
  <si>
    <t xml:space="preserve">       account balance to correct functions.</t>
  </si>
  <si>
    <t>Attachment K Line 4</t>
  </si>
  <si>
    <t>AFUDC Reversal Calculation:</t>
  </si>
  <si>
    <t>(1)</t>
  </si>
  <si>
    <t>Avg. Depr. Life</t>
  </si>
  <si>
    <t>% Depreciated</t>
  </si>
  <si>
    <t>Net AFUDC</t>
  </si>
  <si>
    <t>Depr. Rate</t>
  </si>
  <si>
    <t>(Months)</t>
  </si>
  <si>
    <t>Reversal</t>
  </si>
  <si>
    <t>(4)=[1-(3)]*</t>
  </si>
  <si>
    <t xml:space="preserve">     Reversal of Anson AFUDC per Settlement</t>
  </si>
  <si>
    <t>(2) = 12 / (1)</t>
  </si>
  <si>
    <t xml:space="preserve">(V) The equity component of the capital structure will be capped at the 2009 year end level of 52.4%.  </t>
  </si>
  <si>
    <t xml:space="preserve">     Plus Costs Associated with Transmission Control Center (TCC) booked in above accounts</t>
  </si>
  <si>
    <t>13 Month Average Balance used</t>
  </si>
  <si>
    <t>(H)  Excludes from the payroll reported on Form 1 page 354 amounts for which Duke Energy Carolinas is reimbursed by the Catawba Joint Owners</t>
  </si>
  <si>
    <t>(J) Network upgrade balance - prepayments is a reduction to rate base, accrued interest balance is an increase to rate base and Anson AFUDC</t>
  </si>
  <si>
    <t xml:space="preserve">      reversal is a reduction.</t>
  </si>
  <si>
    <t>Rate Base Adjustment - Network Upgrade Prepayment Balances (Note J)</t>
  </si>
  <si>
    <t>Summary Cap Structure (Note S)</t>
  </si>
  <si>
    <t>Gross Plant In Service: (Note A and I)</t>
  </si>
  <si>
    <t>Attachment P (Note W)</t>
  </si>
  <si>
    <t xml:space="preserve">     ADIT - 282 (Note O)</t>
  </si>
  <si>
    <t>GridSouth System Level for Wholesale Amount (Note N)</t>
  </si>
  <si>
    <t>Line 27 / 7 days</t>
  </si>
  <si>
    <t>Line 27 / 5 days</t>
  </si>
  <si>
    <t>Line 31/ 24hrs</t>
  </si>
  <si>
    <t>Line 30 / 16hrs</t>
  </si>
  <si>
    <t>Line 34 / Line 35</t>
  </si>
  <si>
    <t>Line 37 / Line 38</t>
  </si>
  <si>
    <t>Line 10 * Schedule 1, Line 36</t>
  </si>
  <si>
    <t>Line 10 * Schedule 1, Line 39</t>
  </si>
  <si>
    <t>Line 16 * Schedule 1 Line 36</t>
  </si>
  <si>
    <t>(N) Beginning June 1, 2018 and each year thereafter, the value of the GridSouth amortization at Attachment K line 4 will be zero.</t>
  </si>
  <si>
    <t>321.85.b:321.88.b; 321.96.b</t>
  </si>
  <si>
    <t xml:space="preserve">     Adjusted Labor </t>
  </si>
  <si>
    <t>(Line 6 - Line 7)</t>
  </si>
  <si>
    <t>Category</t>
  </si>
  <si>
    <t>Page</t>
  </si>
  <si>
    <t>Prior Yr. Col.</t>
  </si>
  <si>
    <t>Curr. Yr. Col.</t>
  </si>
  <si>
    <t>Ending Balance/ Current Year Amount</t>
  </si>
  <si>
    <t>FERC Form 1, 111.81.c</t>
  </si>
  <si>
    <t>Loss on Reacquired Debt</t>
  </si>
  <si>
    <t>c</t>
  </si>
  <si>
    <t>FERC Form 1, 112.28.d, 112.28.c</t>
  </si>
  <si>
    <t>Accum Provision for I&amp;D</t>
  </si>
  <si>
    <t>d</t>
  </si>
  <si>
    <t>FERC Form 1, 112.24.c</t>
  </si>
  <si>
    <t>Total Long-Term Debt</t>
  </si>
  <si>
    <t>FERC Form 1, 112.16.c</t>
  </si>
  <si>
    <t>Proprietary Captial</t>
  </si>
  <si>
    <t>FERC Form 1, 112.12.c</t>
  </si>
  <si>
    <t>Unappropriated Undistributed Sub Earnings</t>
  </si>
  <si>
    <t>FERC Form 1, 113.61.c</t>
  </si>
  <si>
    <t>Unamortized Gain on Reacquired Debt</t>
  </si>
  <si>
    <t>FERC Form 1, 117.62-67.c</t>
  </si>
  <si>
    <t>Long Term Interest Expense</t>
  </si>
  <si>
    <t>62-67</t>
  </si>
  <si>
    <t>FERC Form 1, 200.21.c</t>
  </si>
  <si>
    <t>Intangible Depreciation Reserve</t>
  </si>
  <si>
    <t>na</t>
  </si>
  <si>
    <t>b</t>
  </si>
  <si>
    <t>FERC Form 1, 205.15, 205.24, 205.34, 205.44, (b) &amp; (g)</t>
  </si>
  <si>
    <t>Production ARO</t>
  </si>
  <si>
    <t>204-205</t>
  </si>
  <si>
    <t>15,24,34,44</t>
  </si>
  <si>
    <t>g</t>
  </si>
  <si>
    <t>FERC Form 1, 206.101.b, 207.101.g</t>
  </si>
  <si>
    <t>Plant Purchased (Sold)</t>
  </si>
  <si>
    <t xml:space="preserve">Intangible Plant </t>
  </si>
  <si>
    <t xml:space="preserve">Production Plant </t>
  </si>
  <si>
    <t xml:space="preserve">Transmission Plant </t>
  </si>
  <si>
    <t>206-207</t>
  </si>
  <si>
    <t>Distribution Plant</t>
  </si>
  <si>
    <t xml:space="preserve">General Plant </t>
  </si>
  <si>
    <t>FERC Form 1, 206.98.b, 207.98.g</t>
  </si>
  <si>
    <t>General Plant ARO</t>
  </si>
  <si>
    <t>FERC Form 1, 207.101 (b) &amp; (g)</t>
  </si>
  <si>
    <t>Electric Plant Purchased/Sold</t>
  </si>
  <si>
    <t>FERC Form 1, 219.20-24.b</t>
  </si>
  <si>
    <t>Production Depreciation Reserve</t>
  </si>
  <si>
    <t>20-24</t>
  </si>
  <si>
    <t>FERC Form 1, 219.25.b</t>
  </si>
  <si>
    <t>Transmission Depreciation Reserve</t>
  </si>
  <si>
    <t>FERC Form 1, 219.26.b</t>
  </si>
  <si>
    <t>Distribution Depreciation Reserve</t>
  </si>
  <si>
    <t>FERC Form 1, 219.28.b</t>
  </si>
  <si>
    <t>General Depreciation Reserve</t>
  </si>
  <si>
    <t>FERC Form 1, 227.8.b, 227.8.c</t>
  </si>
  <si>
    <t>Materials and Supplies- Transmission</t>
  </si>
  <si>
    <t>FERC Form 1, 227.16.b, 227.16.c</t>
  </si>
  <si>
    <t>Materials and Supplies- Stores</t>
  </si>
  <si>
    <t>FERC Form 1, 232.44.b, 232.44.f</t>
  </si>
  <si>
    <t>Other Regulatory Assets</t>
  </si>
  <si>
    <t>f</t>
  </si>
  <si>
    <t>FERC Form 1, 234.18.b, 234.18.c</t>
  </si>
  <si>
    <t>ADIT (Account 190)</t>
  </si>
  <si>
    <t>FERC Form 1, 263.5,18,31,35,36.i and 263.1.2-3.i</t>
  </si>
  <si>
    <t>Labor Related Taxes</t>
  </si>
  <si>
    <t>i</t>
  </si>
  <si>
    <t>FERC Form 1, 263.11,12,25.i and 263.1.4.i</t>
  </si>
  <si>
    <t>Property Related Taxes</t>
  </si>
  <si>
    <t>FERC Form 1, 266.8.f</t>
  </si>
  <si>
    <t>Amortized ITC</t>
  </si>
  <si>
    <t>FERC Form 1, 274.9.b, 275.9.k</t>
  </si>
  <si>
    <t>ADIT (Account 282)</t>
  </si>
  <si>
    <t>274-275</t>
  </si>
  <si>
    <t>k</t>
  </si>
  <si>
    <t>ADIT (Account 283)</t>
  </si>
  <si>
    <t>276-277</t>
  </si>
  <si>
    <t>FERC Form 1, 321.112.b</t>
  </si>
  <si>
    <t>Transmission O&amp;M Expense</t>
  </si>
  <si>
    <t>FERC Form 1, 321.85.b &amp; 321.85.c</t>
  </si>
  <si>
    <t>FERC Form 1, 321.86.b &amp; 321.86.c</t>
  </si>
  <si>
    <t>FERC Form 1, 321.87.b &amp; 321.87.c</t>
  </si>
  <si>
    <t>FERC Form 1, 321.88.b &amp; 321.88.c</t>
  </si>
  <si>
    <t>FERC Form 1, 321.89.b &amp; 321.89.c</t>
  </si>
  <si>
    <t>FERC Form 1, 321.90.b &amp; 321.90.c</t>
  </si>
  <si>
    <t>FERC Form 1, 321.91.b &amp; 321.91.c</t>
  </si>
  <si>
    <t>FERC Form 1, 321.96.b &amp; 321.96.c</t>
  </si>
  <si>
    <t xml:space="preserve"> Transmission of Electricity by Others</t>
  </si>
  <si>
    <t>FERC Form 1, 323.197.b</t>
  </si>
  <si>
    <t>A&amp;G Expense</t>
  </si>
  <si>
    <t>FERC Form 1, 323.185.b</t>
  </si>
  <si>
    <t>Property Insurance</t>
  </si>
  <si>
    <t>FERC Form 1, 323.189.b</t>
  </si>
  <si>
    <t>Regulatory Commission Expense</t>
  </si>
  <si>
    <t>FERC Form 1, 323.191.b</t>
  </si>
  <si>
    <t>General Advertising Expense</t>
  </si>
  <si>
    <t>FERC Form 1, 335.1-3.b</t>
  </si>
  <si>
    <t>Industry Dues, R&amp;D and Nuc Assoc Exp</t>
  </si>
  <si>
    <t>FERC Form 1, 336.7.f</t>
  </si>
  <si>
    <t>Depr. &amp; Amort. -Transmission Plant</t>
  </si>
  <si>
    <t>FERC Form 1, 336.10.f</t>
  </si>
  <si>
    <t>Depr. &amp; Amort. -General Plant</t>
  </si>
  <si>
    <t>FERC Form 1, 336.1.f</t>
  </si>
  <si>
    <t>Depr. &amp; Amort. -Intangible Plant</t>
  </si>
  <si>
    <t>Annual FERC Billing</t>
  </si>
  <si>
    <t>FERC Form 1 354.27.b</t>
  </si>
  <si>
    <t>A&amp;G Labor</t>
  </si>
  <si>
    <t>FERC Form 1 354.21.b</t>
  </si>
  <si>
    <t>Transmission O&amp;M Labor</t>
  </si>
  <si>
    <t>FERC Form 1, 355.65.b</t>
  </si>
  <si>
    <t>O&amp;M Labor</t>
  </si>
  <si>
    <t>FERC Form 1, 400.17.e</t>
  </si>
  <si>
    <t>Firm Network Service for Self</t>
  </si>
  <si>
    <t>e</t>
  </si>
  <si>
    <t>FERC Form 1, 400.17.f</t>
  </si>
  <si>
    <t>Firm Network Service for Others</t>
  </si>
  <si>
    <t>FERC Form 1, 400.17.g</t>
  </si>
  <si>
    <t>Long Term PTP Reservations</t>
  </si>
  <si>
    <t>FERC Form 1, 400.17.j</t>
  </si>
  <si>
    <t>Other Service</t>
  </si>
  <si>
    <t>j</t>
  </si>
  <si>
    <t>Transmission Less than 44kV</t>
  </si>
  <si>
    <t>l</t>
  </si>
  <si>
    <t>Internal Data Requests:</t>
  </si>
  <si>
    <t>Asset Accounting:</t>
  </si>
  <si>
    <t>Wholesale Accounting Department:</t>
  </si>
  <si>
    <t xml:space="preserve">Catawba Accounting: </t>
  </si>
  <si>
    <t>Amount of Catawba Reimbursements related to A&amp;G Labor</t>
  </si>
  <si>
    <t>Transmission Business Group: (Beth Klipplinger)</t>
  </si>
  <si>
    <t>Planning document of planned capital additions &gt; $5M by year for next 3 years after year of filing: (excludes SG projects and &lt;44KV projects)</t>
  </si>
  <si>
    <t>Tax Department</t>
  </si>
  <si>
    <t>DIT (Acct. 282) allocation to functional areas based on most current tax return filed - Jesse Boger</t>
  </si>
  <si>
    <t>Composite Rates for NC/SC and Federal Tax Rate - this is data request item maintained by Kaari Beard and Billy Haygood</t>
  </si>
  <si>
    <t>Allocation rate used for Extra Facilities on Attachment G:</t>
  </si>
  <si>
    <t>This allocation comes from the policy on extra facilities</t>
  </si>
  <si>
    <t xml:space="preserve"> - Tower Rental Actual vs Budget reconciliation Report</t>
  </si>
  <si>
    <t>FERC Form 1, 276.19.b, 277.19.k</t>
  </si>
  <si>
    <t>Z-W</t>
  </si>
  <si>
    <t>W+(C*X)</t>
  </si>
  <si>
    <t>FERC Form 1, 207.86 (g)</t>
  </si>
  <si>
    <t>FERC Form 1, 207.87 (g)</t>
  </si>
  <si>
    <t>FERC Form 1, 207.88 (g)</t>
  </si>
  <si>
    <t>FERC Form 1, 207.89(g)</t>
  </si>
  <si>
    <t>FERC Form 1, 207.90 (g)</t>
  </si>
  <si>
    <t>FERC Form 1, 207.91 (g)</t>
  </si>
  <si>
    <t>FERC Form 1, 207.92 (g)</t>
  </si>
  <si>
    <t>FERC Form 1, 207.93 (g)</t>
  </si>
  <si>
    <t>FERC Form 1, 207.94 (g)</t>
  </si>
  <si>
    <t>FERC Form 1, 207.95 (g)</t>
  </si>
  <si>
    <t>FERC Form 1, 207.97 (g)</t>
  </si>
  <si>
    <t>FERC Form 1, 207.98 (g)</t>
  </si>
  <si>
    <t>FERC Form 1, 207.99 (g)</t>
  </si>
  <si>
    <t>Attach L</t>
  </si>
  <si>
    <t>Attach M</t>
  </si>
  <si>
    <t>Attach N</t>
  </si>
  <si>
    <t>Attach O</t>
  </si>
  <si>
    <t>Attach S-1</t>
  </si>
  <si>
    <t>Attach P</t>
  </si>
  <si>
    <t>Attach J</t>
  </si>
  <si>
    <t>Tab Used</t>
  </si>
  <si>
    <t>Attach R</t>
  </si>
  <si>
    <t>Attach B</t>
  </si>
  <si>
    <t>Attach A-C</t>
  </si>
  <si>
    <t>Attach G</t>
  </si>
  <si>
    <t>Attach H</t>
  </si>
  <si>
    <t xml:space="preserve"> - Query that breaks out only Direct  costs</t>
  </si>
  <si>
    <t>Tower Rental Group (DCS)- Cheryl Kelley</t>
  </si>
  <si>
    <t>Amount of Catawba Reimbursements related toTotal Direct Payroll Labor</t>
  </si>
  <si>
    <t>Transmission Plant held for future use - Renee Correll</t>
  </si>
  <si>
    <t>Generator Step up Transformers - Renee Correll</t>
  </si>
  <si>
    <t>Transmission Contracts</t>
  </si>
  <si>
    <t>-New Radials - Charlotte Glassman</t>
  </si>
  <si>
    <t>Alloc. Factors (line 3a)</t>
  </si>
  <si>
    <t xml:space="preserve"> - Anson County project  (Jay Klein)</t>
  </si>
  <si>
    <t>Rev. Requirements (lines 24-25)</t>
  </si>
  <si>
    <t>Alloc . Factors (line 6)</t>
  </si>
  <si>
    <t>Alloc . Factors (line 7)</t>
  </si>
  <si>
    <t>Alloc Factors (line 2)</t>
  </si>
  <si>
    <t>Rate Base (line 28)</t>
  </si>
  <si>
    <t>Breakdown of components of 0108499 - by function (ARO Rollforward)- Lesa Perkins</t>
  </si>
  <si>
    <t>Determination of SOC Plant - Huyen Dang</t>
  </si>
  <si>
    <t>Depreciation rates - Changes only when new depreciation study is completed - Lesa Perkins</t>
  </si>
  <si>
    <t>Detail breakdown of Intangible Plant, by project - Amanda Wooten</t>
  </si>
  <si>
    <t>Detail breakdown of Intangible Plant Accumulated Amortization, by project - Amanda Wooten</t>
  </si>
  <si>
    <t>Detail breakdown of Intanglible Plant Amortization Expense,by project - Amanda Wooten</t>
  </si>
  <si>
    <t>Prepayment schedule for any identified prepaid projects which receive bill credits - (Jay Klein)</t>
  </si>
  <si>
    <t>FERC Form 1, 272.17.b, 273.17.k</t>
  </si>
  <si>
    <t>ADIT (Account 281)</t>
  </si>
  <si>
    <t>272-273</t>
  </si>
  <si>
    <t xml:space="preserve">     ADIT - 281</t>
  </si>
  <si>
    <t>273.17.k</t>
  </si>
  <si>
    <t>Total GL Account 281</t>
  </si>
  <si>
    <t xml:space="preserve">Deferred Income Tax Balances - GL Account 281 and 282 </t>
  </si>
  <si>
    <t>Note Z</t>
  </si>
  <si>
    <t>(Y) Represents production related items</t>
  </si>
  <si>
    <t>(Z) Education and outreach expenses relating to transmission, for example siting or billing</t>
  </si>
  <si>
    <t xml:space="preserve">Page 3, Line 21a </t>
  </si>
  <si>
    <t>Page 2, Line 6 - Page 2, Line 4b</t>
  </si>
  <si>
    <t xml:space="preserve">Deferred Income Tax Balances - GL Account 190 </t>
  </si>
  <si>
    <t xml:space="preserve">Deferred Income Tax Balances - GL Account 283 </t>
  </si>
  <si>
    <t xml:space="preserve">Other Regulatory Assets - GL Account 182.3  </t>
  </si>
  <si>
    <t>Total GL Account 253</t>
  </si>
  <si>
    <t>Page 3, Line 26</t>
  </si>
  <si>
    <t>Line 7 * Line 8</t>
  </si>
  <si>
    <t>TOTAL Form 1, Page 200, Line 21</t>
  </si>
  <si>
    <t>Contra AFUDC Amounts Recorded Pursuant to CFR 35.25(f)(2)</t>
  </si>
  <si>
    <t>Detail of Accounts 190,281,282,283 - this is a quarterly data request which is sent to Kaari Beard each quarter - Meeting needs to be held with tax department (Jim Johnson, Darci Vodan) to go through list and identify items that relate to transmission and the proper alloc. Factors to use</t>
  </si>
  <si>
    <t>FERC Form 1, 423.3.17.l</t>
  </si>
  <si>
    <t>FERC Form 1, 350.13.b</t>
  </si>
  <si>
    <t>423.3.17.l</t>
  </si>
  <si>
    <t xml:space="preserve">          Electric Plant Purchased </t>
  </si>
  <si>
    <t>207.101.g, (Note Y)</t>
  </si>
  <si>
    <t>219.20-24.c</t>
  </si>
  <si>
    <t>219.25.c</t>
  </si>
  <si>
    <t>219.26.c</t>
  </si>
  <si>
    <t>219.28.c</t>
  </si>
  <si>
    <t>Other Deferred Credits - GL Account 253</t>
  </si>
  <si>
    <t>Line 3 - (Line 3 * Line 4)</t>
  </si>
  <si>
    <t>DPC Pos EMP FAS 87 (Cinergy)</t>
  </si>
  <si>
    <t>Avarmar Software Purchase - Carolinas</t>
  </si>
  <si>
    <t>EMS Standby Enhancement</t>
  </si>
  <si>
    <t>Footprints Application</t>
  </si>
  <si>
    <t>PD Asset Management Optimization</t>
  </si>
  <si>
    <t>Relay Testing System</t>
  </si>
  <si>
    <t>Replacing Network &amp; P2P Billing Systems with Lodestar</t>
  </si>
  <si>
    <t>SOC EMS Blade Server - Upgrade Software</t>
  </si>
  <si>
    <t>Transmission Billing System Replacement</t>
  </si>
  <si>
    <t>Transmission Outage &amp; Logging Application</t>
  </si>
  <si>
    <t>Transmission Line PLS-CADD to EMAX Integration - Carolina</t>
  </si>
  <si>
    <t>Leasehold Improvement Projects</t>
  </si>
  <si>
    <t>Current Nonqualified Pension</t>
  </si>
  <si>
    <t>FAS 5</t>
  </si>
  <si>
    <t>Incentive Plan</t>
  </si>
  <si>
    <t>Pension Lawsuit Contingency</t>
  </si>
  <si>
    <t>Short Term OPEB</t>
  </si>
  <si>
    <t>ST Post Retirement</t>
  </si>
  <si>
    <t>Gridsouth Investment SC Retail</t>
  </si>
  <si>
    <t>Cliffside Deferral</t>
  </si>
  <si>
    <t>Accrued Pensions - FAS 158</t>
  </si>
  <si>
    <t>FAS 106 - OPRB Medical</t>
  </si>
  <si>
    <t>Pension Post Retirement - PAA</t>
  </si>
  <si>
    <t>Pension Post Retirement - FAS - NQ</t>
  </si>
  <si>
    <t>Pre-Funded Pension Costs</t>
  </si>
  <si>
    <t>Endure Energy LLC</t>
  </si>
  <si>
    <t>Blue Ridge Electric Membership Corporation</t>
  </si>
  <si>
    <t>City of Kings Mountain</t>
  </si>
  <si>
    <t>NC Electric Membership Corporation</t>
  </si>
  <si>
    <t>Piedmont Electric Membership Corporation</t>
  </si>
  <si>
    <t>Rutherford Electric Membership Corporation</t>
  </si>
  <si>
    <t>Town of Highlands</t>
  </si>
  <si>
    <t>Page 1, Line 17</t>
  </si>
  <si>
    <t xml:space="preserve">     Rate Base (Page 2, Line 40) * Rate of Return (Page 4, Line 24)</t>
  </si>
  <si>
    <t xml:space="preserve">     Less:  New Radial Facilities</t>
  </si>
  <si>
    <t xml:space="preserve">Balances as of the Beginning of Year: </t>
  </si>
  <si>
    <t>AC-Z</t>
  </si>
  <si>
    <t>Z+(C*AA)</t>
  </si>
  <si>
    <t>FAS 87 Pension Plan</t>
  </si>
  <si>
    <t>Payable 401(k) Match</t>
  </si>
  <si>
    <t>Renewable Energy &amp; Energy Portfolio Cost Deferral</t>
  </si>
  <si>
    <t>Trans Billing System</t>
  </si>
  <si>
    <t>Serial to IP - Software</t>
  </si>
  <si>
    <t>Pension Expense Deferral</t>
  </si>
  <si>
    <t>Pension Non Qualified</t>
  </si>
  <si>
    <t>Gridsouth Investment - Wholesale</t>
  </si>
  <si>
    <t>Interest Rate Swap</t>
  </si>
  <si>
    <t>Cust Call Ctr Switch Repl</t>
  </si>
  <si>
    <t>Enterprise Cust Syst DCI1 Capital</t>
  </si>
  <si>
    <t>Enterprise Cust Syst DCI2 Capital</t>
  </si>
  <si>
    <t>GIS Plotting Enhancements - Carolinas</t>
  </si>
  <si>
    <t>Load Research Interfaces EDM042</t>
  </si>
  <si>
    <t>Enterprise Cust syst DCI1 Capital</t>
  </si>
  <si>
    <t>Enterprise Cust syst Ph1.2 Capital</t>
  </si>
  <si>
    <t>Enterprise Cust system DCI2 Capital</t>
  </si>
  <si>
    <t>Enterprise Cust systems Ph1 Capital</t>
  </si>
  <si>
    <t>Reg Asset - Accr Pension FAS158 - FAS 106</t>
  </si>
  <si>
    <t>Reg Asset - Accr Pension FAS158 - FAS 87 NQ</t>
  </si>
  <si>
    <t>Prepaid Insurance</t>
  </si>
  <si>
    <t>Autodesk 2012 Upgrade - Carolinas</t>
  </si>
  <si>
    <t>EAM Phase 3 work</t>
  </si>
  <si>
    <t>Enterprise Asset Management PH2</t>
  </si>
  <si>
    <t>Spec Agency Assistance Portal</t>
  </si>
  <si>
    <t>Trans Outage &amp; Logging App</t>
  </si>
  <si>
    <t xml:space="preserve">     Other Regulatory Assets (182.3)</t>
  </si>
  <si>
    <t xml:space="preserve">     Pension Cost Adj (182.3 , 253, &amp; 254)</t>
  </si>
  <si>
    <t>350.various.b</t>
  </si>
  <si>
    <t>Add: Duke Energy Carolinas Bulk Power Marketing Transmission Revenues and Ancillary Revenues</t>
  </si>
  <si>
    <t>Other Regulatory Liabilities - GL Account 254</t>
  </si>
  <si>
    <t>Pension Cost Adj (ORL)</t>
  </si>
  <si>
    <t>Total GL Account 254</t>
  </si>
  <si>
    <t>EAM_Carolinas Phase 1-3</t>
  </si>
  <si>
    <t xml:space="preserve">Implement Upgrade To GIS </t>
  </si>
  <si>
    <t>Implement EGIS Corrections and Enhancements</t>
  </si>
  <si>
    <t>Repl Integrator w/ITRON FCS Software - CAROLINAS</t>
  </si>
  <si>
    <t>SAN Expansion - Software - Electric Center II</t>
  </si>
  <si>
    <t>SERIAL TO IP - Software</t>
  </si>
  <si>
    <t>GIS Plotting Enhancements</t>
  </si>
  <si>
    <t>Implementation of Telecommunication Backbone Network at Transmission Substation</t>
  </si>
  <si>
    <t>Implementation of Telecommunication Backbone Network for Remote access</t>
  </si>
  <si>
    <t>REPLACING CA2001 (NETWORK TRANS) AND P2P (POINT TO POINT) systems w/LODESTAR</t>
  </si>
  <si>
    <t>Transmission Line PLS-CADD to EMAX Integration</t>
  </si>
  <si>
    <t>EAM Carolinas Phase 1</t>
  </si>
  <si>
    <t>AVAMAR SW PURCH-Carolina</t>
  </si>
  <si>
    <t>Repl Integrator w/ITRON FCS Software - Carolinas</t>
  </si>
  <si>
    <r>
      <t xml:space="preserve">        </t>
    </r>
    <r>
      <rPr>
        <b/>
        <sz val="11"/>
        <rFont val="Calibri"/>
        <family val="2"/>
        <scheme val="minor"/>
      </rPr>
      <t xml:space="preserve">Overall Return:  </t>
    </r>
  </si>
  <si>
    <r>
      <t xml:space="preserve">          </t>
    </r>
    <r>
      <rPr>
        <sz val="10"/>
        <rFont val="Calibri"/>
        <family val="2"/>
        <scheme val="minor"/>
      </rPr>
      <t>Composite T = State + (Federal *(1-State))</t>
    </r>
  </si>
  <si>
    <r>
      <t xml:space="preserve">     </t>
    </r>
    <r>
      <rPr>
        <sz val="11"/>
        <rFont val="Calibri"/>
        <family val="2"/>
        <scheme val="minor"/>
      </rPr>
      <t>ITC Gross Up Factor = 1 / (1-T)</t>
    </r>
  </si>
  <si>
    <t>Vacation Accrual</t>
  </si>
  <si>
    <t>Total Point -to-Point (PTP) Revenues and Ancillary Revenues</t>
  </si>
  <si>
    <t>Remove: Long-Term Firm PTP Transmission Revenues and Ancillaries</t>
  </si>
  <si>
    <t xml:space="preserve">Remove:  PTP Non-Firm and Short-Term Firm Schedule 2 and Loss Compensation Ancillary Revenues </t>
  </si>
  <si>
    <t>Remove:  PTP Non-Firm and Short-Term Firm PTP Schedule 1 Revenues</t>
  </si>
  <si>
    <t>PTP Non-Firm and Short Term Firm Revenues - Net of Ancillary Services</t>
  </si>
  <si>
    <t>Line 3 / Line 14</t>
  </si>
  <si>
    <t xml:space="preserve">  Total System Long Term Firm Transmission Load Peak Demand</t>
  </si>
  <si>
    <t>Transmission Loss Factor from OATT</t>
  </si>
  <si>
    <t>Firm Network Service for Others Adjusted for Losses</t>
  </si>
  <si>
    <t>Total Firm Network Service for Others Adjusted for Losses + Long Term Firm PTP Reservations</t>
  </si>
  <si>
    <t>Peak Demand Allocation Factor</t>
  </si>
  <si>
    <t>DEC OATT</t>
  </si>
  <si>
    <t>Line 8 + Line 12</t>
  </si>
  <si>
    <t>Line 13 / Line 10</t>
  </si>
  <si>
    <t>Line 1*.2675 (Note M)</t>
  </si>
  <si>
    <t>Sum ( Line 6:Line 9)</t>
  </si>
  <si>
    <t xml:space="preserve">(X) "New Radial Facilities" shall have the meaning set forth in Schedule 10, Exhibit B, Formula Rate Principles,  Section 11.0(iii)(1). </t>
  </si>
  <si>
    <t>DPC Pension Liability (FAS 87)</t>
  </si>
  <si>
    <t>34a</t>
  </si>
  <si>
    <t>112.27.C</t>
  </si>
  <si>
    <t>Accumulated Provisions for Property Insurance- GL Account 228.1</t>
  </si>
  <si>
    <t xml:space="preserve">Property Insurance </t>
  </si>
  <si>
    <t>FERC Form 1, 112.27.d, 112.27.c</t>
  </si>
  <si>
    <t>Accum Provision for Property Insurance</t>
  </si>
  <si>
    <t>Accum Provision for Prop Ins (228.1)</t>
  </si>
  <si>
    <t>Deferred VOP Expenses</t>
  </si>
  <si>
    <t>Coastal Wind Project deferred costs - NC</t>
  </si>
  <si>
    <t>Deferred Pension Expenses</t>
  </si>
  <si>
    <t>Buck and Bridgewater Project deferred costs</t>
  </si>
  <si>
    <t>Clemson Grant</t>
  </si>
  <si>
    <t>Save-A-Watt program deferrals</t>
  </si>
  <si>
    <t>Dan River &amp; Cliffside 5 deferred costs</t>
  </si>
  <si>
    <t>AC+(C*AF)</t>
  </si>
  <si>
    <t>AH-AC</t>
  </si>
  <si>
    <t>ARO Fossil (landfills &amp; asbestos)</t>
  </si>
  <si>
    <t>ARO General (asbestos)</t>
  </si>
  <si>
    <t>ARO Other Production - (solar)</t>
  </si>
  <si>
    <t>ARO - Hydro</t>
  </si>
  <si>
    <t>Autodesk 2012 Upgrade Carolina</t>
  </si>
  <si>
    <t>Bentley Expert Designer Upgrade</t>
  </si>
  <si>
    <t>Bentley LDE WKFLOW/ED ENHANCEMENT</t>
  </si>
  <si>
    <t>Comtrac to CXL interface</t>
  </si>
  <si>
    <t>Customer Call Center Switch Repl</t>
  </si>
  <si>
    <t>EBPE Phase 2</t>
  </si>
  <si>
    <t>EGIS Defect Release</t>
  </si>
  <si>
    <t>Enterprise Asset Management_Carolinas portion in CWIP</t>
  </si>
  <si>
    <t>MWMS USER SW LICENSES</t>
  </si>
  <si>
    <t>NES 3.0 Upgrade SGS.036 - Prioritization tool</t>
  </si>
  <si>
    <t>REC TRACKING TOOL</t>
  </si>
  <si>
    <t>SELF HEALING SOFTWARE</t>
  </si>
  <si>
    <t>SUBSTATION DESIGN SOLUTION</t>
  </si>
  <si>
    <t>AUTODESK 2012 UPGRADE - CAROLINA</t>
  </si>
  <si>
    <t>BENTLEY LIVE DATA EXCHANGE (LDE) WORKFLOW SOFTWARE AND NEW NON-LDE WORKFLOW ENHANCEMENTS - CAROLINAS</t>
  </si>
  <si>
    <t>Footprints EMS-Numara</t>
  </si>
  <si>
    <t>Telecommunications Network - Trans. Substations</t>
  </si>
  <si>
    <t>IMPLEMENT UPGRADE CURRENT VERSION OF EXPERT DESIGNER &amp; MICROSTATION v8i TO THE SUPPORTED BENTLEY VERSION THAT HAS LATEST CORE UPDATES THAT WILL BE NEEDED TO SUPPORT THE NEW EXPORT/IMPORT GIS FUNCTIONALITY.</t>
  </si>
  <si>
    <t>In House Software-Cust Billing</t>
  </si>
  <si>
    <t>MWMS USER SOFTWARE LICENSES</t>
  </si>
  <si>
    <t>SELF HEALING SOFTWARE/HARDWARE TO OPERATE NETWORK FOR THE CAROLINAS</t>
  </si>
  <si>
    <t>SUBSTATION DESIGN SOLUTION - CAROLINA</t>
  </si>
  <si>
    <t>Summit - DP Portion</t>
  </si>
  <si>
    <t>Bentley Live Data Exchange (LDE) Workflow software</t>
  </si>
  <si>
    <t xml:space="preserve">EGIS / EMAX PD Device Integration </t>
  </si>
  <si>
    <t>Energy Management System (EMS)</t>
  </si>
  <si>
    <t>Telecommunications Network - Transmission</t>
  </si>
  <si>
    <t>MWMS User Software Licenses</t>
  </si>
  <si>
    <t xml:space="preserve">REC Tracking Tool </t>
  </si>
  <si>
    <t>SOC EMS Blade Srvr Upgrd-Sftwr</t>
  </si>
  <si>
    <t>Trans Billing System Replace</t>
  </si>
  <si>
    <t>Enterprise Cust Syst DCI1</t>
  </si>
  <si>
    <t>General - Structures</t>
  </si>
  <si>
    <t>General</t>
  </si>
  <si>
    <r>
      <t>(3) = (66.5)</t>
    </r>
    <r>
      <rPr>
        <sz val="11"/>
        <rFont val="Calibri"/>
        <family val="2"/>
      </rPr>
      <t xml:space="preserve"> / (2)</t>
    </r>
  </si>
  <si>
    <t>CTA Costs</t>
  </si>
  <si>
    <t>Ending Balance/ Current Year Amount less CTA</t>
  </si>
  <si>
    <t>SOC EMS Blade Software</t>
  </si>
  <si>
    <t>Energy Management System EMP 2.6 UPGRADE PROJECT</t>
  </si>
  <si>
    <t>12/31/2012 Depreciation Study</t>
  </si>
  <si>
    <t>DEC-Historic Rate</t>
  </si>
  <si>
    <t>352-359</t>
  </si>
  <si>
    <t>391-398</t>
  </si>
  <si>
    <t>Passenger Cars</t>
  </si>
  <si>
    <t>Light Trucks</t>
  </si>
  <si>
    <t>Med Trucks</t>
  </si>
  <si>
    <t>Heavy Trucks</t>
  </si>
  <si>
    <t>Med Trucks/ Power Equip</t>
  </si>
  <si>
    <t>Heavy Trucks/ Power Equip</t>
  </si>
  <si>
    <t>Trailers</t>
  </si>
  <si>
    <t>Trenchers and Cable Plows</t>
  </si>
  <si>
    <t>Rubber Tired Tractors</t>
  </si>
  <si>
    <t>Heavy Const. Equip</t>
  </si>
  <si>
    <t>Mobile Cranes</t>
  </si>
  <si>
    <t>Forklifts</t>
  </si>
  <si>
    <t>Misc Non-Hwy Equip</t>
  </si>
  <si>
    <t xml:space="preserve">Tractors </t>
  </si>
  <si>
    <t>Rate Base (Sum of lines 18, 23,29,30,31,32,35,and 40)</t>
  </si>
  <si>
    <t>Adjustments</t>
  </si>
  <si>
    <t>TP/2</t>
  </si>
  <si>
    <t>PP&amp;E - Adjustment for deferred taxes on book acctg impairment</t>
  </si>
  <si>
    <t>On-Peak Hours</t>
  </si>
  <si>
    <t>Off-Peak Hours</t>
  </si>
  <si>
    <t>Beginning Balance/Prior Year Amount</t>
  </si>
  <si>
    <t>Beginning Balance / Prior Year Amount (Net of CTA and Adjustments)</t>
  </si>
  <si>
    <t>McGuire Uprates</t>
  </si>
  <si>
    <t>Fukushima CyberSecurity</t>
  </si>
  <si>
    <t>Nuclear Levelization</t>
  </si>
  <si>
    <t>Billing System Deferral</t>
  </si>
  <si>
    <t>Other Deferred Costs</t>
  </si>
  <si>
    <t xml:space="preserve"> Pension Rest</t>
  </si>
  <si>
    <t>Brookfield Energy Marketing</t>
  </si>
  <si>
    <t>Exelon Power Team</t>
  </si>
  <si>
    <t>Central Electric Power Coop</t>
  </si>
  <si>
    <t>Enterprise Asset Management PH2 (EAM_Carolinas Phase 2)</t>
  </si>
  <si>
    <t xml:space="preserve">Note:  Customer Prepayment are fully refunded </t>
  </si>
  <si>
    <t>Phasor Visualization Software</t>
  </si>
  <si>
    <t>STIP EMS Software</t>
  </si>
  <si>
    <t>Attachment K, Line 10 Total MW/12</t>
  </si>
  <si>
    <t>System Long Term Firm Transmission Peak Demand (MW)</t>
  </si>
  <si>
    <t>STIP EMS Software - Super Phasor</t>
  </si>
  <si>
    <t>Substation Design Solution - Carolina</t>
  </si>
  <si>
    <t>Yellow denotes amounts carried from the annual true-up to the estimated file</t>
  </si>
  <si>
    <t>2013 Additions - Cliffside 6</t>
  </si>
  <si>
    <t>2014 Additions - Cliffside 6</t>
  </si>
  <si>
    <t>Trans Plant related to 2013 Prod Additions</t>
  </si>
  <si>
    <t>Trans Plant related to 2014 Prod Additions</t>
  </si>
  <si>
    <t>AL-AJ</t>
  </si>
  <si>
    <t>AJ+(C*AE*12)</t>
  </si>
  <si>
    <t>EGIS Upgrade - Smallworld Upgrade Impacts to EGIS</t>
  </si>
  <si>
    <t>Transmission Integration Manager Phase II</t>
  </si>
  <si>
    <t>EGIS Upgrade-SW</t>
  </si>
  <si>
    <t>TIM Phase II</t>
  </si>
  <si>
    <t>Natural Gas Hedging - MTM</t>
  </si>
  <si>
    <t>Rate Case Costs</t>
  </si>
  <si>
    <t>Coal Ash Basin - ARO Deferral</t>
  </si>
  <si>
    <t>Unbilled Fuel</t>
  </si>
  <si>
    <t>328, Line 1</t>
  </si>
  <si>
    <t>328, Line 2</t>
  </si>
  <si>
    <t>328, Line 3</t>
  </si>
  <si>
    <t>328, Line 4</t>
  </si>
  <si>
    <t>328, Line 5</t>
  </si>
  <si>
    <t>328, Line 6</t>
  </si>
  <si>
    <t>328, Line 7</t>
  </si>
  <si>
    <t>328, Line 8</t>
  </si>
  <si>
    <t>328, Line 9</t>
  </si>
  <si>
    <t>328, Line 10</t>
  </si>
  <si>
    <t>328, Line 11</t>
  </si>
  <si>
    <t>328, Line 12</t>
  </si>
  <si>
    <t>328, Line 13</t>
  </si>
  <si>
    <t>328, Line 14</t>
  </si>
  <si>
    <t>328, Line 15</t>
  </si>
  <si>
    <t>328, Line 16</t>
  </si>
  <si>
    <t>328, Line 17</t>
  </si>
  <si>
    <t>328, Line 18</t>
  </si>
  <si>
    <t>328, Line 19</t>
  </si>
  <si>
    <t>328, Line 20</t>
  </si>
  <si>
    <t>328, Line 21</t>
  </si>
  <si>
    <t>328, Line 22</t>
  </si>
  <si>
    <t>328, Line 23</t>
  </si>
  <si>
    <t>328, Line 24</t>
  </si>
  <si>
    <t>328, Line 25</t>
  </si>
  <si>
    <t>328, Line 26</t>
  </si>
  <si>
    <t>328, Line 27</t>
  </si>
  <si>
    <t>328, Line 28</t>
  </si>
  <si>
    <t>328, Line 29</t>
  </si>
  <si>
    <t>328, Line 30</t>
  </si>
  <si>
    <t>328, Line 31</t>
  </si>
  <si>
    <t>328, Line 32</t>
  </si>
  <si>
    <t>328, Line 33</t>
  </si>
  <si>
    <t>328, Line 34</t>
  </si>
  <si>
    <t>Florida Power Corp</t>
  </si>
  <si>
    <t>FP&amp;L Energy Marketing &amp; Trading</t>
  </si>
  <si>
    <t/>
  </si>
  <si>
    <t>Southern Power Rowan</t>
  </si>
  <si>
    <t>2015 Additions - Cliffside 6</t>
  </si>
  <si>
    <t>Trans Plant related to 2015 Prod Additions</t>
  </si>
  <si>
    <t>AN-AL</t>
  </si>
  <si>
    <t>AL+(C*AE*12)</t>
  </si>
  <si>
    <t>SC Distributed Energy Resource Program</t>
  </si>
  <si>
    <t>Rotable Fleet Spare</t>
  </si>
  <si>
    <t>NCUC Regulatory Fee</t>
  </si>
  <si>
    <t>Revenue Accrual</t>
  </si>
  <si>
    <t>PSSE Modules</t>
  </si>
  <si>
    <t>(1+ Loss factor stated in OATT)</t>
  </si>
  <si>
    <t>(Line 9  x Line 10)/Line 11</t>
  </si>
  <si>
    <t>(Line 16 - Line 17) x Line 18</t>
  </si>
  <si>
    <t>Line 7 / (1 + Line 11)</t>
  </si>
  <si>
    <t xml:space="preserve">     Total Admin &amp; General Expenses</t>
  </si>
  <si>
    <t>323.197.b</t>
  </si>
  <si>
    <t>4A</t>
  </si>
  <si>
    <t>Post-Employment Benefits Other than Pension Expense included in line 4</t>
  </si>
  <si>
    <t>for information purposes only</t>
  </si>
  <si>
    <t>omitted</t>
  </si>
  <si>
    <t>13a</t>
  </si>
  <si>
    <t>Line 21 * Schedule 1, Line 39</t>
  </si>
  <si>
    <t>(L) DEC will provide, in connection with each Annual Update, a copy of the entire annual actuarial valuation report supporting</t>
  </si>
  <si>
    <t>the derivation of the annual Postretirement Benefits Other than Pensions ("PBOP") expense as charged to FERC account 926, and</t>
  </si>
  <si>
    <t>the amount of such expense included in Total Admin and General Expenses provided on Schedule 10-B, Exhibit B, page 3, line 4</t>
  </si>
  <si>
    <t>of the Formula Rate. DEC will provide, in connection with each Annual Update, a worksheet that shows the actual PBOP expense</t>
  </si>
  <si>
    <t>components and calculation derivation (including, for each account to which PBOP expense is recorded, the account number,</t>
  </si>
  <si>
    <t>expense amount, description, calculation derivation and source).</t>
  </si>
  <si>
    <t>Coal Ash Remediation Costs</t>
  </si>
  <si>
    <t>Advanced Metering Infrastructure</t>
  </si>
  <si>
    <t>Cargill-Alliant LLC</t>
  </si>
  <si>
    <t>Carolina Power &amp; Light</t>
  </si>
  <si>
    <t>EDF Trading North America</t>
  </si>
  <si>
    <t>J.P. Morgan Ventures Energy Corporation</t>
  </si>
  <si>
    <t>Mercuria Energy America Inc</t>
  </si>
  <si>
    <t>Morgan Stanley Capital Group Inc</t>
  </si>
  <si>
    <t>North Carolina Electric Membership</t>
  </si>
  <si>
    <t>Southern Wholesale</t>
  </si>
  <si>
    <t>Tenaska Power Services Co</t>
  </si>
  <si>
    <t>Point to Point  MWH(s) for all entries above</t>
  </si>
  <si>
    <t>EnergyUnited Electric Membership Corporation</t>
  </si>
  <si>
    <t>Lockhart</t>
  </si>
  <si>
    <t>NCMPA</t>
  </si>
  <si>
    <t>SCE&amp;G COMPANY</t>
  </si>
  <si>
    <t>SCPSA - Network</t>
  </si>
  <si>
    <t>Dallas</t>
  </si>
  <si>
    <t>Due West</t>
  </si>
  <si>
    <t>Forest City</t>
  </si>
  <si>
    <t>Prosperity</t>
  </si>
  <si>
    <t>US Dept of Energy</t>
  </si>
  <si>
    <t>Western Carolina Energy LLC</t>
  </si>
  <si>
    <t>FNO</t>
  </si>
  <si>
    <t>NINT1216 Tripwire Enterprise (TE)</t>
  </si>
  <si>
    <t>Repl Lan Trak w/PwrSolv PwrTrk</t>
  </si>
  <si>
    <t>The T&amp;D organization uses the Plantview Application</t>
  </si>
  <si>
    <t xml:space="preserve">EGIS / EMAX PD DEVICE INTEGRATION.  </t>
  </si>
  <si>
    <t>Enterprise Cust syst DCI2 Capital</t>
  </si>
  <si>
    <t>2016 Additions - Cliffside 6</t>
  </si>
  <si>
    <t>Trans Plant related to 2016 Prod Additions</t>
  </si>
  <si>
    <t>ARO Hydro Accum Depr</t>
  </si>
  <si>
    <t>AP-AN</t>
  </si>
  <si>
    <t>AN+(C*AE*12)</t>
  </si>
  <si>
    <t>262-263</t>
  </si>
  <si>
    <t>5,17,27,30,31</t>
  </si>
  <si>
    <t>10,23,32</t>
  </si>
  <si>
    <t>1-3</t>
  </si>
  <si>
    <r>
      <t>Utilizing Historic Cost Data for (</t>
    </r>
    <r>
      <rPr>
        <b/>
        <sz val="11"/>
        <color rgb="FF0000FF"/>
        <rFont val="Calibri"/>
        <family val="2"/>
        <scheme val="minor"/>
      </rPr>
      <t>2017</t>
    </r>
    <r>
      <rPr>
        <b/>
        <sz val="11"/>
        <rFont val="Calibri"/>
        <family val="2"/>
        <scheme val="minor"/>
      </rPr>
      <t>) and Projected Net Plant at Year-End (2017)</t>
    </r>
  </si>
  <si>
    <t>At December 31, 2017</t>
  </si>
  <si>
    <r>
      <t xml:space="preserve">* represents </t>
    </r>
    <r>
      <rPr>
        <sz val="11"/>
        <color rgb="FF0000FF"/>
        <rFont val="Calibri"/>
        <family val="2"/>
        <scheme val="minor"/>
      </rPr>
      <t>2017</t>
    </r>
    <r>
      <rPr>
        <sz val="11"/>
        <rFont val="Calibri"/>
        <family val="2"/>
        <scheme val="minor"/>
      </rPr>
      <t xml:space="preserve"> projected capital additions</t>
    </r>
  </si>
  <si>
    <t>2017 Additions - Cliffside 6</t>
  </si>
  <si>
    <t>AR-AP</t>
  </si>
  <si>
    <t>AP+(C*AE*12)</t>
  </si>
  <si>
    <r>
      <t xml:space="preserve">Account 0108499 - </t>
    </r>
    <r>
      <rPr>
        <b/>
        <sz val="10"/>
        <color rgb="FF0000FF"/>
        <rFont val="Arial"/>
        <family val="2"/>
      </rPr>
      <t>2017</t>
    </r>
  </si>
  <si>
    <t>Enable Mobility Software</t>
  </si>
  <si>
    <t>Footprints Upgrade Project</t>
  </si>
  <si>
    <t>MAPLINK ENHANCEMENT PROJECT - NC &amp; SC</t>
  </si>
  <si>
    <t>Enable ArcGIS/ESRI Software</t>
  </si>
  <si>
    <t>Enable ECOM Data Hub Software</t>
  </si>
  <si>
    <t>Enable EGIS Software</t>
  </si>
  <si>
    <t>Enable Maximo Software</t>
  </si>
  <si>
    <t>Enable PowerPlan Software</t>
  </si>
  <si>
    <t>Enable Primavera Software</t>
  </si>
  <si>
    <t>Enable Subst Design Tool Software</t>
  </si>
  <si>
    <t>Enable TIM Software</t>
  </si>
  <si>
    <t>Enable Transmission Project Cost Tool Software</t>
  </si>
  <si>
    <t>Enable Transmission Project Estimate Software</t>
  </si>
  <si>
    <t>Macquarie Energy LLC</t>
  </si>
  <si>
    <t>Rainbow Energy Marketing</t>
  </si>
  <si>
    <t>South Carolina Public Service Authority - P2P</t>
  </si>
  <si>
    <t>Other, Attachment H</t>
  </si>
  <si>
    <t>Deferred Fuel</t>
  </si>
  <si>
    <r>
      <rPr>
        <b/>
        <sz val="11"/>
        <color rgb="FF0000FF"/>
        <rFont val="Calibri"/>
        <family val="2"/>
        <scheme val="minor"/>
      </rPr>
      <t>2017</t>
    </r>
    <r>
      <rPr>
        <b/>
        <sz val="11"/>
        <rFont val="Calibri"/>
        <family val="2"/>
        <scheme val="minor"/>
      </rPr>
      <t xml:space="preserve"> Ending Balance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</si>
</sst>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0000_);_(* \(#,##0.00000\);_(* &quot;-&quot;??_);_(@_)"/>
    <numFmt numFmtId="166" formatCode="_(* #,##0.000_);_(* \(#,##0.000\);_(* &quot;-&quot;??_);_(@_)"/>
    <numFmt numFmtId="167" formatCode="_(* #,##0_);_(* \(#,##0\);_(* &quot;-&quot;??_);_(@_)"/>
    <numFmt numFmtId="168" formatCode="0.000000"/>
    <numFmt numFmtId="169" formatCode="_(&quot;$&quot;* #,##0_);_(&quot;$&quot;* \(#,##0\);_(&quot;$&quot;* &quot;-&quot;????_);_(@_)"/>
    <numFmt numFmtId="170" formatCode="_(* #,##0.000000_);_(* \(#,##0.000000\);_(* &quot;-&quot;??_);_(@_)"/>
    <numFmt numFmtId="171" formatCode="_(* #,##0.0000000_);_(* \(#,##0.0000000\);_(* &quot;-&quot;??_);_(@_)"/>
    <numFmt numFmtId="172" formatCode="0.0000%"/>
    <numFmt numFmtId="173" formatCode="_(&quot;$&quot;* #,##0.0000_);_(&quot;$&quot;* \(#,##0.0000\);_(&quot;$&quot;* &quot;-&quot;??_);_(@_)"/>
    <numFmt numFmtId="174" formatCode="_(&quot;$&quot;* #,##0.00000_);_(&quot;$&quot;* \(#,##0.00000\);_(&quot;$&quot;* &quot;-&quot;??_);_(@_)"/>
    <numFmt numFmtId="175" formatCode="0_)"/>
    <numFmt numFmtId="176" formatCode="dd\-mmm\-yy_)"/>
    <numFmt numFmtId="177" formatCode="0.000_)"/>
    <numFmt numFmtId="178" formatCode="#,##0.0_);[Red]\(#,##0.0\)"/>
    <numFmt numFmtId="179" formatCode="0.000"/>
    <numFmt numFmtId="180" formatCode="_(&quot;$&quot;* #,##0.000_);_(&quot;$&quot;* \(#,##0.000\);_(&quot;$&quot;* &quot;-&quot;??_);_(@_)"/>
    <numFmt numFmtId="181" formatCode="0.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sz val="10"/>
      <name val="Arial"/>
      <family val="2"/>
    </font>
    <font>
      <u/>
      <sz val="11"/>
      <name val="Calibri"/>
      <family val="2"/>
      <scheme val="minor"/>
    </font>
    <font>
      <b/>
      <sz val="11"/>
      <name val="Calibri"/>
      <family val="2"/>
      <scheme val="minor"/>
    </font>
    <font>
      <b/>
      <u/>
      <sz val="11"/>
      <name val="Calibri"/>
      <family val="2"/>
      <scheme val="minor"/>
    </font>
    <font>
      <sz val="10"/>
      <name val="Helv"/>
    </font>
    <font>
      <b/>
      <sz val="10"/>
      <name val="Arial"/>
      <family val="2"/>
    </font>
    <font>
      <sz val="14"/>
      <name val="Calibri"/>
      <family val="2"/>
      <scheme val="minor"/>
    </font>
    <font>
      <i/>
      <u/>
      <sz val="14"/>
      <name val="Calibri"/>
      <family val="2"/>
      <scheme val="minor"/>
    </font>
    <font>
      <u/>
      <sz val="14"/>
      <name val="Calibri"/>
      <family val="2"/>
      <scheme val="minor"/>
    </font>
    <font>
      <sz val="8"/>
      <name val="Calibri"/>
      <family val="2"/>
      <scheme val="minor"/>
    </font>
    <font>
      <sz val="11"/>
      <name val="Calibri"/>
      <family val="2"/>
    </font>
    <font>
      <sz val="8"/>
      <name val="Arial"/>
      <family val="2"/>
    </font>
    <font>
      <i/>
      <sz val="11"/>
      <name val="Calibri"/>
      <family val="2"/>
      <scheme val="minor"/>
    </font>
    <font>
      <b/>
      <sz val="16"/>
      <name val="Calibri"/>
      <family val="2"/>
      <scheme val="minor"/>
    </font>
    <font>
      <u val="singleAccounting"/>
      <sz val="11"/>
      <name val="Calibri"/>
      <family val="2"/>
      <scheme val="minor"/>
    </font>
    <font>
      <b/>
      <sz val="10"/>
      <name val="Calibri"/>
      <family val="2"/>
      <scheme val="minor"/>
    </font>
    <font>
      <sz val="11"/>
      <color rgb="FFFF0000"/>
      <name val="Calibri"/>
      <family val="2"/>
      <scheme val="minor"/>
    </font>
    <font>
      <sz val="9"/>
      <color indexed="81"/>
      <name val="Tahoma"/>
      <family val="2"/>
    </font>
    <font>
      <b/>
      <sz val="9"/>
      <color indexed="81"/>
      <name val="Tahoma"/>
      <family val="2"/>
    </font>
    <font>
      <i/>
      <sz val="11"/>
      <color theme="1"/>
      <name val="Calibri"/>
      <family val="2"/>
      <scheme val="minor"/>
    </font>
    <font>
      <sz val="11"/>
      <color rgb="FF0000FF"/>
      <name val="Calibri"/>
      <family val="2"/>
      <scheme val="minor"/>
    </font>
    <font>
      <sz val="10"/>
      <color rgb="FF0000FF"/>
      <name val="Arial"/>
      <family val="2"/>
    </font>
    <font>
      <i/>
      <sz val="10"/>
      <color rgb="FF0000FF"/>
      <name val="Arial"/>
      <family val="2"/>
    </font>
    <font>
      <sz val="11"/>
      <color rgb="FFFF33CC"/>
      <name val="Calibri"/>
      <family val="2"/>
      <scheme val="minor"/>
    </font>
    <font>
      <b/>
      <sz val="11"/>
      <color rgb="FF0000FF"/>
      <name val="Calibri"/>
      <family val="2"/>
      <scheme val="minor"/>
    </font>
    <font>
      <sz val="8"/>
      <color rgb="FF0000FF"/>
      <name val="Calibri"/>
      <family val="2"/>
      <scheme val="minor"/>
    </font>
    <font>
      <sz val="12"/>
      <name val="Helv"/>
    </font>
    <font>
      <sz val="8"/>
      <color indexed="12"/>
      <name val="Calibri"/>
      <family val="2"/>
      <scheme val="minor"/>
    </font>
    <font>
      <b/>
      <sz val="10"/>
      <color rgb="FF0000FF"/>
      <name val="Arial"/>
      <family val="2"/>
    </font>
    <font>
      <sz val="8"/>
      <color rgb="FFFF33CC"/>
      <name val="Calibri"/>
      <family val="2"/>
      <scheme val="minor"/>
    </font>
    <font>
      <b/>
      <sz val="9"/>
      <color indexed="81"/>
      <name val="Tahoma"/>
      <charset val="1"/>
    </font>
    <font>
      <sz val="9"/>
      <color indexed="81"/>
      <name val="Tahoma"/>
      <charset val="1"/>
    </font>
    <font>
      <sz val="8"/>
      <color rgb="FFFF0000"/>
      <name val="MS Reference Sans Serif"/>
      <family val="2"/>
    </font>
    <font>
      <sz val="8"/>
      <color rgb="FFFF33CC"/>
      <name val="MS Reference Sans Serif"/>
      <family val="2"/>
    </font>
    <font>
      <sz val="8"/>
      <color rgb="FFFF0000"/>
      <name val="Calibri"/>
      <family val="2"/>
      <scheme val="minor"/>
    </font>
    <font>
      <sz val="8"/>
      <name val="MS Reference Sans Serif"/>
      <family val="2"/>
    </font>
    <font>
      <sz val="8"/>
      <color rgb="FF0000FF"/>
      <name val="MS Reference Sans Serif"/>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5" fillId="0" borderId="0"/>
    <xf numFmtId="43" fontId="5" fillId="0" borderId="0" applyFont="0" applyFill="0" applyBorder="0" applyAlignment="0" applyProtection="0"/>
    <xf numFmtId="0" fontId="16" fillId="0" borderId="0"/>
    <xf numFmtId="5" fontId="31" fillId="0" borderId="0"/>
    <xf numFmtId="44" fontId="5" fillId="0" borderId="0" applyFont="0" applyFill="0" applyBorder="0" applyAlignment="0" applyProtection="0"/>
  </cellStyleXfs>
  <cellXfs count="367">
    <xf numFmtId="0" fontId="0" fillId="0" borderId="0" xfId="0"/>
    <xf numFmtId="0" fontId="2" fillId="0" borderId="0" xfId="0" applyFont="1"/>
    <xf numFmtId="41" fontId="3" fillId="0" borderId="0" xfId="4" applyFont="1" applyFill="1" applyAlignment="1">
      <alignment horizontal="left"/>
    </xf>
    <xf numFmtId="3" fontId="3" fillId="0" borderId="0" xfId="0" applyNumberFormat="1" applyFont="1" applyFill="1"/>
    <xf numFmtId="3" fontId="3" fillId="0" borderId="0" xfId="0" applyNumberFormat="1" applyFont="1" applyFill="1" applyAlignment="1"/>
    <xf numFmtId="164" fontId="4" fillId="0" borderId="0" xfId="2" applyNumberFormat="1" applyFont="1" applyFill="1" applyAlignment="1"/>
    <xf numFmtId="0" fontId="4" fillId="0" borderId="0" xfId="0" applyFont="1" applyFill="1"/>
    <xf numFmtId="164" fontId="4" fillId="0" borderId="0" xfId="2" applyNumberFormat="1" applyFont="1" applyFill="1"/>
    <xf numFmtId="167" fontId="4" fillId="0" borderId="0" xfId="1" applyNumberFormat="1" applyFont="1" applyFill="1"/>
    <xf numFmtId="164" fontId="4" fillId="0" borderId="0" xfId="0" applyNumberFormat="1" applyFont="1" applyFill="1"/>
    <xf numFmtId="0" fontId="4" fillId="0" borderId="0" xfId="0" applyFont="1" applyFill="1" applyAlignment="1"/>
    <xf numFmtId="0" fontId="0" fillId="0" borderId="0" xfId="0" quotePrefix="1"/>
    <xf numFmtId="164" fontId="4" fillId="0" borderId="0" xfId="2" applyNumberFormat="1" applyFont="1" applyFill="1" applyAlignment="1">
      <alignment horizontal="center"/>
    </xf>
    <xf numFmtId="0" fontId="4" fillId="0" borderId="0" xfId="0" applyFont="1" applyFill="1" applyBorder="1"/>
    <xf numFmtId="0" fontId="6" fillId="0" borderId="0" xfId="0" applyFont="1" applyFill="1"/>
    <xf numFmtId="0" fontId="7" fillId="0" borderId="0" xfId="0" applyFont="1" applyFill="1"/>
    <xf numFmtId="14" fontId="7" fillId="0" borderId="0" xfId="0" applyNumberFormat="1" applyFont="1" applyFill="1" applyAlignment="1">
      <alignment horizontal="center"/>
    </xf>
    <xf numFmtId="3" fontId="4" fillId="0" borderId="0" xfId="0" applyNumberFormat="1" applyFont="1" applyFill="1" applyAlignment="1"/>
    <xf numFmtId="3" fontId="4" fillId="0" borderId="0" xfId="0" applyNumberFormat="1" applyFont="1" applyFill="1"/>
    <xf numFmtId="3" fontId="7" fillId="0" borderId="0" xfId="0" applyNumberFormat="1" applyFont="1" applyFill="1"/>
    <xf numFmtId="164" fontId="7" fillId="0" borderId="0" xfId="2" applyNumberFormat="1" applyFont="1" applyFill="1"/>
    <xf numFmtId="41" fontId="4" fillId="0" borderId="0" xfId="4" applyFont="1" applyFill="1" applyAlignment="1">
      <alignment horizontal="left"/>
    </xf>
    <xf numFmtId="0" fontId="8" fillId="0" borderId="0" xfId="0" applyFont="1" applyFill="1"/>
    <xf numFmtId="164" fontId="7" fillId="0" borderId="0" xfId="0" applyNumberFormat="1" applyFont="1" applyFill="1"/>
    <xf numFmtId="0" fontId="7" fillId="0" borderId="0" xfId="0" applyFont="1" applyFill="1" applyBorder="1" applyAlignment="1">
      <alignment horizontal="center"/>
    </xf>
    <xf numFmtId="0" fontId="10" fillId="0" borderId="0" xfId="0" applyFont="1" applyFill="1"/>
    <xf numFmtId="0" fontId="7" fillId="0" borderId="0" xfId="0" applyFont="1" applyFill="1" applyAlignment="1"/>
    <xf numFmtId="0" fontId="11" fillId="0" borderId="0" xfId="0" applyFont="1" applyFill="1"/>
    <xf numFmtId="0" fontId="11" fillId="0" borderId="0" xfId="0" quotePrefix="1" applyFont="1" applyFill="1"/>
    <xf numFmtId="14" fontId="14" fillId="0" borderId="0" xfId="0" applyNumberFormat="1" applyFont="1" applyFill="1" applyBorder="1" applyAlignment="1" applyProtection="1">
      <alignment horizontal="center"/>
    </xf>
    <xf numFmtId="5" fontId="14" fillId="0" borderId="0" xfId="0" applyNumberFormat="1" applyFont="1" applyFill="1" applyAlignment="1" applyProtection="1">
      <alignment horizontal="left"/>
    </xf>
    <xf numFmtId="5" fontId="14" fillId="0" borderId="0" xfId="0" applyNumberFormat="1" applyFont="1" applyFill="1" applyAlignment="1">
      <alignment horizontal="center"/>
    </xf>
    <xf numFmtId="5" fontId="14" fillId="0" borderId="0" xfId="0" applyNumberFormat="1" applyFont="1" applyFill="1" applyAlignment="1" applyProtection="1">
      <alignment horizontal="center"/>
    </xf>
    <xf numFmtId="175" fontId="14" fillId="0" borderId="0" xfId="0" applyNumberFormat="1" applyFont="1" applyFill="1" applyAlignment="1" applyProtection="1">
      <alignment horizontal="center"/>
    </xf>
    <xf numFmtId="5" fontId="14" fillId="0" borderId="1" xfId="0" applyNumberFormat="1" applyFont="1" applyFill="1" applyBorder="1" applyAlignment="1" applyProtection="1">
      <alignment horizontal="center"/>
    </xf>
    <xf numFmtId="175" fontId="14" fillId="0" borderId="1" xfId="0" applyNumberFormat="1" applyFont="1" applyFill="1" applyBorder="1" applyAlignment="1" applyProtection="1">
      <alignment horizontal="center" wrapText="1"/>
    </xf>
    <xf numFmtId="175" fontId="14" fillId="0" borderId="1" xfId="0" applyNumberFormat="1" applyFont="1" applyFill="1" applyBorder="1" applyAlignment="1" applyProtection="1">
      <alignment horizontal="center"/>
    </xf>
    <xf numFmtId="14" fontId="14" fillId="0" borderId="1" xfId="0" applyNumberFormat="1" applyFont="1" applyFill="1" applyBorder="1" applyAlignment="1" applyProtection="1">
      <alignment horizontal="center"/>
    </xf>
    <xf numFmtId="5" fontId="14" fillId="0" borderId="0" xfId="0" quotePrefix="1" applyNumberFormat="1" applyFont="1" applyFill="1" applyAlignment="1" applyProtection="1">
      <alignment horizontal="center"/>
    </xf>
    <xf numFmtId="5" fontId="14" fillId="0" borderId="0" xfId="0" quotePrefix="1" applyNumberFormat="1" applyFont="1" applyFill="1" applyAlignment="1">
      <alignment horizontal="center"/>
    </xf>
    <xf numFmtId="176" fontId="14" fillId="0" borderId="0" xfId="0" applyNumberFormat="1" applyFont="1" applyFill="1" applyProtection="1">
      <protection locked="0"/>
    </xf>
    <xf numFmtId="177" fontId="14" fillId="0" borderId="0" xfId="0" applyNumberFormat="1" applyFont="1" applyFill="1" applyProtection="1">
      <protection locked="0"/>
    </xf>
    <xf numFmtId="10" fontId="14" fillId="0" borderId="0" xfId="0" applyNumberFormat="1" applyFont="1" applyFill="1" applyProtection="1">
      <protection locked="0"/>
    </xf>
    <xf numFmtId="177" fontId="14" fillId="0" borderId="0" xfId="0" applyNumberFormat="1" applyFont="1" applyFill="1" applyProtection="1"/>
    <xf numFmtId="5" fontId="14" fillId="0" borderId="0" xfId="0" applyNumberFormat="1" applyFont="1" applyFill="1" applyBorder="1" applyProtection="1"/>
    <xf numFmtId="176" fontId="14" fillId="0" borderId="0" xfId="0" applyNumberFormat="1" applyFont="1" applyFill="1" applyProtection="1"/>
    <xf numFmtId="5" fontId="14" fillId="0" borderId="6" xfId="0" applyNumberFormat="1" applyFont="1" applyFill="1" applyBorder="1" applyProtection="1"/>
    <xf numFmtId="5" fontId="3" fillId="0" borderId="0" xfId="0" applyNumberFormat="1" applyFont="1" applyFill="1"/>
    <xf numFmtId="5" fontId="9" fillId="0" borderId="0" xfId="0" applyNumberFormat="1" applyFont="1" applyFill="1"/>
    <xf numFmtId="15" fontId="4" fillId="0" borderId="0" xfId="0" applyNumberFormat="1" applyFont="1" applyFill="1"/>
    <xf numFmtId="0" fontId="10" fillId="0" borderId="2" xfId="0" applyFont="1" applyFill="1" applyBorder="1"/>
    <xf numFmtId="0" fontId="10" fillId="0" borderId="3" xfId="0" applyFont="1" applyFill="1" applyBorder="1"/>
    <xf numFmtId="0" fontId="10" fillId="0" borderId="3" xfId="0" applyFont="1" applyFill="1" applyBorder="1" applyAlignment="1">
      <alignment horizontal="center"/>
    </xf>
    <xf numFmtId="0" fontId="4" fillId="0" borderId="0" xfId="0" applyNumberFormat="1" applyFont="1" applyFill="1" applyAlignment="1">
      <alignment horizontal="center"/>
    </xf>
    <xf numFmtId="167" fontId="5" fillId="0" borderId="0" xfId="1" applyNumberFormat="1" applyFont="1" applyFill="1" applyProtection="1">
      <protection locked="0"/>
    </xf>
    <xf numFmtId="0" fontId="5" fillId="0" borderId="0" xfId="0" applyFont="1" applyFill="1"/>
    <xf numFmtId="0" fontId="0" fillId="0" borderId="0" xfId="0" applyAlignment="1">
      <alignment wrapText="1"/>
    </xf>
    <xf numFmtId="0" fontId="2" fillId="0" borderId="1" xfId="0" applyFont="1" applyBorder="1" applyAlignment="1">
      <alignment horizontal="center"/>
    </xf>
    <xf numFmtId="168" fontId="4" fillId="0" borderId="0" xfId="0" applyNumberFormat="1" applyFont="1" applyFill="1"/>
    <xf numFmtId="0" fontId="4" fillId="0" borderId="0" xfId="7" applyFont="1" applyFill="1"/>
    <xf numFmtId="164" fontId="7" fillId="0" borderId="10" xfId="0" applyNumberFormat="1" applyFont="1" applyFill="1" applyBorder="1"/>
    <xf numFmtId="164" fontId="7" fillId="0" borderId="10" xfId="2" applyNumberFormat="1" applyFont="1" applyFill="1" applyBorder="1" applyAlignment="1"/>
    <xf numFmtId="0" fontId="17" fillId="0" borderId="0" xfId="0" applyFont="1" applyFill="1"/>
    <xf numFmtId="167" fontId="5" fillId="0" borderId="0" xfId="7" applyNumberFormat="1" applyFont="1" applyFill="1"/>
    <xf numFmtId="0" fontId="4" fillId="0" borderId="0" xfId="0" quotePrefix="1" applyFont="1" applyFill="1" applyAlignment="1">
      <alignment horizontal="center"/>
    </xf>
    <xf numFmtId="14" fontId="4" fillId="0" borderId="0" xfId="0" applyNumberFormat="1" applyFont="1" applyFill="1" applyAlignment="1">
      <alignment horizontal="center"/>
    </xf>
    <xf numFmtId="10" fontId="4" fillId="0" borderId="0" xfId="0" applyNumberFormat="1" applyFont="1" applyFill="1" applyAlignment="1">
      <alignment horizontal="center"/>
    </xf>
    <xf numFmtId="179" fontId="4" fillId="0" borderId="0" xfId="0" applyNumberFormat="1" applyFont="1" applyFill="1" applyAlignment="1">
      <alignment horizontal="center"/>
    </xf>
    <xf numFmtId="38" fontId="7" fillId="0" borderId="0" xfId="0" applyNumberFormat="1" applyFont="1" applyFill="1" applyAlignment="1">
      <alignment horizontal="center"/>
    </xf>
    <xf numFmtId="10" fontId="6" fillId="0" borderId="0" xfId="0" applyNumberFormat="1" applyFont="1" applyFill="1" applyAlignment="1">
      <alignment horizontal="center"/>
    </xf>
    <xf numFmtId="178" fontId="4" fillId="0" borderId="0" xfId="0" applyNumberFormat="1" applyFont="1" applyFill="1" applyAlignment="1">
      <alignment horizontal="center"/>
    </xf>
    <xf numFmtId="49" fontId="4" fillId="0" borderId="0" xfId="0" applyNumberFormat="1" applyFont="1" applyFill="1"/>
    <xf numFmtId="9" fontId="4" fillId="0" borderId="0" xfId="3" applyFont="1" applyFill="1"/>
    <xf numFmtId="170" fontId="4" fillId="0" borderId="0" xfId="0" applyNumberFormat="1" applyFont="1" applyFill="1"/>
    <xf numFmtId="164" fontId="4" fillId="0" borderId="0" xfId="2" applyNumberFormat="1" applyFont="1" applyFill="1" applyBorder="1"/>
    <xf numFmtId="164" fontId="7" fillId="0" borderId="0" xfId="2" applyNumberFormat="1" applyFont="1" applyFill="1" applyAlignment="1">
      <alignment horizontal="center"/>
    </xf>
    <xf numFmtId="0" fontId="7" fillId="0" borderId="0" xfId="0" applyFont="1" applyFill="1" applyAlignment="1">
      <alignment horizontal="right" vertical="center"/>
    </xf>
    <xf numFmtId="0" fontId="7" fillId="0" borderId="0" xfId="0" applyFont="1" applyFill="1" applyAlignment="1">
      <alignment horizontal="center" vertical="center"/>
    </xf>
    <xf numFmtId="164" fontId="4" fillId="0" borderId="1" xfId="2" applyNumberFormat="1" applyFont="1" applyFill="1" applyBorder="1"/>
    <xf numFmtId="43" fontId="4" fillId="0" borderId="0" xfId="1" applyFont="1" applyFill="1"/>
    <xf numFmtId="44" fontId="4" fillId="0" borderId="0" xfId="0" applyNumberFormat="1" applyFont="1" applyFill="1"/>
    <xf numFmtId="0" fontId="4" fillId="0" borderId="0" xfId="0" quotePrefix="1" applyFont="1" applyFill="1"/>
    <xf numFmtId="44" fontId="4" fillId="0" borderId="0" xfId="2" applyNumberFormat="1" applyFont="1" applyFill="1"/>
    <xf numFmtId="173" fontId="4" fillId="0" borderId="0" xfId="2" applyNumberFormat="1" applyFont="1" applyFill="1"/>
    <xf numFmtId="174" fontId="4" fillId="0" borderId="0" xfId="2" applyNumberFormat="1" applyFont="1" applyFill="1"/>
    <xf numFmtId="0" fontId="7" fillId="0" borderId="0" xfId="0" applyFont="1" applyFill="1" applyAlignment="1">
      <alignment horizontal="center" wrapText="1"/>
    </xf>
    <xf numFmtId="44" fontId="4" fillId="0" borderId="0" xfId="2" applyFont="1" applyFill="1"/>
    <xf numFmtId="164" fontId="4" fillId="0" borderId="1" xfId="0" applyNumberFormat="1" applyFont="1" applyFill="1" applyBorder="1"/>
    <xf numFmtId="10" fontId="4" fillId="0" borderId="0" xfId="3" applyNumberFormat="1" applyFont="1" applyFill="1"/>
    <xf numFmtId="0" fontId="4" fillId="0" borderId="0" xfId="0" applyFont="1" applyFill="1" applyAlignment="1">
      <alignment horizontal="right"/>
    </xf>
    <xf numFmtId="0" fontId="5" fillId="0" borderId="0" xfId="7" applyFont="1" applyFill="1"/>
    <xf numFmtId="0" fontId="4" fillId="0" borderId="0" xfId="0" applyFont="1" applyFill="1" applyAlignment="1">
      <alignment vertical="center"/>
    </xf>
    <xf numFmtId="0" fontId="4" fillId="0" borderId="0" xfId="0" applyFont="1" applyFill="1" applyAlignment="1">
      <alignment horizontal="left" vertical="center"/>
    </xf>
    <xf numFmtId="43" fontId="4" fillId="0" borderId="0" xfId="0" applyNumberFormat="1" applyFont="1" applyFill="1"/>
    <xf numFmtId="17" fontId="4" fillId="0" borderId="0" xfId="0" applyNumberFormat="1" applyFont="1" applyFill="1"/>
    <xf numFmtId="164" fontId="4" fillId="0" borderId="0" xfId="0" applyNumberFormat="1" applyFont="1" applyFill="1" applyBorder="1"/>
    <xf numFmtId="14" fontId="4" fillId="0" borderId="0" xfId="0" applyNumberFormat="1" applyFont="1" applyFill="1" applyAlignment="1"/>
    <xf numFmtId="167" fontId="4" fillId="0" borderId="0" xfId="0" applyNumberFormat="1" applyFont="1" applyFill="1"/>
    <xf numFmtId="9" fontId="4" fillId="0" borderId="0" xfId="0" applyNumberFormat="1" applyFont="1" applyFill="1"/>
    <xf numFmtId="0" fontId="7" fillId="0" borderId="2" xfId="0" applyFont="1" applyFill="1" applyBorder="1"/>
    <xf numFmtId="0" fontId="4" fillId="0" borderId="3" xfId="0" applyFont="1" applyFill="1" applyBorder="1"/>
    <xf numFmtId="0" fontId="4" fillId="0" borderId="4" xfId="0" applyFont="1" applyFill="1" applyBorder="1"/>
    <xf numFmtId="0" fontId="4" fillId="0" borderId="0" xfId="0" applyFont="1" applyFill="1" applyBorder="1" applyAlignment="1">
      <alignment horizontal="center"/>
    </xf>
    <xf numFmtId="169" fontId="4" fillId="0" borderId="0" xfId="0" applyNumberFormat="1" applyFont="1" applyFill="1"/>
    <xf numFmtId="164" fontId="7" fillId="0" borderId="10" xfId="2" applyNumberFormat="1" applyFont="1" applyFill="1" applyBorder="1"/>
    <xf numFmtId="164" fontId="7" fillId="0" borderId="5" xfId="0" applyNumberFormat="1" applyFont="1" applyFill="1" applyBorder="1"/>
    <xf numFmtId="172" fontId="4" fillId="0" borderId="0" xfId="3" applyNumberFormat="1" applyFont="1" applyFill="1"/>
    <xf numFmtId="0" fontId="18" fillId="0" borderId="0" xfId="0" applyFont="1" applyFill="1"/>
    <xf numFmtId="49" fontId="11" fillId="0" borderId="0" xfId="0" applyNumberFormat="1" applyFont="1" applyFill="1"/>
    <xf numFmtId="0" fontId="6" fillId="0" borderId="0" xfId="0" applyFont="1" applyFill="1" applyBorder="1"/>
    <xf numFmtId="0" fontId="6" fillId="0" borderId="0" xfId="0" applyFont="1" applyFill="1" applyBorder="1" applyAlignment="1">
      <alignment horizontal="center"/>
    </xf>
    <xf numFmtId="164" fontId="19" fillId="0" borderId="0" xfId="2" applyNumberFormat="1" applyFont="1" applyFill="1" applyBorder="1" applyAlignment="1">
      <alignment horizontal="center"/>
    </xf>
    <xf numFmtId="10" fontId="4" fillId="0" borderId="0" xfId="3" applyNumberFormat="1" applyFont="1" applyFill="1" applyAlignment="1">
      <alignment horizontal="center"/>
    </xf>
    <xf numFmtId="0" fontId="4" fillId="0" borderId="0" xfId="0" applyFont="1" applyFill="1" applyBorder="1" applyAlignment="1">
      <alignment horizontal="right"/>
    </xf>
    <xf numFmtId="10" fontId="4" fillId="0" borderId="1" xfId="3" applyNumberFormat="1" applyFont="1" applyFill="1" applyBorder="1"/>
    <xf numFmtId="10" fontId="7" fillId="0" borderId="0" xfId="3" applyNumberFormat="1" applyFont="1" applyFill="1"/>
    <xf numFmtId="0" fontId="3" fillId="0" borderId="0" xfId="0" applyFont="1" applyFill="1"/>
    <xf numFmtId="165" fontId="4" fillId="0" borderId="0" xfId="1" applyNumberFormat="1" applyFont="1" applyFill="1"/>
    <xf numFmtId="171" fontId="4" fillId="0" borderId="0" xfId="1" applyNumberFormat="1" applyFont="1" applyFill="1"/>
    <xf numFmtId="168" fontId="4" fillId="0" borderId="0" xfId="1" applyNumberFormat="1" applyFont="1" applyFill="1"/>
    <xf numFmtId="0" fontId="20" fillId="0" borderId="0" xfId="0" applyFont="1" applyFill="1"/>
    <xf numFmtId="10" fontId="4" fillId="0" borderId="0" xfId="3" applyNumberFormat="1" applyFont="1" applyFill="1" applyBorder="1"/>
    <xf numFmtId="166" fontId="4" fillId="0" borderId="0" xfId="1" applyNumberFormat="1" applyFont="1" applyFill="1" applyBorder="1"/>
    <xf numFmtId="164" fontId="7" fillId="0" borderId="0" xfId="2" applyNumberFormat="1" applyFont="1" applyFill="1" applyBorder="1"/>
    <xf numFmtId="170" fontId="4" fillId="0" borderId="0" xfId="1" applyNumberFormat="1" applyFont="1" applyFill="1"/>
    <xf numFmtId="0" fontId="4" fillId="0" borderId="0" xfId="0" applyFont="1" applyFill="1" applyAlignment="1">
      <alignment wrapText="1"/>
    </xf>
    <xf numFmtId="44" fontId="4" fillId="0" borderId="10" xfId="2" applyFont="1" applyFill="1" applyBorder="1"/>
    <xf numFmtId="0" fontId="0" fillId="0" borderId="0" xfId="0" applyFill="1"/>
    <xf numFmtId="0" fontId="0" fillId="0" borderId="0" xfId="0" applyFill="1" applyAlignment="1">
      <alignment vertical="top"/>
    </xf>
    <xf numFmtId="0" fontId="0" fillId="0" borderId="0" xfId="0" applyFill="1" applyAlignment="1">
      <alignment horizontal="center"/>
    </xf>
    <xf numFmtId="172" fontId="0" fillId="0" borderId="0" xfId="3" applyNumberFormat="1" applyFont="1" applyFill="1"/>
    <xf numFmtId="0" fontId="7" fillId="0" borderId="1" xfId="0" applyFont="1" applyFill="1" applyBorder="1" applyAlignment="1">
      <alignment horizontal="center"/>
    </xf>
    <xf numFmtId="0" fontId="0" fillId="0" borderId="0" xfId="0" applyFill="1" applyAlignment="1">
      <alignment vertical="top" wrapText="1"/>
    </xf>
    <xf numFmtId="0" fontId="0" fillId="0" borderId="0" xfId="0" applyFill="1" applyAlignment="1">
      <alignment horizontal="center" vertical="top"/>
    </xf>
    <xf numFmtId="167" fontId="0" fillId="0" borderId="0" xfId="0" applyNumberFormat="1" applyFill="1" applyAlignment="1">
      <alignment vertical="top"/>
    </xf>
    <xf numFmtId="0" fontId="7" fillId="0" borderId="0" xfId="0" applyFont="1" applyFill="1" applyAlignment="1">
      <alignment horizontal="center"/>
    </xf>
    <xf numFmtId="0" fontId="8"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left"/>
    </xf>
    <xf numFmtId="0" fontId="0" fillId="0" borderId="0" xfId="0" applyFill="1" applyBorder="1" applyAlignment="1">
      <alignment wrapText="1"/>
    </xf>
    <xf numFmtId="0" fontId="0" fillId="0" borderId="0" xfId="0" applyFill="1" applyBorder="1" applyAlignment="1"/>
    <xf numFmtId="9" fontId="4" fillId="0" borderId="0" xfId="3" applyFont="1" applyFill="1" applyBorder="1"/>
    <xf numFmtId="44" fontId="4" fillId="0" borderId="0" xfId="0" applyNumberFormat="1" applyFont="1" applyFill="1" applyBorder="1"/>
    <xf numFmtId="179" fontId="4" fillId="0" borderId="0" xfId="0" applyNumberFormat="1" applyFont="1" applyFill="1" applyBorder="1"/>
    <xf numFmtId="5" fontId="4" fillId="0" borderId="0" xfId="0" applyNumberFormat="1" applyFont="1" applyFill="1" applyBorder="1"/>
    <xf numFmtId="168" fontId="0" fillId="0" borderId="0" xfId="0" applyNumberFormat="1" applyFill="1"/>
    <xf numFmtId="167" fontId="0" fillId="0" borderId="0" xfId="1" applyNumberFormat="1" applyFont="1" applyFill="1"/>
    <xf numFmtId="0" fontId="21" fillId="0" borderId="0" xfId="0" applyFont="1" applyFill="1"/>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applyAlignment="1"/>
    <xf numFmtId="0" fontId="7" fillId="0" borderId="0" xfId="0" applyFont="1" applyFill="1" applyAlignment="1">
      <alignment horizontal="center"/>
    </xf>
    <xf numFmtId="0" fontId="8" fillId="0" borderId="0" xfId="0" applyFont="1" applyFill="1" applyAlignment="1">
      <alignment horizontal="center"/>
    </xf>
    <xf numFmtId="0" fontId="4" fillId="0" borderId="0" xfId="0" applyFont="1" applyFill="1" applyAlignment="1">
      <alignment horizontal="center"/>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4" fillId="0" borderId="0" xfId="0" applyFont="1" applyFill="1" applyAlignment="1">
      <alignment horizontal="left" indent="2"/>
    </xf>
    <xf numFmtId="0" fontId="2" fillId="0" borderId="0" xfId="0" applyFont="1" applyFill="1"/>
    <xf numFmtId="169" fontId="7" fillId="0" borderId="0" xfId="0" applyNumberFormat="1" applyFont="1" applyFill="1" applyBorder="1"/>
    <xf numFmtId="172" fontId="4" fillId="0" borderId="0" xfId="3" applyNumberFormat="1" applyFont="1" applyFill="1" applyAlignment="1">
      <alignment horizontal="center"/>
    </xf>
    <xf numFmtId="0" fontId="10" fillId="0" borderId="11" xfId="0" applyFont="1" applyFill="1" applyBorder="1"/>
    <xf numFmtId="0" fontId="4" fillId="0" borderId="12" xfId="0" applyFont="1" applyFill="1" applyBorder="1"/>
    <xf numFmtId="0" fontId="4" fillId="0" borderId="7" xfId="0" applyFont="1" applyFill="1" applyBorder="1"/>
    <xf numFmtId="0" fontId="5" fillId="0" borderId="7" xfId="0" applyFont="1" applyFill="1" applyBorder="1"/>
    <xf numFmtId="164" fontId="5" fillId="0" borderId="9" xfId="2" applyNumberFormat="1" applyFont="1" applyFill="1" applyBorder="1" applyAlignment="1">
      <alignment horizontal="right" indent="1"/>
    </xf>
    <xf numFmtId="0" fontId="4" fillId="0" borderId="13" xfId="0" applyFont="1" applyFill="1" applyBorder="1"/>
    <xf numFmtId="180" fontId="4" fillId="0" borderId="0" xfId="2" applyNumberFormat="1" applyFont="1" applyFill="1"/>
    <xf numFmtId="0" fontId="7" fillId="0" borderId="0" xfId="0" applyFont="1" applyFill="1" applyAlignment="1">
      <alignment horizontal="center"/>
    </xf>
    <xf numFmtId="0" fontId="4" fillId="0" borderId="0" xfId="0" applyFont="1" applyFill="1" applyAlignment="1">
      <alignment horizontal="center"/>
    </xf>
    <xf numFmtId="14" fontId="4" fillId="0" borderId="0" xfId="0" applyNumberFormat="1" applyFont="1" applyFill="1"/>
    <xf numFmtId="14" fontId="7" fillId="0" borderId="0" xfId="0" applyNumberFormat="1" applyFont="1" applyFill="1" applyAlignment="1">
      <alignment horizontal="left"/>
    </xf>
    <xf numFmtId="0" fontId="4" fillId="0" borderId="0" xfId="0" applyFont="1" applyFill="1"/>
    <xf numFmtId="167" fontId="4" fillId="0" borderId="0" xfId="0" applyNumberFormat="1" applyFont="1" applyFill="1"/>
    <xf numFmtId="0" fontId="4" fillId="0" borderId="0" xfId="0" applyFont="1" applyFill="1"/>
    <xf numFmtId="0" fontId="4" fillId="0" borderId="0" xfId="0" applyFont="1" applyFill="1"/>
    <xf numFmtId="0" fontId="0" fillId="0" borderId="0" xfId="0" applyFill="1"/>
    <xf numFmtId="0" fontId="4" fillId="0" borderId="0" xfId="0" applyFont="1" applyFill="1"/>
    <xf numFmtId="0" fontId="4" fillId="0" borderId="0" xfId="0" applyFont="1" applyFill="1"/>
    <xf numFmtId="0" fontId="0" fillId="0" borderId="0" xfId="0" applyFill="1"/>
    <xf numFmtId="0" fontId="4" fillId="0" borderId="0" xfId="0" applyFont="1" applyFill="1"/>
    <xf numFmtId="0" fontId="4" fillId="0" borderId="0" xfId="0" applyFont="1" applyFill="1"/>
    <xf numFmtId="167" fontId="17" fillId="0" borderId="0" xfId="0" applyNumberFormat="1" applyFont="1" applyFill="1"/>
    <xf numFmtId="0" fontId="4" fillId="0" borderId="0" xfId="0" applyFont="1" applyFill="1"/>
    <xf numFmtId="0" fontId="0" fillId="0" borderId="0" xfId="0" applyFill="1"/>
    <xf numFmtId="167" fontId="4" fillId="0" borderId="0" xfId="0" applyNumberFormat="1" applyFont="1" applyFill="1"/>
    <xf numFmtId="0" fontId="4" fillId="0" borderId="0" xfId="0" applyFont="1" applyFill="1"/>
    <xf numFmtId="164" fontId="4" fillId="0" borderId="0" xfId="2" applyNumberFormat="1" applyFont="1" applyFill="1"/>
    <xf numFmtId="0" fontId="0" fillId="0" borderId="0" xfId="0" applyFill="1"/>
    <xf numFmtId="164" fontId="4" fillId="0" borderId="0" xfId="2" applyNumberFormat="1" applyFont="1" applyFill="1" applyBorder="1"/>
    <xf numFmtId="164" fontId="4" fillId="0" borderId="1" xfId="2" applyNumberFormat="1" applyFont="1" applyFill="1" applyBorder="1"/>
    <xf numFmtId="167" fontId="4" fillId="0" borderId="0" xfId="0" applyNumberFormat="1" applyFont="1" applyFill="1"/>
    <xf numFmtId="170" fontId="4" fillId="0" borderId="0" xfId="0" applyNumberFormat="1" applyFont="1" applyFill="1"/>
    <xf numFmtId="0" fontId="4" fillId="0" borderId="0" xfId="0" applyFont="1" applyFill="1"/>
    <xf numFmtId="164" fontId="4" fillId="0" borderId="0" xfId="2" applyNumberFormat="1" applyFont="1" applyFill="1"/>
    <xf numFmtId="0" fontId="0" fillId="0" borderId="0" xfId="0" applyFill="1"/>
    <xf numFmtId="168" fontId="0" fillId="0" borderId="0" xfId="0" applyNumberFormat="1" applyFill="1"/>
    <xf numFmtId="0" fontId="4" fillId="0" borderId="0" xfId="0" applyFont="1" applyFill="1"/>
    <xf numFmtId="0" fontId="0" fillId="0" borderId="0" xfId="0" applyFill="1"/>
    <xf numFmtId="167" fontId="4" fillId="0" borderId="0" xfId="0" applyNumberFormat="1" applyFont="1" applyFill="1"/>
    <xf numFmtId="0" fontId="4" fillId="0" borderId="0" xfId="0" applyFont="1" applyFill="1"/>
    <xf numFmtId="0" fontId="0" fillId="0" borderId="0" xfId="0" applyFill="1"/>
    <xf numFmtId="0" fontId="0" fillId="0" borderId="0" xfId="0" applyFont="1" applyFill="1"/>
    <xf numFmtId="0" fontId="24" fillId="0" borderId="0" xfId="0" applyFont="1" applyFill="1"/>
    <xf numFmtId="167" fontId="0" fillId="0" borderId="0" xfId="0" applyNumberFormat="1" applyFont="1" applyFill="1"/>
    <xf numFmtId="0" fontId="0" fillId="0" borderId="0" xfId="0" applyFont="1"/>
    <xf numFmtId="43" fontId="0" fillId="0" borderId="0" xfId="1" applyFont="1" applyFill="1"/>
    <xf numFmtId="164" fontId="0" fillId="0" borderId="0" xfId="2" applyNumberFormat="1" applyFont="1" applyFill="1" applyAlignment="1"/>
    <xf numFmtId="164" fontId="0" fillId="0" borderId="0" xfId="0" applyNumberFormat="1" applyFont="1" applyFill="1"/>
    <xf numFmtId="168" fontId="0" fillId="0" borderId="0" xfId="0" applyNumberFormat="1" applyFont="1" applyFill="1"/>
    <xf numFmtId="0" fontId="0" fillId="0" borderId="0" xfId="0" applyFont="1" applyFill="1" applyBorder="1"/>
    <xf numFmtId="44" fontId="0" fillId="0" borderId="0" xfId="2" applyFont="1" applyFill="1"/>
    <xf numFmtId="0" fontId="4" fillId="2" borderId="0" xfId="0" applyFont="1" applyFill="1" applyAlignment="1">
      <alignment horizontal="center"/>
    </xf>
    <xf numFmtId="0" fontId="4" fillId="2" borderId="0" xfId="0" applyFont="1" applyFill="1"/>
    <xf numFmtId="0" fontId="7" fillId="0" borderId="0" xfId="0" applyFont="1" applyFill="1" applyAlignment="1">
      <alignment horizontal="center"/>
    </xf>
    <xf numFmtId="167" fontId="27" fillId="0" borderId="0" xfId="1" applyNumberFormat="1" applyFont="1" applyFill="1" applyProtection="1">
      <protection locked="0"/>
    </xf>
    <xf numFmtId="0" fontId="25" fillId="0" borderId="0" xfId="0" applyFont="1" applyFill="1"/>
    <xf numFmtId="167" fontId="5" fillId="0" borderId="0" xfId="0" applyNumberFormat="1" applyFont="1" applyFill="1"/>
    <xf numFmtId="0" fontId="21" fillId="0" borderId="0" xfId="0" applyFont="1" applyFill="1"/>
    <xf numFmtId="167" fontId="5" fillId="0" borderId="0" xfId="1" applyNumberFormat="1" applyFont="1" applyFill="1" applyProtection="1">
      <protection locked="0"/>
    </xf>
    <xf numFmtId="3" fontId="25" fillId="0" borderId="0" xfId="3" applyNumberFormat="1" applyFont="1" applyFill="1"/>
    <xf numFmtId="170" fontId="25" fillId="0" borderId="0" xfId="0" applyNumberFormat="1" applyFont="1" applyFill="1"/>
    <xf numFmtId="170" fontId="25" fillId="0" borderId="0" xfId="0" applyNumberFormat="1" applyFont="1" applyFill="1" applyBorder="1"/>
    <xf numFmtId="14" fontId="29" fillId="0" borderId="0" xfId="0" applyNumberFormat="1" applyFont="1" applyFill="1" applyAlignment="1">
      <alignment horizontal="center"/>
    </xf>
    <xf numFmtId="168" fontId="25" fillId="0" borderId="0" xfId="0" applyNumberFormat="1" applyFont="1" applyFill="1"/>
    <xf numFmtId="5" fontId="30" fillId="0" borderId="0" xfId="0" applyNumberFormat="1" applyFont="1" applyFill="1" applyProtection="1">
      <protection locked="0"/>
    </xf>
    <xf numFmtId="14" fontId="29" fillId="0" borderId="0" xfId="0" applyNumberFormat="1" applyFont="1" applyFill="1" applyAlignment="1">
      <alignment horizontal="center"/>
    </xf>
    <xf numFmtId="14" fontId="29" fillId="0" borderId="0" xfId="0" applyNumberFormat="1" applyFont="1" applyFill="1" applyAlignment="1">
      <alignment horizontal="center"/>
    </xf>
    <xf numFmtId="164" fontId="7" fillId="0" borderId="10" xfId="0" applyNumberFormat="1" applyFont="1" applyFill="1" applyBorder="1"/>
    <xf numFmtId="0" fontId="4" fillId="0" borderId="0" xfId="0" applyFont="1" applyFill="1"/>
    <xf numFmtId="0" fontId="7" fillId="0" borderId="0" xfId="0" applyFont="1" applyFill="1" applyAlignment="1">
      <alignment horizontal="center"/>
    </xf>
    <xf numFmtId="164" fontId="4" fillId="0" borderId="0" xfId="2" applyNumberFormat="1" applyFont="1" applyFill="1" applyAlignment="1"/>
    <xf numFmtId="0" fontId="4" fillId="0" borderId="0" xfId="0" applyFont="1" applyFill="1"/>
    <xf numFmtId="0" fontId="0" fillId="0" borderId="0" xfId="0" applyFill="1"/>
    <xf numFmtId="164" fontId="25" fillId="0" borderId="0" xfId="2" applyNumberFormat="1" applyFont="1" applyFill="1"/>
    <xf numFmtId="0" fontId="0" fillId="0" borderId="0" xfId="0" applyFont="1" applyFill="1"/>
    <xf numFmtId="0" fontId="4" fillId="0" borderId="0" xfId="0" applyFont="1" applyFill="1"/>
    <xf numFmtId="168" fontId="0" fillId="0" borderId="0" xfId="0" applyNumberFormat="1" applyFont="1" applyFill="1"/>
    <xf numFmtId="168" fontId="0" fillId="0" borderId="0" xfId="0" applyNumberFormat="1" applyFont="1" applyFill="1"/>
    <xf numFmtId="164" fontId="4" fillId="0" borderId="0" xfId="2" applyNumberFormat="1" applyFont="1" applyFill="1" applyAlignment="1"/>
    <xf numFmtId="0" fontId="4" fillId="0" borderId="0" xfId="0" applyFont="1" applyFill="1"/>
    <xf numFmtId="0" fontId="25" fillId="0" borderId="0" xfId="0" applyFont="1" applyFill="1"/>
    <xf numFmtId="168" fontId="25" fillId="0" borderId="0" xfId="0" applyNumberFormat="1" applyFont="1" applyFill="1"/>
    <xf numFmtId="5" fontId="34" fillId="0" borderId="3" xfId="0" applyNumberFormat="1" applyFont="1" applyFill="1" applyBorder="1" applyProtection="1"/>
    <xf numFmtId="5" fontId="34" fillId="0" borderId="6" xfId="0" applyNumberFormat="1" applyFont="1" applyFill="1" applyBorder="1" applyProtection="1"/>
    <xf numFmtId="167" fontId="26" fillId="0" borderId="0" xfId="1" applyNumberFormat="1" applyFont="1" applyFill="1" applyProtection="1">
      <protection locked="0"/>
    </xf>
    <xf numFmtId="5" fontId="14" fillId="0" borderId="0" xfId="0" applyNumberFormat="1" applyFont="1" applyFill="1"/>
    <xf numFmtId="0" fontId="4" fillId="0" borderId="0" xfId="0" applyFont="1" applyFill="1" applyBorder="1"/>
    <xf numFmtId="5" fontId="14" fillId="0" borderId="0" xfId="0" applyNumberFormat="1" applyFont="1" applyFill="1" applyProtection="1"/>
    <xf numFmtId="10" fontId="25" fillId="0" borderId="0" xfId="3" applyNumberFormat="1" applyFont="1" applyFill="1"/>
    <xf numFmtId="0" fontId="11" fillId="0" borderId="0" xfId="0" applyFont="1" applyFill="1"/>
    <xf numFmtId="168" fontId="25" fillId="0" borderId="0" xfId="0" applyNumberFormat="1" applyFont="1" applyFill="1"/>
    <xf numFmtId="164" fontId="28" fillId="0" borderId="0" xfId="2" applyNumberFormat="1" applyFont="1" applyFill="1" applyAlignment="1"/>
    <xf numFmtId="164" fontId="7" fillId="0" borderId="10" xfId="2" applyNumberFormat="1" applyFont="1" applyFill="1" applyBorder="1" applyAlignment="1"/>
    <xf numFmtId="0" fontId="4" fillId="0" borderId="0" xfId="0" applyFont="1" applyFill="1" applyAlignment="1">
      <alignment horizontal="center"/>
    </xf>
    <xf numFmtId="0" fontId="4" fillId="0" borderId="0" xfId="0" applyFont="1" applyFill="1"/>
    <xf numFmtId="167" fontId="4" fillId="0" borderId="0" xfId="1" applyNumberFormat="1" applyFont="1" applyFill="1"/>
    <xf numFmtId="0" fontId="0" fillId="0" borderId="0" xfId="0" applyFont="1" applyFill="1"/>
    <xf numFmtId="0" fontId="4" fillId="0" borderId="0" xfId="0" applyFont="1" applyFill="1"/>
    <xf numFmtId="167" fontId="4" fillId="0" borderId="0" xfId="1" applyNumberFormat="1" applyFont="1" applyFill="1"/>
    <xf numFmtId="0" fontId="0" fillId="0" borderId="0" xfId="0" applyFill="1"/>
    <xf numFmtId="0" fontId="0" fillId="0" borderId="0" xfId="0" applyFont="1" applyFill="1"/>
    <xf numFmtId="168" fontId="0" fillId="0" borderId="0" xfId="0" applyNumberFormat="1" applyFill="1"/>
    <xf numFmtId="0" fontId="4" fillId="0" borderId="0" xfId="0" applyFont="1" applyFill="1"/>
    <xf numFmtId="164" fontId="28" fillId="0" borderId="0" xfId="2" applyNumberFormat="1" applyFont="1" applyFill="1"/>
    <xf numFmtId="167" fontId="25" fillId="0" borderId="0" xfId="8" applyNumberFormat="1" applyFont="1" applyFill="1"/>
    <xf numFmtId="0" fontId="0" fillId="0" borderId="0" xfId="0" applyFont="1" applyFill="1"/>
    <xf numFmtId="0" fontId="4" fillId="0" borderId="0" xfId="0" applyFont="1" applyFill="1"/>
    <xf numFmtId="0" fontId="0" fillId="0" borderId="0" xfId="0" applyFont="1" applyFill="1"/>
    <xf numFmtId="164" fontId="4" fillId="0" borderId="0" xfId="2" applyNumberFormat="1" applyFont="1" applyFill="1" applyAlignment="1"/>
    <xf numFmtId="0" fontId="4" fillId="0" borderId="0" xfId="0" applyFont="1" applyFill="1"/>
    <xf numFmtId="0" fontId="21" fillId="0" borderId="0" xfId="0" applyFont="1" applyFill="1"/>
    <xf numFmtId="0" fontId="4" fillId="0" borderId="0" xfId="7" applyFont="1" applyFill="1"/>
    <xf numFmtId="168" fontId="0" fillId="0" borderId="0" xfId="0" applyNumberFormat="1" applyFont="1" applyFill="1"/>
    <xf numFmtId="168" fontId="0" fillId="0" borderId="0" xfId="0" applyNumberFormat="1" applyFill="1"/>
    <xf numFmtId="0" fontId="4" fillId="0" borderId="0" xfId="0" applyFont="1" applyFill="1"/>
    <xf numFmtId="0" fontId="4" fillId="2" borderId="0" xfId="0" applyFont="1" applyFill="1"/>
    <xf numFmtId="164" fontId="25" fillId="0" borderId="0" xfId="2" applyNumberFormat="1" applyFont="1" applyFill="1"/>
    <xf numFmtId="169" fontId="28" fillId="0" borderId="0" xfId="0" applyNumberFormat="1" applyFont="1" applyFill="1"/>
    <xf numFmtId="0" fontId="7" fillId="0" borderId="0" xfId="0" applyFont="1" applyFill="1" applyAlignment="1">
      <alignment horizontal="center"/>
    </xf>
    <xf numFmtId="0" fontId="4" fillId="0" borderId="0" xfId="0" applyFont="1" applyFill="1" applyAlignment="1">
      <alignment horizontal="center"/>
    </xf>
    <xf numFmtId="5" fontId="14" fillId="0" borderId="0" xfId="10" applyFont="1" applyFill="1" applyAlignment="1" applyProtection="1">
      <alignment horizontal="center"/>
    </xf>
    <xf numFmtId="5" fontId="14" fillId="0" borderId="0" xfId="10" applyFont="1" applyFill="1" applyAlignment="1">
      <alignment horizontal="center"/>
    </xf>
    <xf numFmtId="14" fontId="14" fillId="0" borderId="1" xfId="10" applyNumberFormat="1" applyFont="1" applyFill="1" applyBorder="1" applyAlignment="1" applyProtection="1">
      <alignment horizontal="center"/>
    </xf>
    <xf numFmtId="14" fontId="32" fillId="0" borderId="1" xfId="10" applyNumberFormat="1" applyFont="1" applyFill="1" applyBorder="1" applyAlignment="1" applyProtection="1">
      <alignment horizontal="center"/>
    </xf>
    <xf numFmtId="5" fontId="30" fillId="0" borderId="0" xfId="10" quotePrefix="1" applyFont="1" applyFill="1" applyAlignment="1" applyProtection="1">
      <alignment horizontal="center"/>
    </xf>
    <xf numFmtId="5" fontId="39" fillId="0" borderId="0" xfId="0" applyNumberFormat="1" applyFont="1" applyFill="1" applyAlignment="1" applyProtection="1">
      <alignment horizontal="left"/>
    </xf>
    <xf numFmtId="5" fontId="38" fillId="0" borderId="0" xfId="0" applyNumberFormat="1" applyFont="1" applyFill="1" applyProtection="1">
      <protection locked="0"/>
    </xf>
    <xf numFmtId="176" fontId="37" fillId="0" borderId="0" xfId="0" applyNumberFormat="1" applyFont="1" applyFill="1" applyProtection="1">
      <protection locked="0"/>
    </xf>
    <xf numFmtId="3" fontId="0" fillId="0" borderId="0" xfId="0" applyNumberFormat="1" applyFill="1"/>
    <xf numFmtId="0" fontId="5" fillId="0" borderId="0" xfId="9" applyNumberFormat="1" applyFont="1" applyFill="1" applyAlignment="1">
      <alignment horizontal="center"/>
    </xf>
    <xf numFmtId="0" fontId="4" fillId="0" borderId="8" xfId="0" applyNumberFormat="1" applyFont="1" applyFill="1" applyBorder="1" applyAlignment="1">
      <alignment horizontal="center"/>
    </xf>
    <xf numFmtId="164" fontId="25" fillId="0" borderId="1" xfId="2" applyNumberFormat="1" applyFont="1" applyFill="1" applyBorder="1"/>
    <xf numFmtId="0" fontId="4" fillId="0" borderId="0" xfId="0" applyFont="1" applyFill="1"/>
    <xf numFmtId="177" fontId="40" fillId="0" borderId="0" xfId="0" applyNumberFormat="1" applyFont="1" applyFill="1" applyProtection="1">
      <protection locked="0"/>
    </xf>
    <xf numFmtId="0" fontId="4" fillId="0" borderId="0" xfId="0" applyFont="1" applyFill="1"/>
    <xf numFmtId="5" fontId="30" fillId="0" borderId="0" xfId="10" quotePrefix="1" applyFont="1" applyAlignment="1" applyProtection="1">
      <alignment horizontal="center"/>
    </xf>
    <xf numFmtId="5" fontId="14" fillId="0" borderId="0" xfId="10" applyFont="1" applyAlignment="1" applyProtection="1">
      <alignment horizontal="center"/>
    </xf>
    <xf numFmtId="5" fontId="14" fillId="0" borderId="0" xfId="10" applyFont="1" applyAlignment="1">
      <alignment horizontal="center"/>
    </xf>
    <xf numFmtId="5" fontId="14" fillId="0" borderId="0" xfId="0" applyNumberFormat="1" applyFont="1" applyFill="1"/>
    <xf numFmtId="5" fontId="14" fillId="0" borderId="0" xfId="0" applyNumberFormat="1" applyFont="1" applyFill="1" applyProtection="1"/>
    <xf numFmtId="10" fontId="14" fillId="0" borderId="0" xfId="0" applyNumberFormat="1" applyFont="1" applyFill="1" applyProtection="1"/>
    <xf numFmtId="5" fontId="14" fillId="0" borderId="3" xfId="0" applyNumberFormat="1" applyFont="1" applyFill="1" applyBorder="1" applyProtection="1"/>
    <xf numFmtId="177" fontId="40" fillId="0" borderId="0" xfId="0" applyNumberFormat="1" applyFont="1" applyFill="1" applyProtection="1"/>
    <xf numFmtId="5" fontId="40" fillId="0" borderId="0" xfId="0" applyNumberFormat="1" applyFont="1" applyFill="1"/>
    <xf numFmtId="10" fontId="40" fillId="0" borderId="0" xfId="0" applyNumberFormat="1" applyFont="1" applyFill="1" applyProtection="1"/>
    <xf numFmtId="5" fontId="40" fillId="0" borderId="0" xfId="0" applyNumberFormat="1" applyFont="1" applyFill="1" applyProtection="1"/>
    <xf numFmtId="177" fontId="41" fillId="0" borderId="0" xfId="0" applyNumberFormat="1" applyFont="1" applyFill="1" applyProtection="1"/>
    <xf numFmtId="10" fontId="30" fillId="0" borderId="0" xfId="0" applyNumberFormat="1" applyFont="1" applyFill="1" applyProtection="1">
      <protection locked="0"/>
    </xf>
    <xf numFmtId="5" fontId="30" fillId="0" borderId="0" xfId="0" applyNumberFormat="1" applyFont="1" applyFill="1"/>
    <xf numFmtId="5" fontId="30" fillId="0" borderId="0" xfId="0" applyNumberFormat="1" applyFont="1" applyFill="1" applyProtection="1"/>
    <xf numFmtId="0" fontId="0" fillId="0" borderId="0" xfId="0" applyFont="1" applyFill="1"/>
    <xf numFmtId="0" fontId="4" fillId="0" borderId="0" xfId="0" applyFont="1" applyFill="1"/>
    <xf numFmtId="0" fontId="4" fillId="0" borderId="0" xfId="7" applyFont="1" applyFill="1"/>
    <xf numFmtId="168" fontId="0" fillId="0" borderId="0" xfId="0" applyNumberFormat="1" applyFont="1" applyFill="1"/>
    <xf numFmtId="164" fontId="4" fillId="0" borderId="0" xfId="2" applyNumberFormat="1" applyFont="1" applyFill="1" applyAlignment="1"/>
    <xf numFmtId="168" fontId="0" fillId="0" borderId="0" xfId="0" applyNumberFormat="1" applyFill="1"/>
    <xf numFmtId="0" fontId="4" fillId="0" borderId="0" xfId="0" applyFont="1" applyFill="1"/>
    <xf numFmtId="168" fontId="25" fillId="0" borderId="0" xfId="0" applyNumberFormat="1" applyFont="1" applyFill="1"/>
    <xf numFmtId="0" fontId="4" fillId="0" borderId="0" xfId="0" applyFont="1" applyFill="1" applyBorder="1"/>
    <xf numFmtId="168" fontId="4" fillId="0" borderId="0" xfId="0" applyNumberFormat="1" applyFont="1" applyFill="1"/>
    <xf numFmtId="0" fontId="0" fillId="0" borderId="0" xfId="0" applyFont="1" applyFill="1"/>
    <xf numFmtId="0" fontId="4" fillId="0" borderId="0" xfId="0" applyFont="1" applyFill="1"/>
    <xf numFmtId="164" fontId="4" fillId="0" borderId="0" xfId="2" applyNumberFormat="1" applyFont="1" applyFill="1" applyAlignment="1"/>
    <xf numFmtId="164" fontId="0" fillId="0" borderId="0" xfId="1" applyNumberFormat="1" applyFont="1" applyFill="1"/>
    <xf numFmtId="164" fontId="25" fillId="0" borderId="0" xfId="2" applyNumberFormat="1" applyFont="1" applyFill="1"/>
    <xf numFmtId="49" fontId="0" fillId="0" borderId="0" xfId="0" applyNumberFormat="1" applyFill="1"/>
    <xf numFmtId="0" fontId="4" fillId="0" borderId="0" xfId="0" applyFont="1" applyFill="1"/>
    <xf numFmtId="167" fontId="4" fillId="0" borderId="0" xfId="1" applyNumberFormat="1" applyFont="1" applyFill="1"/>
    <xf numFmtId="164" fontId="25" fillId="0" borderId="0" xfId="2" applyNumberFormat="1" applyFont="1" applyFill="1" applyAlignment="1"/>
    <xf numFmtId="41" fontId="4" fillId="0" borderId="0" xfId="4" applyFont="1" applyFill="1" applyAlignment="1">
      <alignment horizontal="left"/>
    </xf>
    <xf numFmtId="168" fontId="25" fillId="0" borderId="0" xfId="0" applyNumberFormat="1" applyFont="1" applyFill="1"/>
    <xf numFmtId="0" fontId="4" fillId="0" borderId="0" xfId="0" applyFont="1" applyFill="1"/>
    <xf numFmtId="0" fontId="7" fillId="0" borderId="0" xfId="0" applyFont="1" applyFill="1" applyAlignment="1">
      <alignment horizontal="center"/>
    </xf>
    <xf numFmtId="0" fontId="8" fillId="0" borderId="0" xfId="0" applyFont="1" applyFill="1" applyAlignment="1">
      <alignment horizontal="center"/>
    </xf>
    <xf numFmtId="0" fontId="4" fillId="0" borderId="0" xfId="0" applyFont="1" applyFill="1" applyAlignment="1">
      <alignment horizontal="center"/>
    </xf>
    <xf numFmtId="0" fontId="2" fillId="0" borderId="0" xfId="0" applyFont="1" applyFill="1" applyAlignment="1">
      <alignment horizontal="center"/>
    </xf>
    <xf numFmtId="0" fontId="17" fillId="0" borderId="0" xfId="0" applyNumberFormat="1" applyFont="1" applyFill="1" applyAlignment="1">
      <alignment horizontal="center"/>
    </xf>
    <xf numFmtId="16" fontId="4" fillId="0" borderId="0" xfId="0" applyNumberFormat="1" applyFont="1" applyFill="1" applyAlignment="1">
      <alignment horizontal="center"/>
    </xf>
    <xf numFmtId="167" fontId="25" fillId="0" borderId="0" xfId="1" applyNumberFormat="1" applyFont="1" applyFill="1"/>
    <xf numFmtId="16" fontId="4" fillId="0" borderId="0" xfId="0" quotePrefix="1" applyNumberFormat="1" applyFont="1" applyFill="1" applyAlignment="1">
      <alignment horizontal="center"/>
    </xf>
    <xf numFmtId="164" fontId="2" fillId="2" borderId="0" xfId="2" applyNumberFormat="1" applyFont="1" applyFill="1" applyBorder="1"/>
    <xf numFmtId="164" fontId="21" fillId="0" borderId="0" xfId="2" applyNumberFormat="1" applyFont="1" applyFill="1" applyBorder="1"/>
    <xf numFmtId="10" fontId="25" fillId="0" borderId="1" xfId="3" applyNumberFormat="1" applyFont="1" applyFill="1" applyBorder="1"/>
    <xf numFmtId="164" fontId="28" fillId="0" borderId="1" xfId="2" applyNumberFormat="1" applyFont="1" applyFill="1" applyBorder="1"/>
    <xf numFmtId="164" fontId="7" fillId="0" borderId="0" xfId="2" applyNumberFormat="1" applyFont="1" applyFill="1" applyBorder="1" applyAlignment="1"/>
    <xf numFmtId="181" fontId="25" fillId="0" borderId="0" xfId="0" applyNumberFormat="1" applyFont="1" applyFill="1"/>
    <xf numFmtId="9" fontId="25" fillId="0" borderId="0" xfId="3" applyNumberFormat="1" applyFont="1" applyFill="1"/>
    <xf numFmtId="164" fontId="0" fillId="0" borderId="0" xfId="2" applyNumberFormat="1" applyFont="1" applyFill="1"/>
    <xf numFmtId="167" fontId="25" fillId="0" borderId="1" xfId="1" applyNumberFormat="1" applyFont="1" applyFill="1" applyBorder="1"/>
    <xf numFmtId="167" fontId="28" fillId="0" borderId="0" xfId="8" applyNumberFormat="1" applyFont="1" applyFill="1"/>
    <xf numFmtId="0" fontId="2" fillId="0" borderId="0" xfId="0" applyFont="1" applyFill="1" applyAlignment="1">
      <alignment horizontal="center" wrapText="1"/>
    </xf>
    <xf numFmtId="5" fontId="37" fillId="0" borderId="0" xfId="0" applyNumberFormat="1" applyFont="1" applyFill="1" applyAlignment="1" applyProtection="1">
      <alignment horizontal="left"/>
    </xf>
    <xf numFmtId="5" fontId="38" fillId="0" borderId="1" xfId="0" applyNumberFormat="1" applyFont="1" applyFill="1" applyBorder="1" applyProtection="1">
      <protection locked="0"/>
    </xf>
    <xf numFmtId="167" fontId="26" fillId="0" borderId="8" xfId="8" applyNumberFormat="1" applyFont="1" applyFill="1" applyBorder="1" applyAlignment="1">
      <alignment horizontal="right" indent="1"/>
    </xf>
    <xf numFmtId="167" fontId="5" fillId="0" borderId="8" xfId="8" applyNumberFormat="1" applyFont="1" applyFill="1" applyBorder="1" applyAlignment="1">
      <alignment horizontal="right" indent="1"/>
    </xf>
    <xf numFmtId="167" fontId="5" fillId="0" borderId="9" xfId="8" applyNumberFormat="1" applyFont="1" applyFill="1" applyBorder="1" applyAlignment="1">
      <alignment horizontal="right" indent="1"/>
    </xf>
    <xf numFmtId="44" fontId="25" fillId="0" borderId="0" xfId="2" applyFont="1" applyFill="1"/>
    <xf numFmtId="44" fontId="25" fillId="0" borderId="1" xfId="2" applyFont="1" applyFill="1" applyBorder="1"/>
    <xf numFmtId="164" fontId="29" fillId="2" borderId="0" xfId="2" applyNumberFormat="1" applyFont="1" applyFill="1" applyBorder="1"/>
    <xf numFmtId="0" fontId="7" fillId="0" borderId="0" xfId="0" applyFont="1" applyFill="1" applyAlignment="1">
      <alignment horizontal="center"/>
    </xf>
    <xf numFmtId="0" fontId="8" fillId="0" borderId="0" xfId="0" applyFont="1" applyFill="1" applyAlignment="1">
      <alignment horizontal="center"/>
    </xf>
    <xf numFmtId="0" fontId="4" fillId="0" borderId="0" xfId="0" applyFont="1" applyFill="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2" fillId="0" borderId="0" xfId="0" applyFont="1" applyFill="1" applyAlignment="1">
      <alignment horizontal="center"/>
    </xf>
    <xf numFmtId="0" fontId="29" fillId="0" borderId="0" xfId="0" applyFont="1" applyFill="1" applyAlignment="1">
      <alignment horizontal="center"/>
    </xf>
  </cellXfs>
  <cellStyles count="12">
    <cellStyle name="Comma" xfId="1" builtinId="3"/>
    <cellStyle name="Comma [0]" xfId="4" builtinId="6"/>
    <cellStyle name="Comma 2" xfId="5"/>
    <cellStyle name="Comma 2 2" xfId="8"/>
    <cellStyle name="Currency" xfId="2" builtinId="4"/>
    <cellStyle name="Currency 2" xfId="11"/>
    <cellStyle name="Normal" xfId="0" builtinId="0"/>
    <cellStyle name="Normal 2" xfId="6"/>
    <cellStyle name="Normal 2 2" xfId="7"/>
    <cellStyle name="Normal 3" xfId="10"/>
    <cellStyle name="Normal_System Average Rate_version2" xfId="9"/>
    <cellStyle name="Percent" xfId="3" builtinId="5"/>
  </cellStyles>
  <dxfs count="0"/>
  <tableStyles count="0" defaultTableStyle="TableStyleMedium9" defaultPivotStyle="PivotStyleLight16"/>
  <colors>
    <mruColors>
      <color rgb="FF0000FF"/>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13"/>
  <sheetViews>
    <sheetView tabSelected="1" zoomScaleNormal="100" workbookViewId="0">
      <pane xSplit="6" ySplit="1" topLeftCell="G2" activePane="bottomRight" state="frozen"/>
      <selection activeCell="B32" sqref="B32"/>
      <selection pane="topRight" activeCell="B32" sqref="B32"/>
      <selection pane="bottomLeft" activeCell="B32" sqref="B32"/>
      <selection pane="bottomRight"/>
    </sheetView>
  </sheetViews>
  <sheetFormatPr defaultRowHeight="15" x14ac:dyDescent="0.25"/>
  <cols>
    <col min="1" max="1" width="49.85546875" style="6" customWidth="1"/>
    <col min="2" max="2" width="44.5703125" style="6" customWidth="1"/>
    <col min="3" max="3" width="9.28515625" style="6" customWidth="1"/>
    <col min="4" max="4" width="24.28515625" style="6" bestFit="1" customWidth="1"/>
    <col min="5" max="6" width="8.42578125" style="6" bestFit="1" customWidth="1"/>
    <col min="7" max="7" width="18.5703125" style="6" customWidth="1"/>
    <col min="8" max="8" width="16" style="6" customWidth="1"/>
    <col min="9" max="9" width="15.42578125" style="6" customWidth="1"/>
    <col min="10" max="10" width="20.42578125" style="55" customWidth="1"/>
    <col min="11" max="13" width="19.140625" style="55" customWidth="1"/>
    <col min="14" max="14" width="16.28515625" style="55" bestFit="1" customWidth="1"/>
    <col min="15" max="15" width="102.28515625" style="201" bestFit="1" customWidth="1"/>
    <col min="16" max="16" width="21.28515625" style="6" bestFit="1" customWidth="1"/>
    <col min="17" max="17" width="18.7109375" style="6" bestFit="1" customWidth="1"/>
    <col min="18" max="29" width="12.28515625" style="6" customWidth="1"/>
    <col min="30" max="30" width="9.140625" style="6" customWidth="1"/>
    <col min="31" max="16384" width="9.140625" style="6"/>
  </cols>
  <sheetData>
    <row r="1" spans="1:28" ht="72.75" customHeight="1" x14ac:dyDescent="0.25">
      <c r="A1" s="50" t="s">
        <v>4</v>
      </c>
      <c r="B1" s="51" t="s">
        <v>712</v>
      </c>
      <c r="C1" s="52" t="s">
        <v>713</v>
      </c>
      <c r="D1" s="52" t="s">
        <v>448</v>
      </c>
      <c r="E1" s="154" t="s">
        <v>714</v>
      </c>
      <c r="F1" s="154" t="s">
        <v>715</v>
      </c>
      <c r="G1" s="154" t="s">
        <v>1117</v>
      </c>
      <c r="H1" s="155" t="s">
        <v>1089</v>
      </c>
      <c r="I1" s="155" t="s">
        <v>1112</v>
      </c>
      <c r="J1" s="155" t="s">
        <v>1118</v>
      </c>
      <c r="K1" s="155" t="s">
        <v>716</v>
      </c>
      <c r="L1" s="155" t="s">
        <v>1089</v>
      </c>
      <c r="M1" s="155" t="s">
        <v>1112</v>
      </c>
      <c r="N1" s="155" t="s">
        <v>1090</v>
      </c>
    </row>
    <row r="2" spans="1:28" x14ac:dyDescent="0.25">
      <c r="A2" s="10" t="s">
        <v>717</v>
      </c>
      <c r="B2" s="10" t="s">
        <v>718</v>
      </c>
      <c r="C2" s="53">
        <v>111</v>
      </c>
      <c r="D2" s="53">
        <v>81</v>
      </c>
      <c r="E2" s="53"/>
      <c r="F2" s="53" t="s">
        <v>719</v>
      </c>
      <c r="G2" s="218">
        <v>70374838</v>
      </c>
      <c r="H2" s="244"/>
      <c r="I2" s="244"/>
      <c r="J2" s="218">
        <f>G2-H2-I2</f>
        <v>70374838</v>
      </c>
      <c r="K2" s="218">
        <v>63880032</v>
      </c>
      <c r="L2" s="244"/>
      <c r="M2" s="244"/>
      <c r="N2" s="218">
        <f>K2-L2-M2</f>
        <v>63880032</v>
      </c>
      <c r="P2" s="97"/>
    </row>
    <row r="3" spans="1:28" x14ac:dyDescent="0.25">
      <c r="A3" s="10" t="s">
        <v>720</v>
      </c>
      <c r="B3" s="10" t="s">
        <v>721</v>
      </c>
      <c r="C3" s="53">
        <v>112</v>
      </c>
      <c r="D3" s="53">
        <v>28</v>
      </c>
      <c r="E3" s="53" t="s">
        <v>722</v>
      </c>
      <c r="F3" s="53" t="s">
        <v>719</v>
      </c>
      <c r="G3" s="218">
        <v>514617809</v>
      </c>
      <c r="H3" s="244"/>
      <c r="I3" s="244"/>
      <c r="J3" s="218">
        <f t="shared" ref="J3:J66" si="0">G3-H3-I3</f>
        <v>514617809</v>
      </c>
      <c r="K3" s="218">
        <v>491016994</v>
      </c>
      <c r="L3" s="244"/>
      <c r="M3" s="244"/>
      <c r="N3" s="218">
        <f t="shared" ref="N3:N66" si="1">K3-L3-M3</f>
        <v>491016994</v>
      </c>
      <c r="P3" s="97"/>
    </row>
    <row r="4" spans="1:28" x14ac:dyDescent="0.25">
      <c r="A4" s="10" t="s">
        <v>1038</v>
      </c>
      <c r="B4" s="10" t="s">
        <v>1039</v>
      </c>
      <c r="C4" s="53">
        <v>112</v>
      </c>
      <c r="D4" s="53">
        <v>27</v>
      </c>
      <c r="E4" s="53" t="s">
        <v>722</v>
      </c>
      <c r="F4" s="53" t="s">
        <v>719</v>
      </c>
      <c r="G4" s="218">
        <v>93529465</v>
      </c>
      <c r="H4" s="244"/>
      <c r="I4" s="244"/>
      <c r="J4" s="218">
        <f t="shared" si="0"/>
        <v>93529465</v>
      </c>
      <c r="K4" s="218">
        <v>99736918</v>
      </c>
      <c r="L4" s="244"/>
      <c r="M4" s="244"/>
      <c r="N4" s="218">
        <f t="shared" si="1"/>
        <v>99736918</v>
      </c>
      <c r="P4" s="97"/>
    </row>
    <row r="5" spans="1:28" x14ac:dyDescent="0.25">
      <c r="A5" s="10" t="s">
        <v>723</v>
      </c>
      <c r="B5" s="10" t="s">
        <v>724</v>
      </c>
      <c r="C5" s="289">
        <v>112</v>
      </c>
      <c r="D5" s="289">
        <v>24</v>
      </c>
      <c r="E5" s="289"/>
      <c r="F5" s="289" t="s">
        <v>719</v>
      </c>
      <c r="G5" s="218">
        <v>9626310735</v>
      </c>
      <c r="H5" s="244"/>
      <c r="I5" s="244"/>
      <c r="J5" s="218">
        <f t="shared" si="0"/>
        <v>9626310735</v>
      </c>
      <c r="K5" s="218">
        <v>10088892779</v>
      </c>
      <c r="L5" s="244"/>
      <c r="M5" s="244"/>
      <c r="N5" s="218">
        <f t="shared" si="1"/>
        <v>10088892779</v>
      </c>
      <c r="P5" s="97"/>
    </row>
    <row r="6" spans="1:28" x14ac:dyDescent="0.25">
      <c r="A6" s="10" t="s">
        <v>725</v>
      </c>
      <c r="B6" s="10" t="s">
        <v>726</v>
      </c>
      <c r="C6" s="53">
        <v>112</v>
      </c>
      <c r="D6" s="53">
        <v>16</v>
      </c>
      <c r="E6" s="53"/>
      <c r="F6" s="53" t="s">
        <v>719</v>
      </c>
      <c r="G6" s="218">
        <v>10773721634</v>
      </c>
      <c r="H6" s="244"/>
      <c r="I6" s="244"/>
      <c r="J6" s="218">
        <f t="shared" si="0"/>
        <v>10773721634</v>
      </c>
      <c r="K6" s="218">
        <v>11365886081</v>
      </c>
      <c r="L6" s="244"/>
      <c r="M6" s="244"/>
      <c r="N6" s="218">
        <f t="shared" si="1"/>
        <v>11365886081</v>
      </c>
      <c r="P6" s="97"/>
    </row>
    <row r="7" spans="1:28" x14ac:dyDescent="0.25">
      <c r="A7" s="10" t="s">
        <v>727</v>
      </c>
      <c r="B7" s="10" t="s">
        <v>728</v>
      </c>
      <c r="C7" s="53">
        <v>112</v>
      </c>
      <c r="D7" s="53">
        <v>12</v>
      </c>
      <c r="E7" s="53"/>
      <c r="F7" s="53" t="s">
        <v>719</v>
      </c>
      <c r="G7" s="218">
        <v>3017471</v>
      </c>
      <c r="H7" s="244"/>
      <c r="I7" s="244"/>
      <c r="J7" s="218">
        <f t="shared" si="0"/>
        <v>3017471</v>
      </c>
      <c r="K7" s="218">
        <v>4810163</v>
      </c>
      <c r="L7" s="244"/>
      <c r="M7" s="244"/>
      <c r="N7" s="218">
        <f t="shared" si="1"/>
        <v>4810163</v>
      </c>
      <c r="P7" s="97"/>
    </row>
    <row r="8" spans="1:28" x14ac:dyDescent="0.25">
      <c r="A8" s="10" t="s">
        <v>729</v>
      </c>
      <c r="B8" s="10" t="s">
        <v>730</v>
      </c>
      <c r="C8" s="53">
        <v>113</v>
      </c>
      <c r="D8" s="53">
        <v>61</v>
      </c>
      <c r="E8" s="53"/>
      <c r="F8" s="53" t="s">
        <v>719</v>
      </c>
      <c r="G8" s="218">
        <v>0</v>
      </c>
      <c r="H8" s="244"/>
      <c r="I8" s="244"/>
      <c r="J8" s="218">
        <f t="shared" si="0"/>
        <v>0</v>
      </c>
      <c r="K8" s="218">
        <v>0</v>
      </c>
      <c r="L8" s="244"/>
      <c r="M8" s="244"/>
      <c r="N8" s="218">
        <f t="shared" si="1"/>
        <v>0</v>
      </c>
      <c r="P8" s="97"/>
    </row>
    <row r="9" spans="1:28" x14ac:dyDescent="0.25">
      <c r="A9" s="10" t="s">
        <v>731</v>
      </c>
      <c r="B9" s="10" t="s">
        <v>732</v>
      </c>
      <c r="C9" s="289">
        <v>117</v>
      </c>
      <c r="D9" s="289" t="s">
        <v>733</v>
      </c>
      <c r="E9" s="289"/>
      <c r="F9" s="289" t="s">
        <v>719</v>
      </c>
      <c r="G9" s="218">
        <v>435816696</v>
      </c>
      <c r="H9" s="244"/>
      <c r="I9" s="244"/>
      <c r="J9" s="218">
        <f t="shared" si="0"/>
        <v>435816696</v>
      </c>
      <c r="K9" s="218">
        <f>437490775+5981227+6494805+6738727</f>
        <v>456705534</v>
      </c>
      <c r="L9" s="244"/>
      <c r="M9" s="244"/>
      <c r="N9" s="218">
        <f t="shared" si="1"/>
        <v>456705534</v>
      </c>
      <c r="O9" s="234"/>
      <c r="P9" s="97"/>
    </row>
    <row r="10" spans="1:28" x14ac:dyDescent="0.25">
      <c r="A10" s="10" t="s">
        <v>734</v>
      </c>
      <c r="B10" s="10" t="s">
        <v>735</v>
      </c>
      <c r="C10" s="53">
        <v>200</v>
      </c>
      <c r="D10" s="53">
        <v>21</v>
      </c>
      <c r="E10" s="53" t="s">
        <v>736</v>
      </c>
      <c r="F10" s="53" t="s">
        <v>737</v>
      </c>
      <c r="G10" s="218">
        <v>508656957</v>
      </c>
      <c r="H10" s="244"/>
      <c r="I10" s="244"/>
      <c r="J10" s="218">
        <f t="shared" si="0"/>
        <v>508656957</v>
      </c>
      <c r="K10" s="218">
        <v>550145243</v>
      </c>
      <c r="L10" s="244"/>
      <c r="M10" s="244"/>
      <c r="N10" s="218">
        <f t="shared" si="1"/>
        <v>550145243</v>
      </c>
      <c r="O10" s="234"/>
      <c r="P10" s="181"/>
      <c r="Q10" s="180"/>
    </row>
    <row r="11" spans="1:28" x14ac:dyDescent="0.25">
      <c r="A11" s="10" t="s">
        <v>738</v>
      </c>
      <c r="B11" s="10" t="s">
        <v>739</v>
      </c>
      <c r="C11" s="53" t="s">
        <v>740</v>
      </c>
      <c r="D11" s="53" t="s">
        <v>741</v>
      </c>
      <c r="E11" s="53" t="s">
        <v>737</v>
      </c>
      <c r="F11" s="53" t="s">
        <v>742</v>
      </c>
      <c r="G11" s="218">
        <v>482106051</v>
      </c>
      <c r="H11" s="244"/>
      <c r="I11" s="244"/>
      <c r="J11" s="218">
        <f t="shared" si="0"/>
        <v>482106051</v>
      </c>
      <c r="K11" s="218">
        <f>799989687-607602839+6571313</f>
        <v>198958161</v>
      </c>
      <c r="L11" s="244"/>
      <c r="M11" s="244"/>
      <c r="N11" s="218">
        <f t="shared" si="1"/>
        <v>198958161</v>
      </c>
      <c r="O11" s="234"/>
      <c r="P11" s="97"/>
    </row>
    <row r="12" spans="1:28" x14ac:dyDescent="0.25">
      <c r="A12" s="10" t="s">
        <v>743</v>
      </c>
      <c r="B12" s="10" t="s">
        <v>744</v>
      </c>
      <c r="C12" s="53" t="s">
        <v>748</v>
      </c>
      <c r="D12" s="53">
        <v>101</v>
      </c>
      <c r="E12" s="53" t="s">
        <v>737</v>
      </c>
      <c r="F12" s="53" t="s">
        <v>742</v>
      </c>
      <c r="G12" s="218">
        <v>0</v>
      </c>
      <c r="H12" s="244"/>
      <c r="I12" s="244"/>
      <c r="J12" s="218">
        <f t="shared" si="0"/>
        <v>0</v>
      </c>
      <c r="K12" s="218">
        <v>0</v>
      </c>
      <c r="L12" s="244"/>
      <c r="M12" s="244"/>
      <c r="N12" s="218">
        <f t="shared" si="1"/>
        <v>0</v>
      </c>
      <c r="O12" s="234"/>
      <c r="P12" s="97"/>
    </row>
    <row r="13" spans="1:28" x14ac:dyDescent="0.25">
      <c r="A13" s="10" t="str">
        <f>"FERC Form 1, "&amp;TEXT(C13,"###")&amp;", "&amp;TEXT(D13,"###")&amp;", ("&amp;IF(E13="na",F13&amp;")",E13&amp;") &amp; ("&amp;F13&amp;")")</f>
        <v>FERC Form 1, 204-205, 5, (b) &amp; (g)</v>
      </c>
      <c r="B13" s="10" t="s">
        <v>745</v>
      </c>
      <c r="C13" s="53" t="s">
        <v>740</v>
      </c>
      <c r="D13" s="53">
        <v>5</v>
      </c>
      <c r="E13" s="53" t="s">
        <v>737</v>
      </c>
      <c r="F13" s="53" t="s">
        <v>742</v>
      </c>
      <c r="G13" s="218">
        <v>817550027</v>
      </c>
      <c r="H13" s="244"/>
      <c r="I13" s="244"/>
      <c r="J13" s="218">
        <f t="shared" si="0"/>
        <v>817550027</v>
      </c>
      <c r="K13" s="218">
        <v>943490978</v>
      </c>
      <c r="L13" s="244"/>
      <c r="M13" s="244"/>
      <c r="N13" s="218">
        <f t="shared" si="1"/>
        <v>943490978</v>
      </c>
      <c r="O13" s="234"/>
      <c r="P13" s="97"/>
    </row>
    <row r="14" spans="1:28" x14ac:dyDescent="0.25">
      <c r="A14" s="10" t="str">
        <f>"FERC Form 1, "&amp;TEXT(C14,"###")&amp;", "&amp;TEXT(D14,"###")&amp;", ("&amp;IF(E14="na",F14&amp;")",E14&amp;") &amp; ("&amp;F14&amp;")")</f>
        <v>FERC Form 1, 204-205, 46, (b) &amp; (g)</v>
      </c>
      <c r="B14" s="10" t="s">
        <v>746</v>
      </c>
      <c r="C14" s="53" t="s">
        <v>740</v>
      </c>
      <c r="D14" s="53">
        <v>46</v>
      </c>
      <c r="E14" s="53" t="s">
        <v>737</v>
      </c>
      <c r="F14" s="53" t="s">
        <v>742</v>
      </c>
      <c r="G14" s="218">
        <v>20742028553</v>
      </c>
      <c r="H14" s="244"/>
      <c r="I14" s="244"/>
      <c r="J14" s="218">
        <f t="shared" si="0"/>
        <v>20742028553</v>
      </c>
      <c r="K14" s="218">
        <v>20969006811</v>
      </c>
      <c r="L14" s="244"/>
      <c r="M14" s="244"/>
      <c r="N14" s="218">
        <f t="shared" si="1"/>
        <v>20969006811</v>
      </c>
      <c r="O14" s="234"/>
      <c r="P14" s="97"/>
    </row>
    <row r="15" spans="1:28" x14ac:dyDescent="0.25">
      <c r="A15" s="10" t="str">
        <f>"FERC Form 1, "&amp;TEXT(C15,"###")&amp;", "&amp;TEXT(D15,"###")&amp;", ("&amp;IF(E15="na",F15&amp;")",E15&amp;") &amp; ("&amp;F15&amp;")")</f>
        <v>FERC Form 1, 206-207, 58, (b) &amp; (g)</v>
      </c>
      <c r="B15" s="10" t="s">
        <v>747</v>
      </c>
      <c r="C15" s="53" t="s">
        <v>748</v>
      </c>
      <c r="D15" s="53">
        <v>58</v>
      </c>
      <c r="E15" s="53" t="s">
        <v>737</v>
      </c>
      <c r="F15" s="53" t="s">
        <v>742</v>
      </c>
      <c r="G15" s="218">
        <v>3568696873</v>
      </c>
      <c r="H15" s="244">
        <v>9857149</v>
      </c>
      <c r="I15" s="244"/>
      <c r="J15" s="218">
        <f t="shared" si="0"/>
        <v>3558839724</v>
      </c>
      <c r="K15" s="218">
        <v>3874750838</v>
      </c>
      <c r="L15" s="244">
        <v>12055012</v>
      </c>
      <c r="M15" s="244">
        <v>3603171.17</v>
      </c>
      <c r="N15" s="218">
        <f t="shared" si="1"/>
        <v>3859092654.8299999</v>
      </c>
      <c r="O15" s="234"/>
      <c r="P15" s="172"/>
      <c r="Q15" s="179"/>
      <c r="R15" s="179"/>
      <c r="S15" s="179"/>
      <c r="T15" s="179"/>
      <c r="U15" s="179"/>
      <c r="V15" s="179"/>
      <c r="W15" s="179"/>
      <c r="X15" s="179"/>
      <c r="Y15" s="179"/>
      <c r="Z15" s="179"/>
      <c r="AA15" s="179"/>
      <c r="AB15" s="179"/>
    </row>
    <row r="16" spans="1:28" x14ac:dyDescent="0.25">
      <c r="A16" s="10" t="str">
        <f>"FERC Form 1, "&amp;TEXT(C16,"###")&amp;", "&amp;TEXT(D16,"###")&amp;", ("&amp;IF(E16="na",F16&amp;")",E16&amp;") &amp; ("&amp;F16&amp;")")</f>
        <v>FERC Form 1, 206-207, 75, (b) &amp; (g)</v>
      </c>
      <c r="B16" s="10" t="s">
        <v>749</v>
      </c>
      <c r="C16" s="53" t="s">
        <v>748</v>
      </c>
      <c r="D16" s="53">
        <v>75</v>
      </c>
      <c r="E16" s="53" t="s">
        <v>737</v>
      </c>
      <c r="F16" s="53" t="s">
        <v>742</v>
      </c>
      <c r="G16" s="218">
        <v>10753028333</v>
      </c>
      <c r="H16" s="244"/>
      <c r="I16" s="244"/>
      <c r="J16" s="218">
        <f t="shared" si="0"/>
        <v>10753028333</v>
      </c>
      <c r="K16" s="218">
        <v>11345729637</v>
      </c>
      <c r="L16" s="244"/>
      <c r="M16" s="244">
        <v>-3603171.17</v>
      </c>
      <c r="N16" s="218">
        <f t="shared" si="1"/>
        <v>11349332808.17</v>
      </c>
      <c r="O16" s="234"/>
      <c r="P16" s="172"/>
      <c r="Q16" s="179"/>
      <c r="R16" s="179"/>
      <c r="S16" s="179"/>
      <c r="T16" s="179"/>
      <c r="U16" s="179"/>
      <c r="V16" s="179"/>
      <c r="W16" s="179"/>
      <c r="X16" s="179"/>
      <c r="Y16" s="179"/>
      <c r="Z16" s="179"/>
      <c r="AA16" s="179"/>
      <c r="AB16" s="179"/>
    </row>
    <row r="17" spans="1:28" x14ac:dyDescent="0.25">
      <c r="A17" s="10" t="str">
        <f>"FERC Form 1, "&amp;TEXT(C17,"###")&amp;", "&amp;TEXT(D17,"###")&amp;", ("&amp;IF(E17="na",F17&amp;")",E17&amp;") &amp; ("&amp;F17&amp;")")</f>
        <v>FERC Form 1, 206-207, 99, (b) &amp; (g)</v>
      </c>
      <c r="B17" s="10" t="s">
        <v>750</v>
      </c>
      <c r="C17" s="53" t="s">
        <v>748</v>
      </c>
      <c r="D17" s="53">
        <v>99</v>
      </c>
      <c r="E17" s="53" t="s">
        <v>737</v>
      </c>
      <c r="F17" s="53" t="s">
        <v>742</v>
      </c>
      <c r="G17" s="218">
        <v>902960770</v>
      </c>
      <c r="H17" s="244"/>
      <c r="I17" s="244"/>
      <c r="J17" s="218">
        <f t="shared" si="0"/>
        <v>902960770</v>
      </c>
      <c r="K17" s="218">
        <v>1121528986</v>
      </c>
      <c r="L17" s="244"/>
      <c r="M17" s="244"/>
      <c r="N17" s="218">
        <f t="shared" si="1"/>
        <v>1121528986</v>
      </c>
      <c r="O17" s="234"/>
      <c r="P17" s="172"/>
      <c r="Q17" s="179"/>
      <c r="R17" s="179"/>
      <c r="S17" s="179"/>
      <c r="T17" s="179"/>
      <c r="U17" s="179"/>
      <c r="V17" s="179"/>
      <c r="W17" s="179"/>
      <c r="X17" s="179"/>
      <c r="Y17" s="179"/>
      <c r="Z17" s="179"/>
      <c r="AA17" s="179"/>
      <c r="AB17" s="179"/>
    </row>
    <row r="18" spans="1:28" x14ac:dyDescent="0.25">
      <c r="A18" s="10" t="s">
        <v>751</v>
      </c>
      <c r="B18" s="10" t="s">
        <v>752</v>
      </c>
      <c r="C18" s="53" t="s">
        <v>748</v>
      </c>
      <c r="D18" s="53">
        <v>98</v>
      </c>
      <c r="E18" s="53" t="s">
        <v>737</v>
      </c>
      <c r="F18" s="53" t="s">
        <v>742</v>
      </c>
      <c r="G18" s="218">
        <v>-931335</v>
      </c>
      <c r="H18" s="244"/>
      <c r="I18" s="244"/>
      <c r="J18" s="218">
        <f t="shared" si="0"/>
        <v>-931335</v>
      </c>
      <c r="K18" s="218">
        <v>-931335</v>
      </c>
      <c r="L18" s="244"/>
      <c r="M18" s="244"/>
      <c r="N18" s="218">
        <f t="shared" si="1"/>
        <v>-931335</v>
      </c>
      <c r="O18" s="234"/>
      <c r="P18" s="97"/>
    </row>
    <row r="19" spans="1:28" x14ac:dyDescent="0.25">
      <c r="A19" s="10" t="s">
        <v>848</v>
      </c>
      <c r="B19" s="6" t="s">
        <v>621</v>
      </c>
      <c r="C19" s="53">
        <v>207</v>
      </c>
      <c r="D19" s="53">
        <v>86</v>
      </c>
      <c r="E19" s="53" t="s">
        <v>737</v>
      </c>
      <c r="F19" s="53" t="s">
        <v>742</v>
      </c>
      <c r="G19" s="244">
        <v>34402330</v>
      </c>
      <c r="H19" s="244"/>
      <c r="I19" s="244"/>
      <c r="J19" s="218">
        <f t="shared" si="0"/>
        <v>34402330</v>
      </c>
      <c r="K19" s="244">
        <v>62917137</v>
      </c>
      <c r="L19" s="244"/>
      <c r="M19" s="244"/>
      <c r="N19" s="218">
        <f t="shared" si="1"/>
        <v>62917137</v>
      </c>
      <c r="O19" s="234"/>
      <c r="P19" s="97"/>
    </row>
    <row r="20" spans="1:28" x14ac:dyDescent="0.25">
      <c r="A20" s="10" t="s">
        <v>849</v>
      </c>
      <c r="B20" s="6" t="s">
        <v>622</v>
      </c>
      <c r="C20" s="53">
        <v>207</v>
      </c>
      <c r="D20" s="53">
        <v>87</v>
      </c>
      <c r="E20" s="53" t="s">
        <v>737</v>
      </c>
      <c r="F20" s="53" t="s">
        <v>742</v>
      </c>
      <c r="G20" s="244">
        <v>501477987</v>
      </c>
      <c r="H20" s="244"/>
      <c r="I20" s="244"/>
      <c r="J20" s="218">
        <f t="shared" si="0"/>
        <v>501477987</v>
      </c>
      <c r="K20" s="244">
        <v>646838651</v>
      </c>
      <c r="L20" s="244"/>
      <c r="M20" s="244"/>
      <c r="N20" s="218">
        <f t="shared" si="1"/>
        <v>646838651</v>
      </c>
      <c r="O20" s="234"/>
      <c r="P20" s="97"/>
    </row>
    <row r="21" spans="1:28" x14ac:dyDescent="0.25">
      <c r="A21" s="10" t="s">
        <v>850</v>
      </c>
      <c r="B21" s="6" t="s">
        <v>623</v>
      </c>
      <c r="C21" s="53">
        <v>207</v>
      </c>
      <c r="D21" s="53">
        <v>88</v>
      </c>
      <c r="E21" s="53" t="s">
        <v>737</v>
      </c>
      <c r="F21" s="53" t="s">
        <v>742</v>
      </c>
      <c r="G21" s="244">
        <v>110861213</v>
      </c>
      <c r="H21" s="244"/>
      <c r="I21" s="244"/>
      <c r="J21" s="218">
        <f t="shared" si="0"/>
        <v>110861213</v>
      </c>
      <c r="K21" s="244">
        <v>124261808</v>
      </c>
      <c r="L21" s="244"/>
      <c r="M21" s="244"/>
      <c r="N21" s="218">
        <f t="shared" si="1"/>
        <v>124261808</v>
      </c>
      <c r="O21" s="234"/>
      <c r="P21" s="97"/>
    </row>
    <row r="22" spans="1:28" x14ac:dyDescent="0.25">
      <c r="A22" s="10" t="s">
        <v>851</v>
      </c>
      <c r="B22" s="6" t="s">
        <v>624</v>
      </c>
      <c r="C22" s="53">
        <v>207</v>
      </c>
      <c r="D22" s="53">
        <v>89</v>
      </c>
      <c r="E22" s="53" t="s">
        <v>737</v>
      </c>
      <c r="F22" s="53" t="s">
        <v>742</v>
      </c>
      <c r="G22" s="244">
        <v>10254685</v>
      </c>
      <c r="H22" s="244"/>
      <c r="I22" s="244"/>
      <c r="J22" s="218">
        <f t="shared" si="0"/>
        <v>10254685</v>
      </c>
      <c r="K22" s="244">
        <v>10701691</v>
      </c>
      <c r="L22" s="244"/>
      <c r="M22" s="244"/>
      <c r="N22" s="218">
        <f t="shared" si="1"/>
        <v>10701691</v>
      </c>
      <c r="O22" s="234"/>
      <c r="P22" s="97"/>
    </row>
    <row r="23" spans="1:28" x14ac:dyDescent="0.25">
      <c r="A23" s="10" t="s">
        <v>852</v>
      </c>
      <c r="B23" s="6" t="s">
        <v>625</v>
      </c>
      <c r="C23" s="53">
        <v>207</v>
      </c>
      <c r="D23" s="53">
        <v>90</v>
      </c>
      <c r="E23" s="53" t="s">
        <v>737</v>
      </c>
      <c r="F23" s="53" t="s">
        <v>742</v>
      </c>
      <c r="G23" s="244">
        <v>12954181</v>
      </c>
      <c r="H23" s="244"/>
      <c r="I23" s="244"/>
      <c r="J23" s="218">
        <f t="shared" si="0"/>
        <v>12954181</v>
      </c>
      <c r="K23" s="244">
        <v>13568044</v>
      </c>
      <c r="L23" s="244"/>
      <c r="M23" s="244"/>
      <c r="N23" s="218">
        <f t="shared" si="1"/>
        <v>13568044</v>
      </c>
      <c r="O23" s="234"/>
      <c r="P23" s="97"/>
    </row>
    <row r="24" spans="1:28" x14ac:dyDescent="0.25">
      <c r="A24" s="10" t="s">
        <v>853</v>
      </c>
      <c r="B24" s="6" t="s">
        <v>626</v>
      </c>
      <c r="C24" s="53">
        <v>207</v>
      </c>
      <c r="D24" s="53">
        <v>91</v>
      </c>
      <c r="E24" s="53" t="s">
        <v>737</v>
      </c>
      <c r="F24" s="53" t="s">
        <v>742</v>
      </c>
      <c r="G24" s="244">
        <v>72782665</v>
      </c>
      <c r="H24" s="244"/>
      <c r="I24" s="244"/>
      <c r="J24" s="218">
        <f t="shared" si="0"/>
        <v>72782665</v>
      </c>
      <c r="K24" s="244">
        <v>95914343</v>
      </c>
      <c r="L24" s="244"/>
      <c r="M24" s="244"/>
      <c r="N24" s="218">
        <f t="shared" si="1"/>
        <v>95914343</v>
      </c>
      <c r="O24" s="234"/>
      <c r="P24" s="97"/>
    </row>
    <row r="25" spans="1:28" s="62" customFormat="1" x14ac:dyDescent="0.25">
      <c r="A25" s="10" t="s">
        <v>854</v>
      </c>
      <c r="B25" s="6" t="s">
        <v>627</v>
      </c>
      <c r="C25" s="53">
        <v>207</v>
      </c>
      <c r="D25" s="336">
        <v>92</v>
      </c>
      <c r="E25" s="53" t="s">
        <v>737</v>
      </c>
      <c r="F25" s="53" t="s">
        <v>742</v>
      </c>
      <c r="G25" s="244">
        <v>7510680</v>
      </c>
      <c r="H25" s="214"/>
      <c r="I25" s="214"/>
      <c r="J25" s="218">
        <f t="shared" si="0"/>
        <v>7510680</v>
      </c>
      <c r="K25" s="244">
        <v>6160536</v>
      </c>
      <c r="L25" s="214"/>
      <c r="M25" s="214"/>
      <c r="N25" s="218">
        <f t="shared" si="1"/>
        <v>6160536</v>
      </c>
      <c r="O25" s="202"/>
      <c r="P25" s="97"/>
    </row>
    <row r="26" spans="1:28" s="62" customFormat="1" x14ac:dyDescent="0.25">
      <c r="A26" s="10" t="s">
        <v>855</v>
      </c>
      <c r="B26" s="6" t="s">
        <v>628</v>
      </c>
      <c r="C26" s="53">
        <v>207</v>
      </c>
      <c r="D26" s="336">
        <v>93</v>
      </c>
      <c r="E26" s="53" t="s">
        <v>737</v>
      </c>
      <c r="F26" s="53" t="s">
        <v>742</v>
      </c>
      <c r="G26" s="244">
        <v>14162859</v>
      </c>
      <c r="H26" s="214"/>
      <c r="I26" s="214"/>
      <c r="J26" s="218">
        <f t="shared" si="0"/>
        <v>14162859</v>
      </c>
      <c r="K26" s="244">
        <v>13229675</v>
      </c>
      <c r="L26" s="214"/>
      <c r="M26" s="214"/>
      <c r="N26" s="218">
        <f t="shared" si="1"/>
        <v>13229675</v>
      </c>
      <c r="O26" s="202"/>
      <c r="P26" s="97"/>
    </row>
    <row r="27" spans="1:28" s="62" customFormat="1" x14ac:dyDescent="0.25">
      <c r="A27" s="10" t="s">
        <v>856</v>
      </c>
      <c r="B27" s="6" t="s">
        <v>629</v>
      </c>
      <c r="C27" s="53">
        <v>207</v>
      </c>
      <c r="D27" s="336">
        <v>94</v>
      </c>
      <c r="E27" s="53" t="s">
        <v>737</v>
      </c>
      <c r="F27" s="53" t="s">
        <v>742</v>
      </c>
      <c r="G27" s="244">
        <v>135681865</v>
      </c>
      <c r="H27" s="214"/>
      <c r="I27" s="214"/>
      <c r="J27" s="218">
        <f t="shared" si="0"/>
        <v>135681865</v>
      </c>
      <c r="K27" s="244">
        <v>139278371</v>
      </c>
      <c r="L27" s="214"/>
      <c r="M27" s="214"/>
      <c r="N27" s="218">
        <f t="shared" si="1"/>
        <v>139278371</v>
      </c>
      <c r="O27" s="202"/>
      <c r="P27" s="97"/>
    </row>
    <row r="28" spans="1:28" s="62" customFormat="1" x14ac:dyDescent="0.25">
      <c r="A28" s="10" t="s">
        <v>857</v>
      </c>
      <c r="B28" s="6" t="s">
        <v>630</v>
      </c>
      <c r="C28" s="53">
        <v>207</v>
      </c>
      <c r="D28" s="336">
        <v>95</v>
      </c>
      <c r="E28" s="53" t="s">
        <v>737</v>
      </c>
      <c r="F28" s="53" t="s">
        <v>742</v>
      </c>
      <c r="G28" s="244">
        <v>3803640</v>
      </c>
      <c r="H28" s="214"/>
      <c r="I28" s="214"/>
      <c r="J28" s="218">
        <f t="shared" si="0"/>
        <v>3803640</v>
      </c>
      <c r="K28" s="244">
        <v>9590065</v>
      </c>
      <c r="L28" s="214"/>
      <c r="M28" s="214"/>
      <c r="N28" s="218">
        <f t="shared" si="1"/>
        <v>9590065</v>
      </c>
      <c r="O28" s="202"/>
      <c r="P28" s="97"/>
    </row>
    <row r="29" spans="1:28" s="62" customFormat="1" x14ac:dyDescent="0.25">
      <c r="A29" s="10" t="s">
        <v>858</v>
      </c>
      <c r="B29" s="6" t="s">
        <v>631</v>
      </c>
      <c r="C29" s="53">
        <v>207</v>
      </c>
      <c r="D29" s="336">
        <v>97</v>
      </c>
      <c r="E29" s="53" t="s">
        <v>737</v>
      </c>
      <c r="F29" s="53" t="s">
        <v>742</v>
      </c>
      <c r="G29" s="214">
        <v>0</v>
      </c>
      <c r="H29" s="214"/>
      <c r="I29" s="214"/>
      <c r="J29" s="218">
        <f t="shared" si="0"/>
        <v>0</v>
      </c>
      <c r="K29" s="214">
        <v>0</v>
      </c>
      <c r="L29" s="214"/>
      <c r="M29" s="214"/>
      <c r="N29" s="218">
        <f t="shared" si="1"/>
        <v>0</v>
      </c>
      <c r="O29" s="202"/>
      <c r="P29" s="97"/>
    </row>
    <row r="30" spans="1:28" s="62" customFormat="1" x14ac:dyDescent="0.25">
      <c r="A30" s="10" t="s">
        <v>859</v>
      </c>
      <c r="B30" s="6" t="s">
        <v>632</v>
      </c>
      <c r="C30" s="53">
        <v>207</v>
      </c>
      <c r="D30" s="336">
        <v>98</v>
      </c>
      <c r="E30" s="53" t="s">
        <v>737</v>
      </c>
      <c r="F30" s="53" t="s">
        <v>742</v>
      </c>
      <c r="G30" s="244">
        <v>-931335</v>
      </c>
      <c r="H30" s="214"/>
      <c r="I30" s="214"/>
      <c r="J30" s="218">
        <f t="shared" si="0"/>
        <v>-931335</v>
      </c>
      <c r="K30" s="244">
        <v>-931335</v>
      </c>
      <c r="L30" s="214"/>
      <c r="M30" s="214"/>
      <c r="N30" s="218">
        <f t="shared" si="1"/>
        <v>-931335</v>
      </c>
      <c r="O30" s="202"/>
      <c r="P30" s="97"/>
    </row>
    <row r="31" spans="1:28" s="62" customFormat="1" x14ac:dyDescent="0.25">
      <c r="A31" s="10" t="s">
        <v>860</v>
      </c>
      <c r="B31" s="6" t="s">
        <v>633</v>
      </c>
      <c r="C31" s="53">
        <v>207</v>
      </c>
      <c r="D31" s="336">
        <v>99</v>
      </c>
      <c r="E31" s="53" t="s">
        <v>737</v>
      </c>
      <c r="F31" s="53" t="s">
        <v>742</v>
      </c>
      <c r="G31" s="244">
        <v>902960770</v>
      </c>
      <c r="H31" s="214"/>
      <c r="I31" s="214"/>
      <c r="J31" s="218">
        <f t="shared" si="0"/>
        <v>902960770</v>
      </c>
      <c r="K31" s="244">
        <v>1121528986</v>
      </c>
      <c r="L31" s="214"/>
      <c r="M31" s="214"/>
      <c r="N31" s="218">
        <f t="shared" si="1"/>
        <v>1121528986</v>
      </c>
      <c r="O31" s="202"/>
      <c r="P31" s="97"/>
    </row>
    <row r="32" spans="1:28" x14ac:dyDescent="0.25">
      <c r="A32" s="10" t="s">
        <v>753</v>
      </c>
      <c r="B32" s="10" t="s">
        <v>754</v>
      </c>
      <c r="C32" s="53">
        <v>207</v>
      </c>
      <c r="D32" s="53">
        <v>101</v>
      </c>
      <c r="E32" s="53" t="s">
        <v>737</v>
      </c>
      <c r="F32" s="53" t="s">
        <v>742</v>
      </c>
      <c r="G32" s="244">
        <v>0</v>
      </c>
      <c r="H32" s="244"/>
      <c r="I32" s="244"/>
      <c r="J32" s="218">
        <f t="shared" si="0"/>
        <v>0</v>
      </c>
      <c r="K32" s="244">
        <v>0</v>
      </c>
      <c r="L32" s="244"/>
      <c r="M32" s="244"/>
      <c r="N32" s="218">
        <f t="shared" si="1"/>
        <v>0</v>
      </c>
      <c r="O32" s="234"/>
      <c r="P32" s="97"/>
    </row>
    <row r="33" spans="1:28" x14ac:dyDescent="0.25">
      <c r="A33" s="10" t="s">
        <v>755</v>
      </c>
      <c r="B33" s="10" t="s">
        <v>756</v>
      </c>
      <c r="C33" s="289">
        <v>219</v>
      </c>
      <c r="D33" s="289" t="s">
        <v>757</v>
      </c>
      <c r="E33" s="53" t="s">
        <v>736</v>
      </c>
      <c r="F33" s="289" t="s">
        <v>737</v>
      </c>
      <c r="G33" s="218">
        <v>7979043173</v>
      </c>
      <c r="H33" s="244"/>
      <c r="I33" s="244"/>
      <c r="J33" s="218">
        <f t="shared" si="0"/>
        <v>7979043173</v>
      </c>
      <c r="K33" s="218">
        <f>3364852908+3226067944+294538252+672022673+814261336</f>
        <v>8371743113</v>
      </c>
      <c r="L33" s="244"/>
      <c r="M33" s="244"/>
      <c r="N33" s="218">
        <f t="shared" si="1"/>
        <v>8371743113</v>
      </c>
      <c r="O33" s="234"/>
      <c r="P33" s="97"/>
    </row>
    <row r="34" spans="1:28" x14ac:dyDescent="0.25">
      <c r="A34" s="10" t="s">
        <v>758</v>
      </c>
      <c r="B34" s="10" t="s">
        <v>759</v>
      </c>
      <c r="C34" s="289">
        <v>219</v>
      </c>
      <c r="D34" s="289">
        <v>25</v>
      </c>
      <c r="E34" s="53" t="s">
        <v>736</v>
      </c>
      <c r="F34" s="289" t="s">
        <v>737</v>
      </c>
      <c r="G34" s="218">
        <v>1389507162</v>
      </c>
      <c r="H34" s="244">
        <v>1560901</v>
      </c>
      <c r="I34" s="244"/>
      <c r="J34" s="218">
        <f t="shared" si="0"/>
        <v>1387946261</v>
      </c>
      <c r="K34" s="218">
        <v>1403966062</v>
      </c>
      <c r="L34" s="244">
        <v>2179649</v>
      </c>
      <c r="M34" s="244">
        <v>169386.88</v>
      </c>
      <c r="N34" s="218">
        <f t="shared" si="1"/>
        <v>1401617026.1199999</v>
      </c>
      <c r="O34" s="234"/>
      <c r="P34" s="184"/>
      <c r="Q34" s="182"/>
      <c r="R34" s="182"/>
      <c r="S34" s="182"/>
      <c r="T34" s="182"/>
      <c r="U34" s="182"/>
      <c r="V34" s="182"/>
      <c r="W34" s="183"/>
      <c r="X34" s="183"/>
      <c r="Y34" s="182"/>
      <c r="Z34" s="182"/>
      <c r="AA34" s="180"/>
      <c r="AB34" s="180"/>
    </row>
    <row r="35" spans="1:28" x14ac:dyDescent="0.25">
      <c r="A35" s="10" t="s">
        <v>760</v>
      </c>
      <c r="B35" s="10" t="s">
        <v>761</v>
      </c>
      <c r="C35" s="53">
        <v>219</v>
      </c>
      <c r="D35" s="53">
        <v>26</v>
      </c>
      <c r="E35" s="53" t="s">
        <v>736</v>
      </c>
      <c r="F35" s="290" t="s">
        <v>737</v>
      </c>
      <c r="G35" s="218">
        <v>4561335790</v>
      </c>
      <c r="H35" s="244"/>
      <c r="I35" s="244"/>
      <c r="J35" s="218">
        <f t="shared" si="0"/>
        <v>4561335790</v>
      </c>
      <c r="K35" s="218">
        <v>4657540019</v>
      </c>
      <c r="L35" s="244"/>
      <c r="M35" s="244">
        <v>-169387</v>
      </c>
      <c r="N35" s="218">
        <f t="shared" si="1"/>
        <v>4657709406</v>
      </c>
      <c r="O35" s="234"/>
      <c r="P35" s="184"/>
      <c r="Q35" s="182"/>
      <c r="R35" s="182"/>
      <c r="S35" s="182"/>
      <c r="T35" s="182"/>
      <c r="U35" s="182"/>
      <c r="V35" s="182"/>
      <c r="W35" s="183"/>
      <c r="X35" s="183"/>
      <c r="Y35" s="182"/>
      <c r="Z35" s="182"/>
      <c r="AA35" s="180"/>
      <c r="AB35" s="180"/>
    </row>
    <row r="36" spans="1:28" x14ac:dyDescent="0.25">
      <c r="A36" s="10" t="s">
        <v>762</v>
      </c>
      <c r="B36" s="10" t="s">
        <v>763</v>
      </c>
      <c r="C36" s="53">
        <v>219</v>
      </c>
      <c r="D36" s="53">
        <v>28</v>
      </c>
      <c r="E36" s="53" t="s">
        <v>736</v>
      </c>
      <c r="F36" s="290" t="s">
        <v>737</v>
      </c>
      <c r="G36" s="218">
        <v>356296118</v>
      </c>
      <c r="H36" s="244"/>
      <c r="I36" s="244"/>
      <c r="J36" s="218">
        <f t="shared" si="0"/>
        <v>356296118</v>
      </c>
      <c r="K36" s="218">
        <v>395580917</v>
      </c>
      <c r="L36" s="244"/>
      <c r="M36" s="244"/>
      <c r="N36" s="218">
        <f t="shared" si="1"/>
        <v>395580917</v>
      </c>
      <c r="O36" s="234"/>
      <c r="P36" s="184"/>
      <c r="Q36" s="182"/>
      <c r="R36" s="182"/>
      <c r="S36" s="182"/>
      <c r="T36" s="182"/>
      <c r="U36" s="182"/>
      <c r="V36" s="182"/>
      <c r="W36" s="182"/>
      <c r="X36" s="182"/>
      <c r="Y36" s="182"/>
      <c r="Z36" s="182"/>
    </row>
    <row r="37" spans="1:28" x14ac:dyDescent="0.25">
      <c r="A37" s="10" t="s">
        <v>764</v>
      </c>
      <c r="B37" s="10" t="s">
        <v>765</v>
      </c>
      <c r="C37" s="53">
        <v>227</v>
      </c>
      <c r="D37" s="53">
        <v>8</v>
      </c>
      <c r="E37" s="53" t="s">
        <v>737</v>
      </c>
      <c r="F37" s="290" t="s">
        <v>719</v>
      </c>
      <c r="G37" s="218">
        <v>51456333</v>
      </c>
      <c r="H37" s="244"/>
      <c r="I37" s="244">
        <v>663933</v>
      </c>
      <c r="J37" s="218">
        <f t="shared" si="0"/>
        <v>50792400</v>
      </c>
      <c r="K37" s="218">
        <v>49052803</v>
      </c>
      <c r="L37" s="244"/>
      <c r="M37" s="244">
        <v>0</v>
      </c>
      <c r="N37" s="218">
        <f t="shared" si="1"/>
        <v>49052803</v>
      </c>
      <c r="P37" s="97"/>
    </row>
    <row r="38" spans="1:28" x14ac:dyDescent="0.25">
      <c r="A38" s="10" t="s">
        <v>766</v>
      </c>
      <c r="B38" s="10" t="s">
        <v>767</v>
      </c>
      <c r="C38" s="53">
        <v>227</v>
      </c>
      <c r="D38" s="53">
        <v>16</v>
      </c>
      <c r="E38" s="53" t="s">
        <v>737</v>
      </c>
      <c r="F38" s="290" t="s">
        <v>719</v>
      </c>
      <c r="G38" s="218">
        <v>43768488</v>
      </c>
      <c r="H38" s="244"/>
      <c r="I38" s="244"/>
      <c r="J38" s="218">
        <f t="shared" si="0"/>
        <v>43768488</v>
      </c>
      <c r="K38" s="218">
        <v>44420013</v>
      </c>
      <c r="L38" s="244"/>
      <c r="M38" s="244"/>
      <c r="N38" s="218">
        <f t="shared" si="1"/>
        <v>44420013</v>
      </c>
      <c r="P38" s="97"/>
    </row>
    <row r="39" spans="1:28" x14ac:dyDescent="0.25">
      <c r="A39" s="10" t="s">
        <v>768</v>
      </c>
      <c r="B39" s="10" t="s">
        <v>769</v>
      </c>
      <c r="C39" s="53">
        <v>232</v>
      </c>
      <c r="D39" s="53">
        <v>44</v>
      </c>
      <c r="E39" s="53" t="s">
        <v>737</v>
      </c>
      <c r="F39" s="290" t="s">
        <v>770</v>
      </c>
      <c r="G39" s="218">
        <v>3019657037</v>
      </c>
      <c r="H39" s="244"/>
      <c r="I39" s="244"/>
      <c r="J39" s="218">
        <f t="shared" si="0"/>
        <v>3019657037</v>
      </c>
      <c r="K39" s="218">
        <v>2760098689</v>
      </c>
      <c r="L39" s="244"/>
      <c r="M39" s="244"/>
      <c r="N39" s="218">
        <f t="shared" si="1"/>
        <v>2760098689</v>
      </c>
      <c r="P39" s="97"/>
    </row>
    <row r="40" spans="1:28" x14ac:dyDescent="0.25">
      <c r="A40" s="10" t="s">
        <v>771</v>
      </c>
      <c r="B40" s="6" t="s">
        <v>772</v>
      </c>
      <c r="C40" s="53">
        <v>234</v>
      </c>
      <c r="D40" s="53">
        <v>18</v>
      </c>
      <c r="E40" s="53" t="s">
        <v>737</v>
      </c>
      <c r="F40" s="290" t="s">
        <v>719</v>
      </c>
      <c r="G40" s="218">
        <v>2720556256</v>
      </c>
      <c r="H40" s="244"/>
      <c r="I40" s="244"/>
      <c r="J40" s="218">
        <f t="shared" si="0"/>
        <v>2720556256</v>
      </c>
      <c r="K40" s="218">
        <v>2492302268</v>
      </c>
      <c r="L40" s="244"/>
      <c r="M40" s="244">
        <v>-194580829</v>
      </c>
      <c r="N40" s="218">
        <f t="shared" si="1"/>
        <v>2686883097</v>
      </c>
      <c r="P40" s="97"/>
    </row>
    <row r="41" spans="1:28" x14ac:dyDescent="0.25">
      <c r="A41" s="10" t="s">
        <v>773</v>
      </c>
      <c r="B41" s="10" t="s">
        <v>774</v>
      </c>
      <c r="C41" s="53" t="s">
        <v>1250</v>
      </c>
      <c r="D41" s="337" t="s">
        <v>1251</v>
      </c>
      <c r="E41" s="53"/>
      <c r="F41" s="290" t="s">
        <v>775</v>
      </c>
      <c r="G41" s="218">
        <v>48779176</v>
      </c>
      <c r="H41" s="244"/>
      <c r="I41" s="244">
        <v>57911</v>
      </c>
      <c r="J41" s="218">
        <f t="shared" si="0"/>
        <v>48721265</v>
      </c>
      <c r="K41" s="218">
        <v>47358901</v>
      </c>
      <c r="L41" s="244"/>
      <c r="M41" s="244">
        <f>32585.78+1118.78+5242.75</f>
        <v>38947.31</v>
      </c>
      <c r="N41" s="218">
        <f t="shared" si="1"/>
        <v>47319953.689999998</v>
      </c>
      <c r="P41" s="97"/>
    </row>
    <row r="42" spans="1:28" x14ac:dyDescent="0.25">
      <c r="A42" s="10" t="s">
        <v>776</v>
      </c>
      <c r="B42" s="10" t="s">
        <v>777</v>
      </c>
      <c r="C42" s="53" t="s">
        <v>1250</v>
      </c>
      <c r="D42" s="53" t="s">
        <v>1252</v>
      </c>
      <c r="E42" s="53"/>
      <c r="F42" s="290" t="s">
        <v>775</v>
      </c>
      <c r="G42" s="218">
        <v>191573564</v>
      </c>
      <c r="H42" s="244"/>
      <c r="I42" s="244">
        <v>326298</v>
      </c>
      <c r="J42" s="218">
        <f t="shared" si="0"/>
        <v>191247266</v>
      </c>
      <c r="K42" s="218">
        <v>201490563</v>
      </c>
      <c r="L42" s="244"/>
      <c r="M42" s="244">
        <v>194255.64</v>
      </c>
      <c r="N42" s="218">
        <f t="shared" si="1"/>
        <v>201296307.36000001</v>
      </c>
      <c r="P42" s="97"/>
    </row>
    <row r="43" spans="1:28" x14ac:dyDescent="0.25">
      <c r="A43" s="10" t="s">
        <v>778</v>
      </c>
      <c r="B43" s="10" t="s">
        <v>779</v>
      </c>
      <c r="C43" s="53">
        <v>266</v>
      </c>
      <c r="D43" s="53">
        <v>8</v>
      </c>
      <c r="E43" s="53"/>
      <c r="F43" s="290" t="s">
        <v>770</v>
      </c>
      <c r="G43" s="218">
        <v>5263008</v>
      </c>
      <c r="H43" s="244"/>
      <c r="I43" s="244"/>
      <c r="J43" s="218">
        <f t="shared" si="0"/>
        <v>5263008</v>
      </c>
      <c r="K43" s="218">
        <v>5298340</v>
      </c>
      <c r="L43" s="244"/>
      <c r="M43" s="244"/>
      <c r="N43" s="218">
        <f t="shared" si="1"/>
        <v>5298340</v>
      </c>
      <c r="P43" s="97"/>
    </row>
    <row r="44" spans="1:28" x14ac:dyDescent="0.25">
      <c r="A44" s="10" t="s">
        <v>895</v>
      </c>
      <c r="B44" s="10" t="s">
        <v>896</v>
      </c>
      <c r="C44" s="53" t="s">
        <v>897</v>
      </c>
      <c r="D44" s="53">
        <v>17</v>
      </c>
      <c r="E44" s="53" t="s">
        <v>737</v>
      </c>
      <c r="F44" s="290" t="s">
        <v>783</v>
      </c>
      <c r="G44" s="218">
        <v>0</v>
      </c>
      <c r="H44" s="244"/>
      <c r="I44" s="244"/>
      <c r="J44" s="218">
        <f t="shared" si="0"/>
        <v>0</v>
      </c>
      <c r="K44" s="218">
        <v>0</v>
      </c>
      <c r="L44" s="244"/>
      <c r="M44" s="244"/>
      <c r="N44" s="218">
        <f t="shared" si="1"/>
        <v>0</v>
      </c>
      <c r="P44" s="97"/>
    </row>
    <row r="45" spans="1:28" x14ac:dyDescent="0.25">
      <c r="A45" s="10" t="s">
        <v>780</v>
      </c>
      <c r="B45" s="10" t="s">
        <v>781</v>
      </c>
      <c r="C45" s="53" t="s">
        <v>782</v>
      </c>
      <c r="D45" s="53">
        <v>9</v>
      </c>
      <c r="E45" s="53" t="s">
        <v>737</v>
      </c>
      <c r="F45" s="290" t="s">
        <v>783</v>
      </c>
      <c r="G45" s="218">
        <v>6452625233</v>
      </c>
      <c r="H45" s="244">
        <v>-999344</v>
      </c>
      <c r="I45" s="244"/>
      <c r="J45" s="218">
        <f t="shared" si="0"/>
        <v>6453624577</v>
      </c>
      <c r="K45" s="218">
        <v>4129591930</v>
      </c>
      <c r="L45" s="244">
        <v>2632</v>
      </c>
      <c r="M45" s="244">
        <v>-2450131487</v>
      </c>
      <c r="N45" s="218">
        <f t="shared" si="1"/>
        <v>6579720785</v>
      </c>
      <c r="P45" s="97"/>
    </row>
    <row r="46" spans="1:28" x14ac:dyDescent="0.25">
      <c r="A46" s="10" t="s">
        <v>845</v>
      </c>
      <c r="B46" s="10" t="s">
        <v>784</v>
      </c>
      <c r="C46" s="53" t="s">
        <v>785</v>
      </c>
      <c r="D46" s="53">
        <v>19</v>
      </c>
      <c r="E46" s="53" t="s">
        <v>737</v>
      </c>
      <c r="F46" s="53" t="s">
        <v>783</v>
      </c>
      <c r="G46" s="218">
        <v>2812929163</v>
      </c>
      <c r="H46" s="244"/>
      <c r="I46" s="244"/>
      <c r="J46" s="218">
        <f t="shared" si="0"/>
        <v>2812929163</v>
      </c>
      <c r="K46" s="218">
        <v>1776438934</v>
      </c>
      <c r="L46" s="244"/>
      <c r="M46" s="244">
        <v>-1199950335</v>
      </c>
      <c r="N46" s="218">
        <f t="shared" si="1"/>
        <v>2976389269</v>
      </c>
      <c r="O46" s="234"/>
      <c r="P46" s="97"/>
    </row>
    <row r="47" spans="1:28" x14ac:dyDescent="0.25">
      <c r="A47" s="10" t="s">
        <v>786</v>
      </c>
      <c r="B47" s="10" t="s">
        <v>787</v>
      </c>
      <c r="C47" s="53">
        <v>321</v>
      </c>
      <c r="D47" s="53">
        <v>112</v>
      </c>
      <c r="E47" s="53"/>
      <c r="F47" s="53" t="s">
        <v>737</v>
      </c>
      <c r="G47" s="218">
        <v>57316736</v>
      </c>
      <c r="H47" s="244">
        <v>7500</v>
      </c>
      <c r="I47" s="338"/>
      <c r="J47" s="218">
        <f t="shared" si="0"/>
        <v>57309236</v>
      </c>
      <c r="K47" s="218">
        <v>53374309</v>
      </c>
      <c r="L47" s="244">
        <v>13500</v>
      </c>
      <c r="M47" s="338">
        <v>971491.32</v>
      </c>
      <c r="N47" s="218">
        <f t="shared" si="1"/>
        <v>52389317.68</v>
      </c>
      <c r="O47" s="234"/>
      <c r="P47" s="97"/>
    </row>
    <row r="48" spans="1:28" x14ac:dyDescent="0.25">
      <c r="A48" s="10" t="s">
        <v>788</v>
      </c>
      <c r="B48" s="138" t="s">
        <v>638</v>
      </c>
      <c r="C48" s="53">
        <v>321</v>
      </c>
      <c r="D48" s="53">
        <v>85</v>
      </c>
      <c r="E48" s="53"/>
      <c r="F48" s="53" t="s">
        <v>737</v>
      </c>
      <c r="G48" s="218">
        <v>1044569</v>
      </c>
      <c r="H48" s="244"/>
      <c r="I48" s="244"/>
      <c r="J48" s="218">
        <f t="shared" si="0"/>
        <v>1044569</v>
      </c>
      <c r="K48" s="218">
        <v>1245799</v>
      </c>
      <c r="L48" s="244"/>
      <c r="M48" s="244"/>
      <c r="N48" s="218">
        <f t="shared" si="1"/>
        <v>1245799</v>
      </c>
      <c r="O48" s="234"/>
      <c r="P48" s="97"/>
    </row>
    <row r="49" spans="1:28" x14ac:dyDescent="0.25">
      <c r="A49" s="10" t="s">
        <v>789</v>
      </c>
      <c r="B49" s="138" t="s">
        <v>639</v>
      </c>
      <c r="C49" s="53">
        <v>321</v>
      </c>
      <c r="D49" s="53">
        <v>86</v>
      </c>
      <c r="E49" s="53"/>
      <c r="F49" s="53" t="s">
        <v>737</v>
      </c>
      <c r="G49" s="218">
        <v>9694695</v>
      </c>
      <c r="H49" s="244"/>
      <c r="I49" s="244"/>
      <c r="J49" s="218">
        <f t="shared" si="0"/>
        <v>9694695</v>
      </c>
      <c r="K49" s="218">
        <v>8471596</v>
      </c>
      <c r="L49" s="244"/>
      <c r="M49" s="244"/>
      <c r="N49" s="218">
        <f t="shared" si="1"/>
        <v>8471596</v>
      </c>
      <c r="O49" s="234"/>
      <c r="P49" s="97"/>
    </row>
    <row r="50" spans="1:28" x14ac:dyDescent="0.25">
      <c r="A50" s="10" t="s">
        <v>790</v>
      </c>
      <c r="B50" s="138" t="s">
        <v>640</v>
      </c>
      <c r="C50" s="53">
        <v>321</v>
      </c>
      <c r="D50" s="53">
        <v>87</v>
      </c>
      <c r="E50" s="53"/>
      <c r="F50" s="53" t="s">
        <v>737</v>
      </c>
      <c r="G50" s="218">
        <v>788004</v>
      </c>
      <c r="H50" s="244"/>
      <c r="I50" s="244"/>
      <c r="J50" s="218">
        <f t="shared" si="0"/>
        <v>788004</v>
      </c>
      <c r="K50" s="218">
        <v>811724</v>
      </c>
      <c r="L50" s="244"/>
      <c r="M50" s="244"/>
      <c r="N50" s="218">
        <f t="shared" si="1"/>
        <v>811724</v>
      </c>
      <c r="O50" s="234"/>
      <c r="P50" s="97"/>
    </row>
    <row r="51" spans="1:28" x14ac:dyDescent="0.25">
      <c r="A51" s="10" t="s">
        <v>791</v>
      </c>
      <c r="B51" s="138" t="s">
        <v>641</v>
      </c>
      <c r="C51" s="53">
        <v>321</v>
      </c>
      <c r="D51" s="53">
        <v>88</v>
      </c>
      <c r="E51" s="53"/>
      <c r="F51" s="53" t="s">
        <v>737</v>
      </c>
      <c r="G51" s="218">
        <v>2992</v>
      </c>
      <c r="H51" s="244"/>
      <c r="I51" s="244"/>
      <c r="J51" s="218">
        <f t="shared" si="0"/>
        <v>2992</v>
      </c>
      <c r="K51" s="218">
        <v>1614</v>
      </c>
      <c r="L51" s="244"/>
      <c r="M51" s="244"/>
      <c r="N51" s="218">
        <f t="shared" si="1"/>
        <v>1614</v>
      </c>
      <c r="O51" s="234"/>
      <c r="P51" s="97"/>
    </row>
    <row r="52" spans="1:28" x14ac:dyDescent="0.25">
      <c r="A52" s="10" t="s">
        <v>792</v>
      </c>
      <c r="B52" s="138" t="s">
        <v>644</v>
      </c>
      <c r="C52" s="53">
        <v>321</v>
      </c>
      <c r="D52" s="53">
        <v>89</v>
      </c>
      <c r="E52" s="53"/>
      <c r="F52" s="53" t="s">
        <v>737</v>
      </c>
      <c r="G52" s="218">
        <v>237219</v>
      </c>
      <c r="H52" s="244"/>
      <c r="I52" s="244"/>
      <c r="J52" s="218">
        <f t="shared" si="0"/>
        <v>237219</v>
      </c>
      <c r="K52" s="218">
        <v>231610</v>
      </c>
      <c r="L52" s="244"/>
      <c r="M52" s="244"/>
      <c r="N52" s="218">
        <f t="shared" si="1"/>
        <v>231610</v>
      </c>
      <c r="O52" s="234"/>
      <c r="P52" s="97"/>
    </row>
    <row r="53" spans="1:28" x14ac:dyDescent="0.25">
      <c r="A53" s="10" t="s">
        <v>793</v>
      </c>
      <c r="B53" s="138" t="s">
        <v>643</v>
      </c>
      <c r="C53" s="53">
        <v>321</v>
      </c>
      <c r="D53" s="53">
        <v>90</v>
      </c>
      <c r="E53" s="53"/>
      <c r="F53" s="53" t="s">
        <v>737</v>
      </c>
      <c r="G53" s="218">
        <v>5831</v>
      </c>
      <c r="H53" s="244"/>
      <c r="I53" s="244"/>
      <c r="J53" s="218">
        <f t="shared" si="0"/>
        <v>5831</v>
      </c>
      <c r="K53" s="218">
        <v>22370</v>
      </c>
      <c r="L53" s="244"/>
      <c r="M53" s="244">
        <v>22370</v>
      </c>
      <c r="N53" s="218">
        <f t="shared" si="1"/>
        <v>0</v>
      </c>
      <c r="O53" s="234"/>
      <c r="P53" s="97"/>
    </row>
    <row r="54" spans="1:28" x14ac:dyDescent="0.25">
      <c r="A54" s="10" t="s">
        <v>794</v>
      </c>
      <c r="B54" s="138" t="s">
        <v>642</v>
      </c>
      <c r="C54" s="53">
        <v>321</v>
      </c>
      <c r="D54" s="53">
        <v>91</v>
      </c>
      <c r="E54" s="53"/>
      <c r="F54" s="53" t="s">
        <v>737</v>
      </c>
      <c r="G54" s="218">
        <v>118737</v>
      </c>
      <c r="H54" s="244"/>
      <c r="I54" s="244"/>
      <c r="J54" s="218">
        <f t="shared" si="0"/>
        <v>118737</v>
      </c>
      <c r="K54" s="218">
        <v>-37269</v>
      </c>
      <c r="L54" s="244"/>
      <c r="M54" s="244">
        <v>-37269</v>
      </c>
      <c r="N54" s="218">
        <f t="shared" si="1"/>
        <v>0</v>
      </c>
      <c r="O54" s="234"/>
      <c r="P54" s="97"/>
    </row>
    <row r="55" spans="1:28" x14ac:dyDescent="0.25">
      <c r="A55" s="10" t="s">
        <v>795</v>
      </c>
      <c r="B55" s="10" t="s">
        <v>796</v>
      </c>
      <c r="C55" s="53">
        <v>321</v>
      </c>
      <c r="D55" s="53">
        <v>96</v>
      </c>
      <c r="E55" s="53"/>
      <c r="F55" s="53" t="s">
        <v>737</v>
      </c>
      <c r="G55" s="218">
        <v>4530988</v>
      </c>
      <c r="H55" s="244"/>
      <c r="I55" s="244"/>
      <c r="J55" s="218">
        <f t="shared" si="0"/>
        <v>4530988</v>
      </c>
      <c r="K55" s="218">
        <v>2637455</v>
      </c>
      <c r="L55" s="244"/>
      <c r="M55" s="244"/>
      <c r="N55" s="218">
        <f t="shared" si="1"/>
        <v>2637455</v>
      </c>
      <c r="O55" s="234"/>
      <c r="P55" s="97"/>
    </row>
    <row r="56" spans="1:28" x14ac:dyDescent="0.25">
      <c r="A56" s="10" t="s">
        <v>797</v>
      </c>
      <c r="B56" s="10" t="s">
        <v>798</v>
      </c>
      <c r="C56" s="53">
        <v>323</v>
      </c>
      <c r="D56" s="53">
        <v>197</v>
      </c>
      <c r="E56" s="53"/>
      <c r="F56" s="53" t="s">
        <v>737</v>
      </c>
      <c r="G56" s="218">
        <v>491095537</v>
      </c>
      <c r="H56" s="244">
        <v>16725211</v>
      </c>
      <c r="I56" s="244">
        <v>26332442</v>
      </c>
      <c r="J56" s="218">
        <f t="shared" si="0"/>
        <v>448037884</v>
      </c>
      <c r="K56" s="218">
        <v>414143271</v>
      </c>
      <c r="L56" s="244">
        <v>-898812.49</v>
      </c>
      <c r="M56" s="244">
        <f>210216.72+1865.5+1923019.75+5772352.93+5439844.25+267083.13+44644.15+113377.56+16513.18+26798</f>
        <v>13815715.170000002</v>
      </c>
      <c r="N56" s="218">
        <f t="shared" si="1"/>
        <v>401226368.31999999</v>
      </c>
      <c r="O56" s="203"/>
      <c r="P56" s="97"/>
    </row>
    <row r="57" spans="1:28" x14ac:dyDescent="0.25">
      <c r="A57" s="10" t="s">
        <v>799</v>
      </c>
      <c r="B57" s="10" t="s">
        <v>800</v>
      </c>
      <c r="C57" s="53">
        <v>323</v>
      </c>
      <c r="D57" s="53">
        <v>185</v>
      </c>
      <c r="E57" s="53"/>
      <c r="F57" s="53" t="s">
        <v>737</v>
      </c>
      <c r="G57" s="218">
        <v>19725087</v>
      </c>
      <c r="H57" s="244"/>
      <c r="I57" s="244"/>
      <c r="J57" s="218">
        <f t="shared" si="0"/>
        <v>19725087</v>
      </c>
      <c r="K57" s="218">
        <v>10862755</v>
      </c>
      <c r="L57" s="244"/>
      <c r="M57" s="244"/>
      <c r="N57" s="218">
        <f t="shared" si="1"/>
        <v>10862755</v>
      </c>
      <c r="O57" s="234"/>
      <c r="P57" s="97"/>
    </row>
    <row r="58" spans="1:28" x14ac:dyDescent="0.25">
      <c r="A58" s="10" t="s">
        <v>801</v>
      </c>
      <c r="B58" s="10" t="s">
        <v>802</v>
      </c>
      <c r="C58" s="53">
        <v>323</v>
      </c>
      <c r="D58" s="53">
        <v>189</v>
      </c>
      <c r="E58" s="53"/>
      <c r="F58" s="53" t="s">
        <v>737</v>
      </c>
      <c r="G58" s="218">
        <v>12084698</v>
      </c>
      <c r="H58" s="244"/>
      <c r="I58" s="244">
        <v>701885</v>
      </c>
      <c r="J58" s="218">
        <f t="shared" si="0"/>
        <v>11382813</v>
      </c>
      <c r="K58" s="218">
        <v>11375477</v>
      </c>
      <c r="L58" s="244"/>
      <c r="M58" s="244">
        <v>0</v>
      </c>
      <c r="N58" s="218">
        <f t="shared" si="1"/>
        <v>11375477</v>
      </c>
      <c r="O58" s="234"/>
      <c r="P58" s="97"/>
    </row>
    <row r="59" spans="1:28" x14ac:dyDescent="0.25">
      <c r="A59" s="10" t="s">
        <v>803</v>
      </c>
      <c r="B59" s="10" t="s">
        <v>804</v>
      </c>
      <c r="C59" s="53">
        <v>323</v>
      </c>
      <c r="D59" s="53">
        <v>191</v>
      </c>
      <c r="E59" s="53"/>
      <c r="F59" s="53" t="s">
        <v>737</v>
      </c>
      <c r="G59" s="218">
        <v>3532922</v>
      </c>
      <c r="H59" s="244"/>
      <c r="I59" s="244">
        <v>3532922</v>
      </c>
      <c r="J59" s="218">
        <f t="shared" si="0"/>
        <v>0</v>
      </c>
      <c r="K59" s="218">
        <v>5439844</v>
      </c>
      <c r="L59" s="244"/>
      <c r="M59" s="244">
        <v>5439844.25</v>
      </c>
      <c r="N59" s="218">
        <f t="shared" si="1"/>
        <v>-0.25</v>
      </c>
      <c r="O59" s="234"/>
      <c r="P59" s="97"/>
    </row>
    <row r="60" spans="1:28" x14ac:dyDescent="0.25">
      <c r="A60" s="10" t="s">
        <v>805</v>
      </c>
      <c r="B60" s="10" t="s">
        <v>806</v>
      </c>
      <c r="C60" s="53">
        <v>335</v>
      </c>
      <c r="D60" s="339" t="s">
        <v>1253</v>
      </c>
      <c r="E60" s="53"/>
      <c r="F60" s="53" t="s">
        <v>737</v>
      </c>
      <c r="G60" s="218">
        <v>3886762</v>
      </c>
      <c r="H60" s="244"/>
      <c r="I60" s="244"/>
      <c r="J60" s="218">
        <f t="shared" si="0"/>
        <v>3886762</v>
      </c>
      <c r="K60" s="218">
        <f>1153958+2553172</f>
        <v>3707130</v>
      </c>
      <c r="L60" s="244"/>
      <c r="M60" s="244"/>
      <c r="N60" s="218">
        <f t="shared" si="1"/>
        <v>3707130</v>
      </c>
      <c r="O60" s="234"/>
      <c r="P60" s="97"/>
    </row>
    <row r="61" spans="1:28" x14ac:dyDescent="0.25">
      <c r="A61" s="10" t="s">
        <v>807</v>
      </c>
      <c r="B61" s="10" t="s">
        <v>808</v>
      </c>
      <c r="C61" s="53">
        <v>336</v>
      </c>
      <c r="D61" s="53">
        <v>7</v>
      </c>
      <c r="E61" s="53"/>
      <c r="F61" s="53" t="s">
        <v>770</v>
      </c>
      <c r="G61" s="218">
        <v>71186690</v>
      </c>
      <c r="H61" s="244"/>
      <c r="I61" s="244"/>
      <c r="J61" s="218">
        <f t="shared" si="0"/>
        <v>71186690</v>
      </c>
      <c r="K61" s="218">
        <v>73707356</v>
      </c>
      <c r="L61" s="244"/>
      <c r="M61" s="244">
        <f>73292.62+7103.36</f>
        <v>80395.98</v>
      </c>
      <c r="N61" s="218">
        <f t="shared" si="1"/>
        <v>73626960.019999996</v>
      </c>
      <c r="O61" s="234"/>
      <c r="P61" s="190"/>
      <c r="Q61" s="185"/>
      <c r="R61" s="185"/>
      <c r="S61" s="185"/>
      <c r="T61" s="185"/>
      <c r="U61" s="185"/>
      <c r="V61" s="185"/>
      <c r="W61" s="185"/>
      <c r="X61" s="185"/>
      <c r="Y61" s="185"/>
      <c r="Z61" s="185"/>
      <c r="AA61" s="185"/>
      <c r="AB61" s="185"/>
    </row>
    <row r="62" spans="1:28" x14ac:dyDescent="0.25">
      <c r="A62" s="10" t="s">
        <v>809</v>
      </c>
      <c r="B62" s="10" t="s">
        <v>810</v>
      </c>
      <c r="C62" s="53">
        <v>336</v>
      </c>
      <c r="D62" s="53">
        <v>10</v>
      </c>
      <c r="E62" s="53"/>
      <c r="F62" s="53" t="s">
        <v>770</v>
      </c>
      <c r="G62" s="218">
        <v>58675039</v>
      </c>
      <c r="H62" s="244">
        <v>1591204</v>
      </c>
      <c r="I62" s="244"/>
      <c r="J62" s="218">
        <f t="shared" si="0"/>
        <v>57083835</v>
      </c>
      <c r="K62" s="218">
        <v>58961710</v>
      </c>
      <c r="L62" s="244">
        <v>3501929.27</v>
      </c>
      <c r="M62" s="244"/>
      <c r="N62" s="218">
        <f t="shared" si="1"/>
        <v>55459780.729999997</v>
      </c>
      <c r="O62" s="234"/>
      <c r="P62" s="97"/>
      <c r="V62" s="176"/>
    </row>
    <row r="63" spans="1:28" x14ac:dyDescent="0.25">
      <c r="A63" s="10" t="s">
        <v>811</v>
      </c>
      <c r="B63" s="10" t="s">
        <v>812</v>
      </c>
      <c r="C63" s="53">
        <v>336</v>
      </c>
      <c r="D63" s="53">
        <v>1</v>
      </c>
      <c r="E63" s="53"/>
      <c r="F63" s="53" t="s">
        <v>770</v>
      </c>
      <c r="G63" s="218">
        <v>45637934</v>
      </c>
      <c r="H63" s="244">
        <v>22499251</v>
      </c>
      <c r="I63" s="244"/>
      <c r="J63" s="218">
        <f t="shared" si="0"/>
        <v>23138683</v>
      </c>
      <c r="K63" s="218">
        <v>52622957</v>
      </c>
      <c r="L63" s="244">
        <v>6564758.2699999996</v>
      </c>
      <c r="M63" s="244"/>
      <c r="N63" s="218">
        <f t="shared" si="1"/>
        <v>46058198.730000004</v>
      </c>
      <c r="O63" s="234"/>
      <c r="P63" s="97"/>
    </row>
    <row r="64" spans="1:28" x14ac:dyDescent="0.25">
      <c r="A64" s="10" t="s">
        <v>917</v>
      </c>
      <c r="B64" s="10" t="s">
        <v>813</v>
      </c>
      <c r="C64" s="53">
        <v>350</v>
      </c>
      <c r="D64" s="53">
        <v>19</v>
      </c>
      <c r="E64" s="53"/>
      <c r="F64" s="53" t="s">
        <v>737</v>
      </c>
      <c r="G64" s="218">
        <v>2546053</v>
      </c>
      <c r="H64" s="244"/>
      <c r="I64" s="244"/>
      <c r="J64" s="218">
        <f t="shared" si="0"/>
        <v>2546053</v>
      </c>
      <c r="K64" s="218">
        <v>2795583</v>
      </c>
      <c r="L64" s="244"/>
      <c r="M64" s="244"/>
      <c r="N64" s="218">
        <f t="shared" si="1"/>
        <v>2795583</v>
      </c>
      <c r="P64" s="97"/>
    </row>
    <row r="65" spans="1:16" x14ac:dyDescent="0.25">
      <c r="A65" s="10" t="s">
        <v>814</v>
      </c>
      <c r="B65" s="10" t="s">
        <v>815</v>
      </c>
      <c r="C65" s="53">
        <v>354</v>
      </c>
      <c r="D65" s="53">
        <v>27</v>
      </c>
      <c r="E65" s="53"/>
      <c r="F65" s="53" t="s">
        <v>737</v>
      </c>
      <c r="G65" s="218">
        <v>186379257</v>
      </c>
      <c r="H65" s="244"/>
      <c r="I65" s="244"/>
      <c r="J65" s="218">
        <f t="shared" si="0"/>
        <v>186379257</v>
      </c>
      <c r="K65" s="218">
        <v>133593005</v>
      </c>
      <c r="L65" s="244"/>
      <c r="M65" s="244"/>
      <c r="N65" s="218">
        <f t="shared" si="1"/>
        <v>133593005</v>
      </c>
      <c r="P65" s="97"/>
    </row>
    <row r="66" spans="1:16" x14ac:dyDescent="0.25">
      <c r="A66" s="10" t="s">
        <v>816</v>
      </c>
      <c r="B66" s="10" t="s">
        <v>817</v>
      </c>
      <c r="C66" s="53">
        <v>354</v>
      </c>
      <c r="D66" s="53">
        <v>21</v>
      </c>
      <c r="E66" s="53"/>
      <c r="F66" s="53" t="s">
        <v>737</v>
      </c>
      <c r="G66" s="218">
        <v>22228947</v>
      </c>
      <c r="H66" s="244"/>
      <c r="I66" s="244"/>
      <c r="J66" s="218">
        <f t="shared" si="0"/>
        <v>22228947</v>
      </c>
      <c r="K66" s="218">
        <v>22980494</v>
      </c>
      <c r="L66" s="244"/>
      <c r="M66" s="244"/>
      <c r="N66" s="218">
        <f t="shared" si="1"/>
        <v>22980494</v>
      </c>
      <c r="P66" s="97"/>
    </row>
    <row r="67" spans="1:16" x14ac:dyDescent="0.25">
      <c r="A67" s="10" t="s">
        <v>818</v>
      </c>
      <c r="B67" s="10" t="s">
        <v>819</v>
      </c>
      <c r="C67" s="53">
        <v>355</v>
      </c>
      <c r="D67" s="53">
        <v>65</v>
      </c>
      <c r="E67" s="53"/>
      <c r="F67" s="53" t="s">
        <v>737</v>
      </c>
      <c r="G67" s="218">
        <v>909176077</v>
      </c>
      <c r="H67" s="244"/>
      <c r="I67" s="244">
        <v>340727</v>
      </c>
      <c r="J67" s="218">
        <f t="shared" ref="J67:J72" si="2">G67-H67-I67</f>
        <v>908835350</v>
      </c>
      <c r="K67" s="218">
        <v>841258331</v>
      </c>
      <c r="L67" s="244"/>
      <c r="M67" s="244">
        <v>1865.5</v>
      </c>
      <c r="N67" s="218">
        <f t="shared" ref="N67:N72" si="3">K67-L67-M67</f>
        <v>841256465.5</v>
      </c>
      <c r="P67" s="97"/>
    </row>
    <row r="68" spans="1:16" x14ac:dyDescent="0.25">
      <c r="A68" s="10" t="s">
        <v>820</v>
      </c>
      <c r="B68" s="10" t="s">
        <v>821</v>
      </c>
      <c r="C68" s="53">
        <v>400.17</v>
      </c>
      <c r="D68" s="53">
        <v>17</v>
      </c>
      <c r="E68" s="53"/>
      <c r="F68" s="53" t="s">
        <v>822</v>
      </c>
      <c r="G68" s="218">
        <v>157977</v>
      </c>
      <c r="H68" s="244"/>
      <c r="I68" s="244"/>
      <c r="J68" s="218">
        <f t="shared" si="2"/>
        <v>157977</v>
      </c>
      <c r="K68" s="218">
        <v>159852</v>
      </c>
      <c r="L68" s="244"/>
      <c r="M68" s="244"/>
      <c r="N68" s="218">
        <f t="shared" si="3"/>
        <v>159852</v>
      </c>
      <c r="P68" s="97"/>
    </row>
    <row r="69" spans="1:16" x14ac:dyDescent="0.25">
      <c r="A69" s="10" t="s">
        <v>823</v>
      </c>
      <c r="B69" s="10" t="s">
        <v>824</v>
      </c>
      <c r="C69" s="53">
        <v>400.17</v>
      </c>
      <c r="D69" s="53">
        <v>17</v>
      </c>
      <c r="E69" s="53"/>
      <c r="F69" s="53" t="s">
        <v>770</v>
      </c>
      <c r="G69" s="218">
        <v>47113</v>
      </c>
      <c r="H69" s="244"/>
      <c r="I69" s="244"/>
      <c r="J69" s="218">
        <f t="shared" si="2"/>
        <v>47113</v>
      </c>
      <c r="K69" s="218">
        <v>46712</v>
      </c>
      <c r="L69" s="244"/>
      <c r="M69" s="244"/>
      <c r="N69" s="218">
        <f t="shared" si="3"/>
        <v>46712</v>
      </c>
      <c r="P69" s="97"/>
    </row>
    <row r="70" spans="1:16" x14ac:dyDescent="0.25">
      <c r="A70" s="10" t="s">
        <v>825</v>
      </c>
      <c r="B70" s="10" t="s">
        <v>826</v>
      </c>
      <c r="C70" s="53">
        <v>400.17</v>
      </c>
      <c r="D70" s="53">
        <v>17</v>
      </c>
      <c r="E70" s="53"/>
      <c r="F70" s="53" t="s">
        <v>742</v>
      </c>
      <c r="G70" s="218">
        <v>27414</v>
      </c>
      <c r="H70" s="244"/>
      <c r="I70" s="244"/>
      <c r="J70" s="218">
        <f t="shared" si="2"/>
        <v>27414</v>
      </c>
      <c r="K70" s="218">
        <v>26651</v>
      </c>
      <c r="L70" s="244"/>
      <c r="M70" s="244"/>
      <c r="N70" s="218">
        <f t="shared" si="3"/>
        <v>26651</v>
      </c>
      <c r="P70" s="97"/>
    </row>
    <row r="71" spans="1:16" x14ac:dyDescent="0.25">
      <c r="A71" s="10" t="s">
        <v>827</v>
      </c>
      <c r="B71" s="10" t="s">
        <v>828</v>
      </c>
      <c r="C71" s="53">
        <v>400.17</v>
      </c>
      <c r="D71" s="53">
        <v>17</v>
      </c>
      <c r="E71" s="53"/>
      <c r="F71" s="53" t="s">
        <v>829</v>
      </c>
      <c r="G71" s="218">
        <v>0</v>
      </c>
      <c r="H71" s="244"/>
      <c r="I71" s="244"/>
      <c r="J71" s="218">
        <f t="shared" si="2"/>
        <v>0</v>
      </c>
      <c r="K71" s="218">
        <v>0</v>
      </c>
      <c r="L71" s="244"/>
      <c r="M71" s="244"/>
      <c r="N71" s="218">
        <f t="shared" si="3"/>
        <v>0</v>
      </c>
      <c r="P71" s="97"/>
    </row>
    <row r="72" spans="1:16" x14ac:dyDescent="0.25">
      <c r="A72" s="10" t="s">
        <v>916</v>
      </c>
      <c r="B72" s="10" t="s">
        <v>830</v>
      </c>
      <c r="C72" s="53">
        <v>423.3</v>
      </c>
      <c r="D72" s="53">
        <v>22</v>
      </c>
      <c r="E72" s="53"/>
      <c r="F72" s="53" t="s">
        <v>831</v>
      </c>
      <c r="G72" s="218">
        <v>6489636</v>
      </c>
      <c r="H72" s="244"/>
      <c r="I72" s="244"/>
      <c r="J72" s="218">
        <f t="shared" si="2"/>
        <v>6489636</v>
      </c>
      <c r="K72" s="218">
        <v>8356471</v>
      </c>
      <c r="L72" s="244"/>
      <c r="M72" s="244"/>
      <c r="N72" s="218">
        <f t="shared" si="3"/>
        <v>8356471</v>
      </c>
      <c r="P72" s="97"/>
    </row>
    <row r="73" spans="1:16" x14ac:dyDescent="0.25">
      <c r="A73" s="10"/>
      <c r="B73" s="138"/>
      <c r="C73" s="53"/>
      <c r="D73" s="53"/>
      <c r="H73" s="215"/>
      <c r="I73" s="215"/>
      <c r="J73" s="216"/>
      <c r="P73" s="97"/>
    </row>
    <row r="74" spans="1:16" x14ac:dyDescent="0.25">
      <c r="A74" s="10"/>
      <c r="B74" s="138"/>
      <c r="C74" s="53"/>
      <c r="D74" s="53"/>
      <c r="P74" s="97">
        <f t="shared" ref="P74:P95" si="4">N74-O74</f>
        <v>0</v>
      </c>
    </row>
    <row r="75" spans="1:16" x14ac:dyDescent="0.25">
      <c r="A75" s="10"/>
      <c r="B75" s="138"/>
      <c r="C75" s="53"/>
      <c r="P75" s="97">
        <f t="shared" si="4"/>
        <v>0</v>
      </c>
    </row>
    <row r="76" spans="1:16" x14ac:dyDescent="0.25">
      <c r="A76" s="10"/>
      <c r="B76" s="138"/>
      <c r="C76" s="53"/>
      <c r="P76" s="97">
        <f t="shared" si="4"/>
        <v>0</v>
      </c>
    </row>
    <row r="77" spans="1:16" x14ac:dyDescent="0.25">
      <c r="A77" s="10"/>
      <c r="B77" s="138"/>
      <c r="C77" s="53"/>
      <c r="P77" s="97">
        <f t="shared" si="4"/>
        <v>0</v>
      </c>
    </row>
    <row r="78" spans="1:16" x14ac:dyDescent="0.25">
      <c r="A78" s="10"/>
      <c r="B78" s="138"/>
      <c r="C78" s="53"/>
      <c r="P78" s="97">
        <f t="shared" si="4"/>
        <v>0</v>
      </c>
    </row>
    <row r="79" spans="1:16" x14ac:dyDescent="0.25">
      <c r="A79" s="10"/>
      <c r="B79" s="138"/>
      <c r="C79" s="53"/>
      <c r="P79" s="97">
        <f t="shared" si="4"/>
        <v>0</v>
      </c>
    </row>
    <row r="80" spans="1:16" x14ac:dyDescent="0.25">
      <c r="P80" s="97">
        <f t="shared" si="4"/>
        <v>0</v>
      </c>
    </row>
    <row r="81" spans="10:16" x14ac:dyDescent="0.25">
      <c r="P81" s="97">
        <f t="shared" si="4"/>
        <v>0</v>
      </c>
    </row>
    <row r="82" spans="10:16" x14ac:dyDescent="0.25">
      <c r="J82" s="6"/>
      <c r="K82" s="6"/>
      <c r="L82" s="6"/>
      <c r="M82" s="6"/>
      <c r="N82" s="6"/>
      <c r="P82" s="97">
        <f t="shared" si="4"/>
        <v>0</v>
      </c>
    </row>
    <row r="83" spans="10:16" x14ac:dyDescent="0.25">
      <c r="J83" s="6"/>
      <c r="K83" s="6"/>
      <c r="L83" s="6"/>
      <c r="M83" s="6"/>
      <c r="N83" s="6"/>
      <c r="P83" s="97">
        <f t="shared" si="4"/>
        <v>0</v>
      </c>
    </row>
    <row r="84" spans="10:16" x14ac:dyDescent="0.25">
      <c r="J84" s="6"/>
      <c r="K84" s="6"/>
      <c r="L84" s="6"/>
      <c r="M84" s="6"/>
      <c r="N84" s="6"/>
      <c r="P84" s="97">
        <f t="shared" si="4"/>
        <v>0</v>
      </c>
    </row>
    <row r="85" spans="10:16" x14ac:dyDescent="0.25">
      <c r="J85" s="6"/>
      <c r="K85" s="6"/>
      <c r="L85" s="6"/>
      <c r="M85" s="6"/>
      <c r="N85" s="6"/>
      <c r="P85" s="97">
        <f t="shared" si="4"/>
        <v>0</v>
      </c>
    </row>
    <row r="86" spans="10:16" x14ac:dyDescent="0.25">
      <c r="J86" s="6"/>
      <c r="K86" s="6"/>
      <c r="L86" s="6"/>
      <c r="M86" s="6"/>
      <c r="N86" s="6"/>
      <c r="P86" s="97">
        <f t="shared" si="4"/>
        <v>0</v>
      </c>
    </row>
    <row r="87" spans="10:16" x14ac:dyDescent="0.25">
      <c r="J87" s="6"/>
      <c r="K87" s="6"/>
      <c r="L87" s="6"/>
      <c r="M87" s="6"/>
      <c r="N87" s="6"/>
      <c r="P87" s="97">
        <f t="shared" si="4"/>
        <v>0</v>
      </c>
    </row>
    <row r="88" spans="10:16" x14ac:dyDescent="0.25">
      <c r="J88" s="6"/>
      <c r="K88" s="6"/>
      <c r="L88" s="6"/>
      <c r="M88" s="6"/>
      <c r="N88" s="6"/>
      <c r="P88" s="97">
        <f t="shared" si="4"/>
        <v>0</v>
      </c>
    </row>
    <row r="89" spans="10:16" x14ac:dyDescent="0.25">
      <c r="J89" s="6"/>
      <c r="K89" s="6"/>
      <c r="L89" s="6"/>
      <c r="M89" s="6"/>
      <c r="N89" s="6"/>
      <c r="P89" s="97">
        <f t="shared" si="4"/>
        <v>0</v>
      </c>
    </row>
    <row r="90" spans="10:16" x14ac:dyDescent="0.25">
      <c r="J90" s="6"/>
      <c r="K90" s="6"/>
      <c r="L90" s="6"/>
      <c r="M90" s="6"/>
      <c r="N90" s="6"/>
      <c r="P90" s="97">
        <f t="shared" si="4"/>
        <v>0</v>
      </c>
    </row>
    <row r="91" spans="10:16" x14ac:dyDescent="0.25">
      <c r="J91" s="6"/>
      <c r="K91" s="6"/>
      <c r="L91" s="6"/>
      <c r="M91" s="6"/>
      <c r="N91" s="6"/>
      <c r="P91" s="97">
        <f t="shared" si="4"/>
        <v>0</v>
      </c>
    </row>
    <row r="92" spans="10:16" x14ac:dyDescent="0.25">
      <c r="J92" s="6"/>
      <c r="K92" s="6"/>
      <c r="L92" s="6"/>
      <c r="M92" s="6"/>
      <c r="N92" s="6"/>
      <c r="P92" s="97">
        <f t="shared" si="4"/>
        <v>0</v>
      </c>
    </row>
    <row r="93" spans="10:16" x14ac:dyDescent="0.25">
      <c r="J93" s="6"/>
      <c r="K93" s="6"/>
      <c r="L93" s="6"/>
      <c r="M93" s="6"/>
      <c r="N93" s="6"/>
      <c r="P93" s="97">
        <f t="shared" si="4"/>
        <v>0</v>
      </c>
    </row>
    <row r="94" spans="10:16" x14ac:dyDescent="0.25">
      <c r="J94" s="6"/>
      <c r="K94" s="6"/>
      <c r="L94" s="6"/>
      <c r="M94" s="6"/>
      <c r="N94" s="6"/>
      <c r="P94" s="97">
        <f t="shared" si="4"/>
        <v>0</v>
      </c>
    </row>
    <row r="95" spans="10:16" x14ac:dyDescent="0.25">
      <c r="J95" s="6"/>
      <c r="K95" s="6"/>
      <c r="L95" s="6"/>
      <c r="M95" s="6"/>
      <c r="N95" s="6"/>
      <c r="P95" s="97">
        <f t="shared" si="4"/>
        <v>0</v>
      </c>
    </row>
    <row r="96" spans="10:16" x14ac:dyDescent="0.25">
      <c r="J96" s="6"/>
      <c r="K96" s="6"/>
      <c r="L96" s="6"/>
      <c r="M96" s="6"/>
      <c r="N96" s="6"/>
    </row>
    <row r="97" spans="10:14" x14ac:dyDescent="0.25">
      <c r="J97" s="6"/>
      <c r="K97" s="6"/>
      <c r="L97" s="6"/>
      <c r="M97" s="6"/>
      <c r="N97" s="6"/>
    </row>
    <row r="98" spans="10:14" x14ac:dyDescent="0.25">
      <c r="J98" s="6"/>
      <c r="K98" s="6"/>
      <c r="L98" s="6"/>
      <c r="M98" s="6"/>
      <c r="N98" s="6"/>
    </row>
    <row r="99" spans="10:14" x14ac:dyDescent="0.25">
      <c r="J99" s="6"/>
      <c r="K99" s="6"/>
      <c r="L99" s="6"/>
      <c r="M99" s="6"/>
      <c r="N99" s="6"/>
    </row>
    <row r="100" spans="10:14" x14ac:dyDescent="0.25">
      <c r="J100" s="6"/>
      <c r="K100" s="6"/>
      <c r="L100" s="6"/>
      <c r="M100" s="6"/>
      <c r="N100" s="6"/>
    </row>
    <row r="101" spans="10:14" x14ac:dyDescent="0.25">
      <c r="J101" s="6"/>
      <c r="K101" s="6"/>
      <c r="L101" s="6"/>
      <c r="M101" s="6"/>
      <c r="N101" s="6"/>
    </row>
    <row r="102" spans="10:14" x14ac:dyDescent="0.25">
      <c r="J102" s="6"/>
      <c r="K102" s="6"/>
      <c r="L102" s="6"/>
      <c r="M102" s="6"/>
      <c r="N102" s="6"/>
    </row>
    <row r="103" spans="10:14" x14ac:dyDescent="0.25">
      <c r="J103" s="6"/>
      <c r="K103" s="6"/>
      <c r="L103" s="6"/>
      <c r="M103" s="6"/>
      <c r="N103" s="6"/>
    </row>
    <row r="104" spans="10:14" x14ac:dyDescent="0.25">
      <c r="J104" s="6"/>
      <c r="K104" s="6"/>
      <c r="L104" s="6"/>
      <c r="M104" s="6"/>
      <c r="N104" s="6"/>
    </row>
    <row r="105" spans="10:14" x14ac:dyDescent="0.25">
      <c r="J105" s="6"/>
      <c r="K105" s="6"/>
      <c r="L105" s="6"/>
      <c r="M105" s="6"/>
      <c r="N105" s="6"/>
    </row>
    <row r="106" spans="10:14" x14ac:dyDescent="0.25">
      <c r="J106" s="6"/>
      <c r="K106" s="6"/>
      <c r="L106" s="6"/>
      <c r="M106" s="6"/>
      <c r="N106" s="6"/>
    </row>
    <row r="107" spans="10:14" x14ac:dyDescent="0.25">
      <c r="J107" s="6"/>
      <c r="K107" s="6"/>
      <c r="L107" s="6"/>
      <c r="M107" s="6"/>
      <c r="N107" s="6"/>
    </row>
    <row r="108" spans="10:14" x14ac:dyDescent="0.25">
      <c r="J108" s="6"/>
      <c r="K108" s="6"/>
      <c r="L108" s="6"/>
      <c r="M108" s="6"/>
      <c r="N108" s="6"/>
    </row>
    <row r="109" spans="10:14" x14ac:dyDescent="0.25">
      <c r="J109" s="6"/>
      <c r="K109" s="6"/>
      <c r="L109" s="6"/>
      <c r="M109" s="6"/>
      <c r="N109" s="6"/>
    </row>
    <row r="110" spans="10:14" x14ac:dyDescent="0.25">
      <c r="J110" s="6"/>
      <c r="K110" s="6"/>
      <c r="L110" s="6"/>
      <c r="M110" s="6"/>
      <c r="N110" s="6"/>
    </row>
    <row r="111" spans="10:14" x14ac:dyDescent="0.25">
      <c r="J111" s="6"/>
      <c r="K111" s="6"/>
      <c r="L111" s="6"/>
      <c r="M111" s="6"/>
      <c r="N111" s="6"/>
    </row>
    <row r="112" spans="10:14" x14ac:dyDescent="0.25">
      <c r="J112" s="6"/>
      <c r="K112" s="6"/>
      <c r="L112" s="6"/>
      <c r="M112" s="6"/>
      <c r="N112" s="6"/>
    </row>
    <row r="113" spans="10:14" x14ac:dyDescent="0.25">
      <c r="J113" s="6"/>
      <c r="K113" s="6"/>
      <c r="L113" s="6"/>
      <c r="M113" s="6"/>
      <c r="N113" s="6"/>
    </row>
  </sheetData>
  <pageMargins left="0.2" right="0.2" top="0.5" bottom="0.5" header="0.3" footer="0.3"/>
  <pageSetup scale="48" orientation="landscape" cellComments="asDisplayed" r:id="rId1"/>
  <headerFooter>
    <oddFooter>&amp;L&amp;Z&amp;F</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8"/>
  <sheetViews>
    <sheetView zoomScale="90" zoomScaleNormal="90" workbookViewId="0">
      <selection sqref="A1:G1"/>
    </sheetView>
  </sheetViews>
  <sheetFormatPr defaultRowHeight="15" x14ac:dyDescent="0.25"/>
  <cols>
    <col min="1" max="1" width="60.5703125" style="6" bestFit="1" customWidth="1"/>
    <col min="2" max="2" width="1.7109375" style="6" customWidth="1"/>
    <col min="3" max="3" width="18.7109375" style="6" bestFit="1" customWidth="1"/>
    <col min="4" max="4" width="1.7109375" style="6" customWidth="1"/>
    <col min="5" max="5" width="14" style="6" bestFit="1" customWidth="1"/>
    <col min="6" max="6" width="14.42578125" style="6" customWidth="1"/>
    <col min="7" max="7" width="1.7109375" style="6" customWidth="1"/>
    <col min="8" max="8" width="18.42578125" style="6" bestFit="1" customWidth="1"/>
    <col min="9" max="9" width="35.28515625" style="201" bestFit="1" customWidth="1"/>
    <col min="10" max="10" width="9.140625" style="6"/>
    <col min="11" max="11" width="23.140625" style="6" customWidth="1"/>
    <col min="12" max="16384" width="9.140625" style="6"/>
  </cols>
  <sheetData>
    <row r="1" spans="1:8" x14ac:dyDescent="0.25">
      <c r="A1" s="359" t="s">
        <v>0</v>
      </c>
      <c r="B1" s="359"/>
      <c r="C1" s="359"/>
      <c r="D1" s="359"/>
      <c r="E1" s="359"/>
      <c r="F1" s="359"/>
      <c r="G1" s="359"/>
      <c r="H1" s="151" t="s">
        <v>406</v>
      </c>
    </row>
    <row r="2" spans="1:8" x14ac:dyDescent="0.25">
      <c r="A2" s="359" t="s">
        <v>116</v>
      </c>
      <c r="B2" s="359"/>
      <c r="C2" s="359"/>
      <c r="D2" s="359"/>
      <c r="E2" s="359"/>
      <c r="F2" s="359"/>
      <c r="G2" s="359"/>
      <c r="H2" s="151" t="s">
        <v>258</v>
      </c>
    </row>
    <row r="3" spans="1:8" x14ac:dyDescent="0.25">
      <c r="A3" s="359"/>
      <c r="B3" s="359"/>
      <c r="C3" s="359"/>
      <c r="D3" s="359"/>
      <c r="E3" s="359"/>
      <c r="F3" s="359"/>
      <c r="G3" s="359"/>
    </row>
    <row r="4" spans="1:8" x14ac:dyDescent="0.25">
      <c r="A4" s="359" t="s">
        <v>901</v>
      </c>
      <c r="B4" s="359"/>
      <c r="C4" s="359"/>
      <c r="D4" s="359"/>
      <c r="E4" s="359"/>
      <c r="F4" s="359"/>
      <c r="G4" s="359"/>
      <c r="H4" s="10"/>
    </row>
    <row r="6" spans="1:8" x14ac:dyDescent="0.25">
      <c r="C6" s="151" t="s">
        <v>130</v>
      </c>
      <c r="D6" s="15"/>
      <c r="E6" s="15"/>
      <c r="F6" s="15"/>
      <c r="G6" s="15"/>
      <c r="H6" s="15"/>
    </row>
    <row r="7" spans="1:8" x14ac:dyDescent="0.25">
      <c r="C7" s="225">
        <v>43100</v>
      </c>
      <c r="D7" s="15"/>
      <c r="E7" s="359" t="s">
        <v>128</v>
      </c>
      <c r="F7" s="359"/>
      <c r="G7" s="15"/>
      <c r="H7" s="15"/>
    </row>
    <row r="8" spans="1:8" x14ac:dyDescent="0.25">
      <c r="C8" s="152" t="s">
        <v>131</v>
      </c>
      <c r="D8" s="15"/>
      <c r="E8" s="360" t="s">
        <v>129</v>
      </c>
      <c r="F8" s="360"/>
      <c r="G8" s="15"/>
      <c r="H8" s="152" t="s">
        <v>127</v>
      </c>
    </row>
    <row r="9" spans="1:8" x14ac:dyDescent="0.25">
      <c r="C9" s="334"/>
    </row>
    <row r="10" spans="1:8" x14ac:dyDescent="0.25">
      <c r="A10" s="21" t="s">
        <v>328</v>
      </c>
      <c r="C10" s="322">
        <v>0</v>
      </c>
      <c r="E10" s="6" t="s">
        <v>139</v>
      </c>
      <c r="F10" s="241">
        <v>0</v>
      </c>
      <c r="H10" s="7">
        <f>C10*F10</f>
        <v>0</v>
      </c>
    </row>
    <row r="11" spans="1:8" x14ac:dyDescent="0.25">
      <c r="A11" s="21" t="s">
        <v>266</v>
      </c>
      <c r="C11" s="322">
        <v>0</v>
      </c>
      <c r="E11" s="6" t="s">
        <v>75</v>
      </c>
      <c r="F11" s="58">
        <f>'Allocation Factors'!H13</f>
        <v>0.92469611331494961</v>
      </c>
      <c r="H11" s="7">
        <f>C11*F11</f>
        <v>0</v>
      </c>
    </row>
    <row r="12" spans="1:8" x14ac:dyDescent="0.25">
      <c r="A12" s="21" t="s">
        <v>267</v>
      </c>
      <c r="C12" s="322">
        <v>0</v>
      </c>
      <c r="E12" s="6" t="s">
        <v>76</v>
      </c>
      <c r="F12" s="58">
        <f>'Allocation Factors'!$H$21</f>
        <v>3.5773423890158328E-2</v>
      </c>
      <c r="H12" s="7">
        <f>C12*F12</f>
        <v>0</v>
      </c>
    </row>
    <row r="13" spans="1:8" x14ac:dyDescent="0.25">
      <c r="A13" s="21" t="s">
        <v>329</v>
      </c>
      <c r="C13" s="322">
        <v>0</v>
      </c>
      <c r="E13" s="6" t="s">
        <v>76</v>
      </c>
      <c r="F13" s="58">
        <f>'Allocation Factors'!$H$21</f>
        <v>3.5773423890158328E-2</v>
      </c>
      <c r="H13" s="7">
        <f>C13*F13</f>
        <v>0</v>
      </c>
    </row>
    <row r="14" spans="1:8" x14ac:dyDescent="0.25">
      <c r="A14" s="18"/>
      <c r="C14" s="10"/>
    </row>
    <row r="15" spans="1:8" x14ac:dyDescent="0.25">
      <c r="A15" s="19" t="s">
        <v>900</v>
      </c>
      <c r="C15" s="252">
        <f>SUM(C10:C14)</f>
        <v>0</v>
      </c>
      <c r="H15" s="60">
        <f>SUM(H10:H14)</f>
        <v>0</v>
      </c>
    </row>
    <row r="16" spans="1:8" x14ac:dyDescent="0.25">
      <c r="C16" s="9"/>
    </row>
    <row r="17" spans="1:12" x14ac:dyDescent="0.25">
      <c r="C17" s="332" t="s">
        <v>130</v>
      </c>
      <c r="D17" s="15"/>
      <c r="E17" s="15"/>
      <c r="F17" s="15"/>
      <c r="G17" s="15"/>
      <c r="H17" s="15"/>
    </row>
    <row r="18" spans="1:12" x14ac:dyDescent="0.25">
      <c r="C18" s="16">
        <f>+C7</f>
        <v>43100</v>
      </c>
      <c r="D18" s="15"/>
      <c r="E18" s="359" t="s">
        <v>128</v>
      </c>
      <c r="F18" s="359"/>
      <c r="G18" s="15"/>
      <c r="H18" s="15"/>
    </row>
    <row r="19" spans="1:12" x14ac:dyDescent="0.25">
      <c r="C19" s="333" t="s">
        <v>131</v>
      </c>
      <c r="D19" s="15"/>
      <c r="E19" s="360" t="s">
        <v>129</v>
      </c>
      <c r="F19" s="360"/>
      <c r="G19" s="15"/>
      <c r="H19" s="152" t="s">
        <v>127</v>
      </c>
    </row>
    <row r="20" spans="1:12" x14ac:dyDescent="0.25">
      <c r="C20" s="334"/>
    </row>
    <row r="21" spans="1:12" x14ac:dyDescent="0.25">
      <c r="A21" s="21" t="s">
        <v>328</v>
      </c>
      <c r="C21" s="328">
        <v>-5831177569.9399996</v>
      </c>
      <c r="E21" s="6" t="s">
        <v>139</v>
      </c>
      <c r="F21" s="241">
        <v>0</v>
      </c>
      <c r="H21" s="7">
        <f>C21*F21</f>
        <v>0</v>
      </c>
    </row>
    <row r="22" spans="1:12" x14ac:dyDescent="0.25">
      <c r="A22" s="21" t="s">
        <v>266</v>
      </c>
      <c r="C22" s="328">
        <v>-604236319.08000004</v>
      </c>
      <c r="E22" s="6" t="s">
        <v>75</v>
      </c>
      <c r="F22" s="58">
        <f>'Allocation Factors'!H13</f>
        <v>0.92469611331494961</v>
      </c>
      <c r="H22" s="7">
        <f>C22*F22</f>
        <v>-558734975.77700782</v>
      </c>
      <c r="I22" s="234"/>
      <c r="J22" s="196"/>
      <c r="K22" s="178"/>
      <c r="L22" s="177"/>
    </row>
    <row r="23" spans="1:12" x14ac:dyDescent="0.25">
      <c r="A23" s="21" t="s">
        <v>267</v>
      </c>
      <c r="C23" s="328">
        <v>-92181710.450000003</v>
      </c>
      <c r="E23" s="6" t="s">
        <v>76</v>
      </c>
      <c r="F23" s="58">
        <f>'Allocation Factors'!$H$21</f>
        <v>3.5773423890158328E-2</v>
      </c>
      <c r="H23" s="7">
        <f>C23*F23</f>
        <v>-3297655.4028476877</v>
      </c>
      <c r="I23" s="234"/>
      <c r="J23" s="196"/>
      <c r="K23" s="177"/>
      <c r="L23" s="177"/>
    </row>
    <row r="24" spans="1:12" x14ac:dyDescent="0.25">
      <c r="A24" s="21" t="s">
        <v>329</v>
      </c>
      <c r="C24" s="328">
        <v>-52125185.530000001</v>
      </c>
      <c r="E24" s="6" t="s">
        <v>76</v>
      </c>
      <c r="F24" s="58">
        <f>'Allocation Factors'!$H$21</f>
        <v>3.5773423890158328E-2</v>
      </c>
      <c r="H24" s="7">
        <f>C24*F24</f>
        <v>-1864696.3573178372</v>
      </c>
      <c r="I24" s="234"/>
      <c r="J24" s="196"/>
      <c r="K24" s="177"/>
      <c r="L24" s="177"/>
    </row>
    <row r="25" spans="1:12" x14ac:dyDescent="0.25">
      <c r="A25" s="21" t="s">
        <v>1114</v>
      </c>
      <c r="C25" s="328">
        <v>0</v>
      </c>
      <c r="E25" s="6" t="s">
        <v>138</v>
      </c>
      <c r="F25" s="241">
        <v>0</v>
      </c>
      <c r="H25" s="7">
        <f>C25*F25</f>
        <v>0</v>
      </c>
      <c r="I25" s="234"/>
      <c r="J25" s="196"/>
      <c r="K25" s="178"/>
      <c r="L25" s="177"/>
    </row>
    <row r="26" spans="1:12" x14ac:dyDescent="0.25">
      <c r="A26" s="19" t="s">
        <v>431</v>
      </c>
      <c r="C26" s="61">
        <f>SUM(C21:C25)</f>
        <v>-6579720784.999999</v>
      </c>
      <c r="H26" s="60">
        <f>SUM(H21:H25)</f>
        <v>-563897327.53717327</v>
      </c>
    </row>
    <row r="27" spans="1:12" x14ac:dyDescent="0.25">
      <c r="C27" s="97"/>
    </row>
    <row r="28" spans="1:12" x14ac:dyDescent="0.25">
      <c r="C28" s="93"/>
    </row>
  </sheetData>
  <mergeCells count="8">
    <mergeCell ref="E18:F18"/>
    <mergeCell ref="E19:F19"/>
    <mergeCell ref="A1:G1"/>
    <mergeCell ref="E8:F8"/>
    <mergeCell ref="E7:F7"/>
    <mergeCell ref="A3:G3"/>
    <mergeCell ref="A2:G2"/>
    <mergeCell ref="A4:G4"/>
  </mergeCells>
  <pageMargins left="0.7" right="0.7" top="0.75" bottom="0.75" header="0.3" footer="0.3"/>
  <pageSetup scale="6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90" zoomScaleNormal="90" workbookViewId="0">
      <selection sqref="A1:F1"/>
    </sheetView>
  </sheetViews>
  <sheetFormatPr defaultRowHeight="15" x14ac:dyDescent="0.25"/>
  <cols>
    <col min="1" max="1" width="50.85546875" style="6" customWidth="1"/>
    <col min="2" max="2" width="1.7109375" style="6" customWidth="1"/>
    <col min="3" max="3" width="17.42578125" style="6" customWidth="1"/>
    <col min="4" max="4" width="1.7109375" style="6" customWidth="1"/>
    <col min="5" max="5" width="15.140625" style="6" customWidth="1"/>
    <col min="6" max="6" width="10.42578125" style="6" bestFit="1" customWidth="1"/>
    <col min="7" max="7" width="1.7109375" style="6" customWidth="1"/>
    <col min="8" max="8" width="18.42578125" style="6" bestFit="1" customWidth="1"/>
    <col min="9" max="9" width="1.7109375" style="6" bestFit="1" customWidth="1"/>
    <col min="10" max="10" width="2.140625" style="6" bestFit="1" customWidth="1"/>
    <col min="11" max="11" width="23.140625" style="6" customWidth="1"/>
    <col min="12" max="16384" width="9.140625" style="6"/>
  </cols>
  <sheetData>
    <row r="1" spans="1:10" x14ac:dyDescent="0.25">
      <c r="A1" s="359" t="s">
        <v>0</v>
      </c>
      <c r="B1" s="359"/>
      <c r="C1" s="359"/>
      <c r="D1" s="359"/>
      <c r="E1" s="359"/>
      <c r="F1" s="359"/>
      <c r="G1" s="10"/>
      <c r="H1" s="151" t="s">
        <v>406</v>
      </c>
    </row>
    <row r="2" spans="1:10" x14ac:dyDescent="0.25">
      <c r="A2" s="359" t="s">
        <v>116</v>
      </c>
      <c r="B2" s="359"/>
      <c r="C2" s="359"/>
      <c r="D2" s="359"/>
      <c r="E2" s="359"/>
      <c r="F2" s="359"/>
      <c r="G2" s="10"/>
      <c r="H2" s="151" t="s">
        <v>259</v>
      </c>
    </row>
    <row r="3" spans="1:10" x14ac:dyDescent="0.25">
      <c r="A3" s="359"/>
      <c r="B3" s="359"/>
      <c r="C3" s="359"/>
      <c r="D3" s="359"/>
      <c r="E3" s="359"/>
      <c r="F3" s="359"/>
      <c r="G3" s="7"/>
    </row>
    <row r="4" spans="1:10" x14ac:dyDescent="0.25">
      <c r="A4" s="359" t="s">
        <v>134</v>
      </c>
      <c r="B4" s="359"/>
      <c r="C4" s="359"/>
      <c r="D4" s="359"/>
      <c r="E4" s="359"/>
      <c r="F4" s="359"/>
      <c r="G4" s="361"/>
      <c r="H4" s="361"/>
    </row>
    <row r="6" spans="1:10" x14ac:dyDescent="0.25">
      <c r="C6" s="151" t="s">
        <v>130</v>
      </c>
      <c r="D6" s="15"/>
      <c r="E6" s="15"/>
      <c r="F6" s="15"/>
      <c r="G6" s="15"/>
      <c r="H6" s="15"/>
    </row>
    <row r="7" spans="1:10" x14ac:dyDescent="0.25">
      <c r="C7" s="225">
        <v>43100</v>
      </c>
      <c r="D7" s="15"/>
      <c r="E7" s="359" t="s">
        <v>128</v>
      </c>
      <c r="F7" s="359"/>
      <c r="G7" s="15"/>
      <c r="H7" s="15"/>
    </row>
    <row r="8" spans="1:10" x14ac:dyDescent="0.25">
      <c r="C8" s="152" t="s">
        <v>131</v>
      </c>
      <c r="D8" s="15"/>
      <c r="E8" s="360" t="s">
        <v>129</v>
      </c>
      <c r="F8" s="360"/>
      <c r="G8" s="15"/>
      <c r="H8" s="152" t="s">
        <v>127</v>
      </c>
    </row>
    <row r="9" spans="1:10" x14ac:dyDescent="0.25">
      <c r="C9" s="153"/>
      <c r="J9" s="8"/>
    </row>
    <row r="10" spans="1:10" x14ac:dyDescent="0.25">
      <c r="A10" s="329" t="s">
        <v>415</v>
      </c>
      <c r="B10" s="2"/>
      <c r="C10" s="251">
        <f>-2976389269-SUM(C11:C21)</f>
        <v>-2690476500</v>
      </c>
      <c r="D10" s="331"/>
      <c r="E10" s="331" t="s">
        <v>138</v>
      </c>
      <c r="F10" s="330">
        <v>0</v>
      </c>
      <c r="G10" s="331"/>
      <c r="H10" s="103">
        <f t="shared" ref="H10:H20" si="0">C10*F10</f>
        <v>0</v>
      </c>
      <c r="J10" s="8"/>
    </row>
    <row r="11" spans="1:10" x14ac:dyDescent="0.25">
      <c r="A11" s="329" t="s">
        <v>947</v>
      </c>
      <c r="B11" s="2"/>
      <c r="C11" s="328">
        <f>-49307+-796</f>
        <v>-50103</v>
      </c>
      <c r="D11" s="331"/>
      <c r="E11" s="331" t="s">
        <v>76</v>
      </c>
      <c r="F11" s="319">
        <f>'Allocation Factors'!$H$21</f>
        <v>3.5773423890158328E-2</v>
      </c>
      <c r="G11" s="331"/>
      <c r="H11" s="103">
        <f t="shared" si="0"/>
        <v>-1792.3558571686026</v>
      </c>
      <c r="J11" s="8"/>
    </row>
    <row r="12" spans="1:10" x14ac:dyDescent="0.25">
      <c r="A12" s="329" t="s">
        <v>137</v>
      </c>
      <c r="B12" s="2"/>
      <c r="C12" s="328">
        <v>0</v>
      </c>
      <c r="D12" s="331"/>
      <c r="E12" s="331" t="s">
        <v>107</v>
      </c>
      <c r="F12" s="319">
        <f>'Rate Base'!$I$45</f>
        <v>0.10462202281548752</v>
      </c>
      <c r="G12" s="331"/>
      <c r="H12" s="103">
        <f t="shared" si="0"/>
        <v>0</v>
      </c>
      <c r="J12" s="8"/>
    </row>
    <row r="13" spans="1:10" x14ac:dyDescent="0.25">
      <c r="A13" s="329" t="s">
        <v>136</v>
      </c>
      <c r="B13" s="2"/>
      <c r="C13" s="328">
        <f>-14916147+-8677144</f>
        <v>-23593291</v>
      </c>
      <c r="D13" s="331"/>
      <c r="E13" s="331" t="s">
        <v>107</v>
      </c>
      <c r="F13" s="319">
        <f>'Rate Base'!$I$45</f>
        <v>0.10462202281548752</v>
      </c>
      <c r="G13" s="331"/>
      <c r="H13" s="103">
        <f t="shared" si="0"/>
        <v>-2468377.8292944361</v>
      </c>
      <c r="J13" s="8"/>
    </row>
    <row r="14" spans="1:10" x14ac:dyDescent="0.25">
      <c r="A14" s="329" t="s">
        <v>198</v>
      </c>
      <c r="B14" s="2"/>
      <c r="C14" s="328">
        <v>0</v>
      </c>
      <c r="D14" s="331"/>
      <c r="E14" s="331" t="s">
        <v>76</v>
      </c>
      <c r="F14" s="319">
        <f>'Allocation Factors'!$H$21</f>
        <v>3.5773423890158328E-2</v>
      </c>
      <c r="G14" s="331"/>
      <c r="H14" s="103">
        <f t="shared" si="0"/>
        <v>0</v>
      </c>
      <c r="J14" s="8"/>
    </row>
    <row r="15" spans="1:10" x14ac:dyDescent="0.25">
      <c r="A15" s="329" t="s">
        <v>948</v>
      </c>
      <c r="B15" s="2"/>
      <c r="C15" s="328">
        <v>0</v>
      </c>
      <c r="D15" s="331"/>
      <c r="E15" s="331" t="s">
        <v>76</v>
      </c>
      <c r="F15" s="319">
        <f>'Allocation Factors'!$H$21</f>
        <v>3.5773423890158328E-2</v>
      </c>
      <c r="G15" s="331"/>
      <c r="H15" s="103">
        <f t="shared" si="0"/>
        <v>0</v>
      </c>
      <c r="J15" s="8"/>
    </row>
    <row r="16" spans="1:10" x14ac:dyDescent="0.25">
      <c r="A16" s="329" t="s">
        <v>983</v>
      </c>
      <c r="B16" s="2"/>
      <c r="C16" s="328">
        <f>13638+-102155</f>
        <v>-88517</v>
      </c>
      <c r="D16" s="331"/>
      <c r="E16" s="331" t="s">
        <v>76</v>
      </c>
      <c r="F16" s="319">
        <f>'Allocation Factors'!$H$21</f>
        <v>3.5773423890158328E-2</v>
      </c>
      <c r="G16" s="331"/>
      <c r="H16" s="103">
        <f t="shared" ref="H16" si="1">C16*F16</f>
        <v>-3166.5561624851448</v>
      </c>
      <c r="J16" s="8"/>
    </row>
    <row r="17" spans="1:11" x14ac:dyDescent="0.25">
      <c r="A17" s="329" t="s">
        <v>984</v>
      </c>
      <c r="B17" s="2"/>
      <c r="C17" s="328">
        <f>10374206+4223408</f>
        <v>14597614</v>
      </c>
      <c r="D17" s="331"/>
      <c r="E17" s="331" t="s">
        <v>138</v>
      </c>
      <c r="F17" s="330">
        <v>0</v>
      </c>
      <c r="G17" s="331"/>
      <c r="H17" s="103">
        <f t="shared" ref="H17" si="2">C17*F17</f>
        <v>0</v>
      </c>
      <c r="J17" s="8"/>
    </row>
    <row r="18" spans="1:11" x14ac:dyDescent="0.25">
      <c r="A18" s="329" t="s">
        <v>949</v>
      </c>
      <c r="B18" s="2"/>
      <c r="C18" s="328">
        <f>-94657397+-61595673</f>
        <v>-156253070</v>
      </c>
      <c r="D18" s="331"/>
      <c r="E18" s="331" t="s">
        <v>76</v>
      </c>
      <c r="F18" s="319">
        <f>'Allocation Factors'!$H$21</f>
        <v>3.5773423890158328E-2</v>
      </c>
      <c r="G18" s="331"/>
      <c r="H18" s="103">
        <f t="shared" si="0"/>
        <v>-5589707.3072485812</v>
      </c>
      <c r="J18" s="8"/>
    </row>
    <row r="19" spans="1:11" x14ac:dyDescent="0.25">
      <c r="A19" s="329" t="s">
        <v>950</v>
      </c>
      <c r="B19" s="2"/>
      <c r="C19" s="328">
        <f>-1047121+-640417</f>
        <v>-1687538</v>
      </c>
      <c r="D19" s="331"/>
      <c r="E19" s="331" t="s">
        <v>138</v>
      </c>
      <c r="F19" s="330">
        <v>0</v>
      </c>
      <c r="G19" s="331"/>
      <c r="H19" s="103">
        <f t="shared" si="0"/>
        <v>0</v>
      </c>
      <c r="J19" s="8"/>
    </row>
    <row r="20" spans="1:11" x14ac:dyDescent="0.25">
      <c r="A20" s="329" t="s">
        <v>951</v>
      </c>
      <c r="B20" s="2"/>
      <c r="C20" s="328">
        <f>-62503136+-17478239+-38856495</f>
        <v>-118837870</v>
      </c>
      <c r="D20" s="331"/>
      <c r="E20" s="331" t="s">
        <v>76</v>
      </c>
      <c r="F20" s="319">
        <f>'Allocation Factors'!$H$21</f>
        <v>3.5773423890158328E-2</v>
      </c>
      <c r="G20" s="331"/>
      <c r="H20" s="103">
        <f t="shared" si="0"/>
        <v>-4251237.4977135295</v>
      </c>
      <c r="J20" s="8"/>
    </row>
    <row r="21" spans="1:11" x14ac:dyDescent="0.25">
      <c r="A21" s="329" t="s">
        <v>985</v>
      </c>
      <c r="B21" s="2"/>
      <c r="C21" s="328">
        <f>4+2</f>
        <v>6</v>
      </c>
      <c r="D21" s="331"/>
      <c r="E21" s="331" t="s">
        <v>76</v>
      </c>
      <c r="F21" s="319">
        <f>'Allocation Factors'!$H$21</f>
        <v>3.5773423890158328E-2</v>
      </c>
      <c r="G21" s="331"/>
      <c r="H21" s="103">
        <f t="shared" ref="H21" si="3">C21*F21</f>
        <v>0.21464054334094995</v>
      </c>
      <c r="J21" s="8"/>
      <c r="K21" s="80"/>
    </row>
    <row r="22" spans="1:11" x14ac:dyDescent="0.25">
      <c r="A22" s="18"/>
      <c r="B22" s="3"/>
      <c r="C22" s="334"/>
      <c r="D22" s="331"/>
      <c r="E22" s="331"/>
      <c r="F22" s="331"/>
      <c r="G22" s="331"/>
      <c r="H22" s="331"/>
      <c r="J22" s="8"/>
    </row>
    <row r="23" spans="1:11" x14ac:dyDescent="0.25">
      <c r="A23" s="19" t="s">
        <v>432</v>
      </c>
      <c r="B23" s="3"/>
      <c r="C23" s="252">
        <f>SUM(C10:C22)</f>
        <v>-2976389269</v>
      </c>
      <c r="D23" s="331"/>
      <c r="E23" s="331"/>
      <c r="F23" s="331"/>
      <c r="G23" s="331"/>
      <c r="H23" s="104">
        <f>SUM(H10:H22)</f>
        <v>-12314281.331635658</v>
      </c>
      <c r="J23" s="8"/>
    </row>
    <row r="24" spans="1:11" x14ac:dyDescent="0.25">
      <c r="A24" s="331"/>
      <c r="B24" s="331"/>
      <c r="C24" s="9"/>
      <c r="D24" s="331"/>
      <c r="E24" s="331"/>
      <c r="F24" s="331"/>
      <c r="G24" s="331"/>
      <c r="H24" s="331"/>
    </row>
    <row r="25" spans="1:11" x14ac:dyDescent="0.25">
      <c r="A25" s="331"/>
      <c r="B25" s="331"/>
      <c r="C25" s="327"/>
      <c r="D25" s="331"/>
      <c r="E25" s="331"/>
      <c r="F25" s="331"/>
      <c r="G25" s="331"/>
      <c r="H25" s="331"/>
    </row>
    <row r="26" spans="1:11" x14ac:dyDescent="0.25">
      <c r="A26" s="331"/>
      <c r="B26" s="331"/>
      <c r="C26" s="9"/>
      <c r="D26" s="331"/>
      <c r="E26" s="331"/>
      <c r="F26" s="331"/>
      <c r="G26" s="331"/>
      <c r="H26" s="331"/>
    </row>
    <row r="27" spans="1:11" x14ac:dyDescent="0.25">
      <c r="A27" s="331"/>
      <c r="B27" s="331"/>
      <c r="C27" s="331"/>
      <c r="D27" s="331"/>
      <c r="E27" s="331"/>
      <c r="F27" s="331"/>
      <c r="G27" s="331"/>
      <c r="H27" s="331"/>
    </row>
    <row r="28" spans="1:11" x14ac:dyDescent="0.25">
      <c r="A28" s="359" t="s">
        <v>0</v>
      </c>
      <c r="B28" s="359"/>
      <c r="C28" s="359"/>
      <c r="D28" s="359"/>
      <c r="E28" s="359"/>
      <c r="F28" s="359"/>
      <c r="G28" s="359"/>
      <c r="H28" s="359"/>
    </row>
    <row r="29" spans="1:11" x14ac:dyDescent="0.25">
      <c r="A29" s="359" t="s">
        <v>116</v>
      </c>
      <c r="B29" s="359"/>
      <c r="C29" s="359"/>
      <c r="D29" s="359"/>
      <c r="E29" s="359"/>
      <c r="F29" s="359"/>
      <c r="G29" s="359"/>
      <c r="H29" s="359"/>
    </row>
    <row r="30" spans="1:11" x14ac:dyDescent="0.25">
      <c r="A30" s="15"/>
      <c r="B30" s="15"/>
      <c r="C30" s="15"/>
      <c r="D30" s="15"/>
      <c r="E30" s="332"/>
      <c r="F30" s="332"/>
      <c r="G30" s="20"/>
      <c r="H30" s="15"/>
    </row>
    <row r="31" spans="1:11" x14ac:dyDescent="0.25">
      <c r="A31" s="359" t="s">
        <v>908</v>
      </c>
      <c r="B31" s="359"/>
      <c r="C31" s="359"/>
      <c r="D31" s="359"/>
      <c r="E31" s="359"/>
      <c r="F31" s="359"/>
      <c r="G31" s="359"/>
      <c r="H31" s="359"/>
    </row>
    <row r="32" spans="1:11" x14ac:dyDescent="0.25">
      <c r="A32" s="331"/>
      <c r="B32" s="331"/>
      <c r="C32" s="331"/>
      <c r="D32" s="331"/>
      <c r="E32" s="331"/>
      <c r="F32" s="331"/>
      <c r="G32" s="331"/>
      <c r="H32" s="331"/>
    </row>
    <row r="33" spans="1:8" x14ac:dyDescent="0.25">
      <c r="A33" s="331"/>
      <c r="B33" s="331"/>
      <c r="C33" s="332" t="s">
        <v>130</v>
      </c>
      <c r="D33" s="15"/>
      <c r="E33" s="15"/>
      <c r="F33" s="15"/>
      <c r="G33" s="15"/>
      <c r="H33" s="15"/>
    </row>
    <row r="34" spans="1:8" x14ac:dyDescent="0.25">
      <c r="A34" s="331"/>
      <c r="B34" s="331"/>
      <c r="C34" s="16">
        <f>+C7</f>
        <v>43100</v>
      </c>
      <c r="D34" s="15"/>
      <c r="E34" s="359" t="s">
        <v>128</v>
      </c>
      <c r="F34" s="359"/>
      <c r="G34" s="15"/>
      <c r="H34" s="15"/>
    </row>
    <row r="35" spans="1:8" x14ac:dyDescent="0.25">
      <c r="A35" s="331"/>
      <c r="B35" s="331"/>
      <c r="C35" s="333" t="s">
        <v>131</v>
      </c>
      <c r="D35" s="15"/>
      <c r="E35" s="360" t="s">
        <v>129</v>
      </c>
      <c r="F35" s="360"/>
      <c r="G35" s="15"/>
      <c r="H35" s="333" t="s">
        <v>127</v>
      </c>
    </row>
    <row r="36" spans="1:8" x14ac:dyDescent="0.25">
      <c r="A36" s="331"/>
      <c r="B36" s="331"/>
      <c r="C36" s="334"/>
      <c r="D36" s="331"/>
      <c r="E36" s="331"/>
      <c r="F36" s="331"/>
      <c r="G36" s="331"/>
      <c r="H36" s="331"/>
    </row>
    <row r="37" spans="1:8" x14ac:dyDescent="0.25">
      <c r="A37" s="329" t="s">
        <v>198</v>
      </c>
      <c r="B37" s="2"/>
      <c r="C37" s="322">
        <v>0</v>
      </c>
      <c r="D37" s="331"/>
      <c r="E37" s="331" t="s">
        <v>76</v>
      </c>
      <c r="F37" s="319">
        <f>'Allocation Factors'!$H$21</f>
        <v>3.5773423890158328E-2</v>
      </c>
      <c r="G37" s="331"/>
      <c r="H37" s="103">
        <f>C37*F37</f>
        <v>0</v>
      </c>
    </row>
    <row r="39" spans="1:8" x14ac:dyDescent="0.25">
      <c r="A39" s="19" t="s">
        <v>432</v>
      </c>
      <c r="C39" s="104">
        <f>SUM(C37:C38)</f>
        <v>0</v>
      </c>
      <c r="H39" s="104">
        <f>SUM(H37:H38)</f>
        <v>0</v>
      </c>
    </row>
  </sheetData>
  <sortState ref="A10:I38">
    <sortCondition ref="A38"/>
  </sortState>
  <mergeCells count="12">
    <mergeCell ref="G4:H4"/>
    <mergeCell ref="E8:F8"/>
    <mergeCell ref="E7:F7"/>
    <mergeCell ref="A1:F1"/>
    <mergeCell ref="A2:F2"/>
    <mergeCell ref="A4:F4"/>
    <mergeCell ref="A3:F3"/>
    <mergeCell ref="E34:F34"/>
    <mergeCell ref="E35:F35"/>
    <mergeCell ref="A28:H28"/>
    <mergeCell ref="A29:H29"/>
    <mergeCell ref="A31:H31"/>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80" zoomScaleNormal="80" workbookViewId="0">
      <selection sqref="A1:G1"/>
    </sheetView>
  </sheetViews>
  <sheetFormatPr defaultColWidth="6.42578125" defaultRowHeight="15" x14ac:dyDescent="0.25"/>
  <cols>
    <col min="1" max="1" width="50.85546875" style="6" customWidth="1"/>
    <col min="2" max="2" width="1.7109375" style="6" customWidth="1"/>
    <col min="3" max="3" width="16.28515625" style="6" bestFit="1" customWidth="1"/>
    <col min="4" max="4" width="1.7109375" style="6" customWidth="1"/>
    <col min="5" max="5" width="12.28515625" style="6" customWidth="1"/>
    <col min="6" max="6" width="12.140625" style="6" bestFit="1" customWidth="1"/>
    <col min="7" max="7" width="1.7109375" style="6" customWidth="1"/>
    <col min="8" max="8" width="18.42578125" style="6" bestFit="1" customWidth="1"/>
    <col min="9" max="9" width="6.42578125" style="6"/>
    <col min="10" max="10" width="17.140625" style="6" bestFit="1" customWidth="1"/>
    <col min="11" max="11" width="23.140625" style="6" customWidth="1"/>
    <col min="12" max="16384" width="6.42578125" style="6"/>
  </cols>
  <sheetData>
    <row r="1" spans="1:11" x14ac:dyDescent="0.25">
      <c r="A1" s="359" t="s">
        <v>0</v>
      </c>
      <c r="B1" s="359"/>
      <c r="C1" s="359"/>
      <c r="D1" s="359"/>
      <c r="E1" s="359"/>
      <c r="F1" s="359"/>
      <c r="G1" s="359"/>
      <c r="H1" s="151" t="s">
        <v>406</v>
      </c>
    </row>
    <row r="2" spans="1:11" x14ac:dyDescent="0.25">
      <c r="A2" s="359" t="s">
        <v>116</v>
      </c>
      <c r="B2" s="359"/>
      <c r="C2" s="359"/>
      <c r="D2" s="359"/>
      <c r="E2" s="359"/>
      <c r="F2" s="359"/>
      <c r="G2" s="359"/>
      <c r="H2" s="151" t="s">
        <v>260</v>
      </c>
    </row>
    <row r="3" spans="1:11" x14ac:dyDescent="0.25">
      <c r="A3" s="359"/>
      <c r="B3" s="359"/>
      <c r="C3" s="359"/>
      <c r="D3" s="359"/>
      <c r="E3" s="359"/>
      <c r="F3" s="359"/>
      <c r="G3" s="359"/>
    </row>
    <row r="4" spans="1:11" x14ac:dyDescent="0.25">
      <c r="A4" s="359" t="s">
        <v>909</v>
      </c>
      <c r="B4" s="359"/>
      <c r="C4" s="359"/>
      <c r="D4" s="359"/>
      <c r="E4" s="359"/>
      <c r="F4" s="359"/>
      <c r="G4" s="359"/>
      <c r="H4" s="153"/>
    </row>
    <row r="6" spans="1:11" x14ac:dyDescent="0.25">
      <c r="C6" s="151" t="s">
        <v>130</v>
      </c>
      <c r="D6" s="15"/>
      <c r="E6" s="15"/>
      <c r="F6" s="15"/>
      <c r="G6" s="15"/>
      <c r="H6" s="15"/>
    </row>
    <row r="7" spans="1:11" x14ac:dyDescent="0.25">
      <c r="C7" s="226">
        <v>43100</v>
      </c>
      <c r="D7" s="15"/>
      <c r="E7" s="359" t="s">
        <v>128</v>
      </c>
      <c r="F7" s="359"/>
      <c r="G7" s="15"/>
      <c r="H7" s="15"/>
    </row>
    <row r="8" spans="1:11" x14ac:dyDescent="0.25">
      <c r="C8" s="152" t="s">
        <v>131</v>
      </c>
      <c r="D8" s="15"/>
      <c r="E8" s="360" t="s">
        <v>129</v>
      </c>
      <c r="F8" s="360"/>
      <c r="G8" s="15"/>
      <c r="H8" s="152" t="s">
        <v>127</v>
      </c>
    </row>
    <row r="9" spans="1:11" x14ac:dyDescent="0.25">
      <c r="C9" s="153"/>
    </row>
    <row r="10" spans="1:11" x14ac:dyDescent="0.25">
      <c r="A10" s="329" t="s">
        <v>122</v>
      </c>
      <c r="B10" s="331"/>
      <c r="C10" s="328">
        <v>0</v>
      </c>
      <c r="D10" s="331"/>
      <c r="E10" s="331" t="s">
        <v>76</v>
      </c>
      <c r="F10" s="319">
        <f>'Allocation Factors'!$H$21</f>
        <v>3.5773423890158328E-2</v>
      </c>
      <c r="G10" s="331"/>
      <c r="H10" s="103">
        <f>C10*F10</f>
        <v>0</v>
      </c>
      <c r="J10" s="8"/>
      <c r="K10" s="8"/>
    </row>
    <row r="11" spans="1:11" x14ac:dyDescent="0.25">
      <c r="A11" s="329" t="s">
        <v>208</v>
      </c>
      <c r="B11" s="331"/>
      <c r="C11" s="328">
        <v>405380658</v>
      </c>
      <c r="D11" s="331"/>
      <c r="E11" s="331" t="s">
        <v>76</v>
      </c>
      <c r="F11" s="319">
        <f>'Allocation Factors'!$H$21</f>
        <v>3.5773423890158328E-2</v>
      </c>
      <c r="G11" s="331"/>
      <c r="H11" s="103">
        <f>C11*F11</f>
        <v>14501854.115505302</v>
      </c>
      <c r="J11" s="8"/>
      <c r="K11" s="8"/>
    </row>
    <row r="12" spans="1:11" s="239" customFormat="1" x14ac:dyDescent="0.25">
      <c r="A12" s="329" t="s">
        <v>971</v>
      </c>
      <c r="B12" s="331"/>
      <c r="C12" s="328">
        <v>4484411</v>
      </c>
      <c r="D12" s="331"/>
      <c r="E12" s="331" t="s">
        <v>138</v>
      </c>
      <c r="F12" s="330">
        <v>0</v>
      </c>
      <c r="G12" s="331"/>
      <c r="H12" s="103">
        <f>C12*F12</f>
        <v>0</v>
      </c>
      <c r="J12" s="8"/>
      <c r="K12" s="8"/>
    </row>
    <row r="13" spans="1:11" x14ac:dyDescent="0.25">
      <c r="A13" s="2"/>
      <c r="B13" s="331"/>
      <c r="C13" s="322"/>
      <c r="D13" s="331"/>
      <c r="E13" s="331"/>
      <c r="F13" s="331"/>
      <c r="G13" s="331"/>
      <c r="H13" s="103"/>
    </row>
    <row r="14" spans="1:11" x14ac:dyDescent="0.25">
      <c r="A14" s="19" t="s">
        <v>433</v>
      </c>
      <c r="B14" s="331"/>
      <c r="C14" s="252">
        <f>SUM(C10:C13)</f>
        <v>409865069</v>
      </c>
      <c r="D14" s="331"/>
      <c r="E14" s="331"/>
      <c r="F14" s="331"/>
      <c r="G14" s="331"/>
      <c r="H14" s="104">
        <f>SUM(H10:H13)</f>
        <v>14501854.115505302</v>
      </c>
      <c r="J14" s="8"/>
      <c r="K14" s="8"/>
    </row>
    <row r="15" spans="1:11" x14ac:dyDescent="0.25">
      <c r="A15" s="331"/>
      <c r="B15" s="331"/>
      <c r="C15" s="327"/>
      <c r="D15" s="331"/>
      <c r="E15" s="331"/>
      <c r="F15" s="331"/>
      <c r="G15" s="331"/>
      <c r="H15" s="331"/>
    </row>
    <row r="16" spans="1:11" x14ac:dyDescent="0.25">
      <c r="A16" s="331"/>
      <c r="B16" s="331"/>
      <c r="C16" s="327"/>
      <c r="D16" s="331"/>
      <c r="E16" s="331"/>
      <c r="F16" s="331"/>
      <c r="G16" s="331"/>
      <c r="H16" s="331"/>
    </row>
    <row r="17" spans="1:11" x14ac:dyDescent="0.25">
      <c r="A17" s="331"/>
      <c r="B17" s="331"/>
      <c r="C17" s="331"/>
      <c r="D17" s="331"/>
      <c r="E17" s="331"/>
      <c r="F17" s="331"/>
      <c r="G17" s="331"/>
      <c r="H17" s="331"/>
    </row>
    <row r="18" spans="1:11" x14ac:dyDescent="0.25">
      <c r="A18" s="359" t="s">
        <v>0</v>
      </c>
      <c r="B18" s="359"/>
      <c r="C18" s="359"/>
      <c r="D18" s="359"/>
      <c r="E18" s="359"/>
      <c r="F18" s="359"/>
      <c r="G18" s="359"/>
      <c r="H18" s="359"/>
      <c r="K18" s="9"/>
    </row>
    <row r="19" spans="1:11" x14ac:dyDescent="0.25">
      <c r="A19" s="359" t="s">
        <v>116</v>
      </c>
      <c r="B19" s="359"/>
      <c r="C19" s="359"/>
      <c r="D19" s="359"/>
      <c r="E19" s="359"/>
      <c r="F19" s="359"/>
      <c r="G19" s="359"/>
      <c r="H19" s="359"/>
      <c r="K19" s="97"/>
    </row>
    <row r="20" spans="1:11" x14ac:dyDescent="0.25">
      <c r="A20" s="15"/>
      <c r="B20" s="15"/>
      <c r="C20" s="15"/>
      <c r="D20" s="15"/>
      <c r="E20" s="332"/>
      <c r="F20" s="332"/>
      <c r="G20" s="20"/>
      <c r="H20" s="15"/>
    </row>
    <row r="21" spans="1:11" x14ac:dyDescent="0.25">
      <c r="A21" s="359" t="s">
        <v>257</v>
      </c>
      <c r="B21" s="359"/>
      <c r="C21" s="359"/>
      <c r="D21" s="359"/>
      <c r="E21" s="359"/>
      <c r="F21" s="359"/>
      <c r="G21" s="359"/>
      <c r="H21" s="359"/>
    </row>
    <row r="22" spans="1:11" x14ac:dyDescent="0.25">
      <c r="A22" s="331"/>
      <c r="B22" s="331"/>
      <c r="C22" s="331"/>
      <c r="D22" s="331"/>
      <c r="E22" s="331"/>
      <c r="F22" s="331"/>
      <c r="G22" s="331"/>
      <c r="H22" s="331"/>
    </row>
    <row r="23" spans="1:11" x14ac:dyDescent="0.25">
      <c r="A23" s="331"/>
      <c r="B23" s="331"/>
      <c r="C23" s="332" t="s">
        <v>130</v>
      </c>
      <c r="D23" s="15"/>
      <c r="E23" s="15"/>
      <c r="F23" s="15"/>
      <c r="G23" s="15"/>
      <c r="H23" s="15"/>
    </row>
    <row r="24" spans="1:11" x14ac:dyDescent="0.25">
      <c r="A24" s="331"/>
      <c r="B24" s="331"/>
      <c r="C24" s="16">
        <f>+C7</f>
        <v>43100</v>
      </c>
      <c r="D24" s="15"/>
      <c r="E24" s="359" t="s">
        <v>128</v>
      </c>
      <c r="F24" s="359"/>
      <c r="G24" s="15"/>
      <c r="H24" s="15"/>
    </row>
    <row r="25" spans="1:11" x14ac:dyDescent="0.25">
      <c r="A25" s="331"/>
      <c r="B25" s="331"/>
      <c r="C25" s="333" t="s">
        <v>131</v>
      </c>
      <c r="D25" s="15"/>
      <c r="E25" s="360" t="s">
        <v>129</v>
      </c>
      <c r="F25" s="360"/>
      <c r="G25" s="15"/>
      <c r="H25" s="333" t="s">
        <v>127</v>
      </c>
    </row>
    <row r="26" spans="1:11" x14ac:dyDescent="0.25">
      <c r="A26" s="331"/>
      <c r="B26" s="331"/>
      <c r="C26" s="334"/>
      <c r="D26" s="331"/>
      <c r="E26" s="331"/>
      <c r="F26" s="331"/>
      <c r="G26" s="331"/>
      <c r="H26" s="331"/>
    </row>
    <row r="27" spans="1:11" x14ac:dyDescent="0.25">
      <c r="A27" s="329" t="s">
        <v>202</v>
      </c>
      <c r="B27" s="331"/>
      <c r="C27" s="328">
        <v>0</v>
      </c>
      <c r="D27" s="331"/>
      <c r="E27" s="331" t="s">
        <v>138</v>
      </c>
      <c r="F27" s="330">
        <v>0</v>
      </c>
      <c r="G27" s="331"/>
      <c r="H27" s="103">
        <f t="shared" ref="H27:H38" si="0">C27*F27</f>
        <v>0</v>
      </c>
      <c r="J27" s="8"/>
      <c r="K27" s="8"/>
    </row>
    <row r="28" spans="1:11" x14ac:dyDescent="0.25">
      <c r="A28" s="329" t="s">
        <v>945</v>
      </c>
      <c r="B28" s="331"/>
      <c r="C28" s="328">
        <v>0</v>
      </c>
      <c r="D28" s="331"/>
      <c r="E28" s="331" t="s">
        <v>138</v>
      </c>
      <c r="F28" s="330">
        <v>0</v>
      </c>
      <c r="G28" s="331"/>
      <c r="H28" s="103">
        <f t="shared" si="0"/>
        <v>0</v>
      </c>
      <c r="J28" s="8"/>
      <c r="K28" s="8"/>
    </row>
    <row r="29" spans="1:11" x14ac:dyDescent="0.25">
      <c r="A29" s="329" t="s">
        <v>203</v>
      </c>
      <c r="B29" s="331"/>
      <c r="C29" s="328">
        <v>455457126</v>
      </c>
      <c r="D29" s="331"/>
      <c r="E29" s="331" t="s">
        <v>138</v>
      </c>
      <c r="F29" s="330">
        <v>0</v>
      </c>
      <c r="G29" s="331"/>
      <c r="H29" s="103">
        <f t="shared" si="0"/>
        <v>0</v>
      </c>
      <c r="J29" s="8"/>
      <c r="K29" s="8"/>
    </row>
    <row r="30" spans="1:11" x14ac:dyDescent="0.25">
      <c r="A30" s="329" t="s">
        <v>204</v>
      </c>
      <c r="B30" s="331"/>
      <c r="C30" s="328">
        <v>0</v>
      </c>
      <c r="D30" s="331"/>
      <c r="E30" s="331" t="s">
        <v>138</v>
      </c>
      <c r="F30" s="330">
        <v>0</v>
      </c>
      <c r="G30" s="331"/>
      <c r="H30" s="103">
        <f t="shared" si="0"/>
        <v>0</v>
      </c>
      <c r="J30" s="8"/>
      <c r="K30" s="8"/>
    </row>
    <row r="31" spans="1:11" x14ac:dyDescent="0.25">
      <c r="A31" s="329" t="s">
        <v>1015</v>
      </c>
      <c r="B31" s="331"/>
      <c r="C31" s="328">
        <v>83027990</v>
      </c>
      <c r="D31" s="331"/>
      <c r="E31" s="331" t="s">
        <v>138</v>
      </c>
      <c r="F31" s="330">
        <v>0</v>
      </c>
      <c r="G31" s="331"/>
      <c r="H31" s="103">
        <f t="shared" si="0"/>
        <v>0</v>
      </c>
      <c r="J31" s="8"/>
      <c r="K31" s="8"/>
    </row>
    <row r="32" spans="1:11" x14ac:dyDescent="0.25">
      <c r="A32" s="329" t="s">
        <v>205</v>
      </c>
      <c r="B32" s="331"/>
      <c r="C32" s="328">
        <v>0</v>
      </c>
      <c r="D32" s="331"/>
      <c r="E32" s="331" t="s">
        <v>139</v>
      </c>
      <c r="F32" s="330">
        <v>0</v>
      </c>
      <c r="G32" s="331"/>
      <c r="H32" s="103">
        <f t="shared" si="0"/>
        <v>0</v>
      </c>
      <c r="J32" s="8"/>
      <c r="K32" s="8"/>
    </row>
    <row r="33" spans="1:11" x14ac:dyDescent="0.25">
      <c r="A33" s="329" t="s">
        <v>135</v>
      </c>
      <c r="B33" s="331"/>
      <c r="C33" s="328">
        <v>269574</v>
      </c>
      <c r="D33" s="331"/>
      <c r="E33" s="331" t="s">
        <v>139</v>
      </c>
      <c r="F33" s="330">
        <v>0</v>
      </c>
      <c r="G33" s="331"/>
      <c r="H33" s="103">
        <f t="shared" si="0"/>
        <v>0</v>
      </c>
      <c r="J33" s="8"/>
      <c r="K33" s="8"/>
    </row>
    <row r="34" spans="1:11" x14ac:dyDescent="0.25">
      <c r="A34" s="329" t="s">
        <v>206</v>
      </c>
      <c r="B34" s="331"/>
      <c r="C34" s="328">
        <v>1850974</v>
      </c>
      <c r="D34" s="331"/>
      <c r="E34" s="331" t="s">
        <v>139</v>
      </c>
      <c r="F34" s="330">
        <v>0</v>
      </c>
      <c r="G34" s="331"/>
      <c r="H34" s="103">
        <f t="shared" ref="H34:H35" si="1">C34*F34</f>
        <v>0</v>
      </c>
      <c r="J34" s="8"/>
      <c r="K34" s="8"/>
    </row>
    <row r="35" spans="1:11" x14ac:dyDescent="0.25">
      <c r="A35" s="329" t="s">
        <v>207</v>
      </c>
      <c r="B35" s="331"/>
      <c r="C35" s="328">
        <v>0</v>
      </c>
      <c r="D35" s="331"/>
      <c r="E35" s="331" t="s">
        <v>138</v>
      </c>
      <c r="F35" s="330">
        <v>0</v>
      </c>
      <c r="G35" s="331"/>
      <c r="H35" s="103">
        <f t="shared" si="1"/>
        <v>0</v>
      </c>
      <c r="J35" s="8"/>
      <c r="K35" s="8"/>
    </row>
    <row r="36" spans="1:11" x14ac:dyDescent="0.25">
      <c r="A36" s="329" t="s">
        <v>230</v>
      </c>
      <c r="B36" s="331"/>
      <c r="C36" s="328">
        <v>0</v>
      </c>
      <c r="D36" s="331"/>
      <c r="E36" s="331" t="s">
        <v>139</v>
      </c>
      <c r="F36" s="330">
        <v>0</v>
      </c>
      <c r="G36" s="331"/>
      <c r="H36" s="103">
        <f t="shared" si="0"/>
        <v>0</v>
      </c>
      <c r="J36" s="8"/>
      <c r="K36" s="8"/>
    </row>
    <row r="37" spans="1:11" x14ac:dyDescent="0.25">
      <c r="A37" s="329" t="s">
        <v>231</v>
      </c>
      <c r="B37" s="331"/>
      <c r="C37" s="328">
        <v>0</v>
      </c>
      <c r="D37" s="331"/>
      <c r="E37" s="331" t="s">
        <v>139</v>
      </c>
      <c r="F37" s="330">
        <v>0</v>
      </c>
      <c r="G37" s="331"/>
      <c r="H37" s="103">
        <f t="shared" si="0"/>
        <v>0</v>
      </c>
      <c r="J37" s="8"/>
      <c r="K37" s="8"/>
    </row>
    <row r="38" spans="1:11" x14ac:dyDescent="0.25">
      <c r="A38" s="329" t="s">
        <v>232</v>
      </c>
      <c r="B38" s="331"/>
      <c r="C38" s="328">
        <v>151408291</v>
      </c>
      <c r="D38" s="331"/>
      <c r="E38" s="331" t="s">
        <v>139</v>
      </c>
      <c r="F38" s="330">
        <v>0</v>
      </c>
      <c r="G38" s="331"/>
      <c r="H38" s="103">
        <f t="shared" si="0"/>
        <v>0</v>
      </c>
      <c r="J38" s="8"/>
      <c r="K38" s="8"/>
    </row>
    <row r="39" spans="1:11" x14ac:dyDescent="0.25">
      <c r="A39" s="329" t="s">
        <v>967</v>
      </c>
      <c r="B39" s="331"/>
      <c r="C39" s="328">
        <v>2690936</v>
      </c>
      <c r="D39" s="331"/>
      <c r="E39" s="331" t="s">
        <v>139</v>
      </c>
      <c r="F39" s="330">
        <v>0</v>
      </c>
      <c r="G39" s="331"/>
      <c r="H39" s="103">
        <f t="shared" ref="H39:H40" si="2">C39*F39</f>
        <v>0</v>
      </c>
      <c r="J39" s="8"/>
      <c r="K39" s="8"/>
    </row>
    <row r="40" spans="1:11" x14ac:dyDescent="0.25">
      <c r="A40" s="329" t="s">
        <v>970</v>
      </c>
      <c r="B40" s="331"/>
      <c r="C40" s="328">
        <v>0</v>
      </c>
      <c r="D40" s="331"/>
      <c r="E40" s="331" t="s">
        <v>138</v>
      </c>
      <c r="F40" s="330">
        <v>0</v>
      </c>
      <c r="G40" s="331"/>
      <c r="H40" s="103">
        <f t="shared" si="2"/>
        <v>0</v>
      </c>
      <c r="J40" s="8"/>
      <c r="K40" s="8"/>
    </row>
    <row r="41" spans="1:11" x14ac:dyDescent="0.25">
      <c r="A41" s="329" t="s">
        <v>946</v>
      </c>
      <c r="B41" s="331"/>
      <c r="C41" s="328">
        <v>0</v>
      </c>
      <c r="D41" s="331"/>
      <c r="E41" s="331" t="s">
        <v>139</v>
      </c>
      <c r="F41" s="330">
        <v>0</v>
      </c>
      <c r="G41" s="331"/>
      <c r="H41" s="103">
        <f t="shared" ref="H41" si="3">C41*F41</f>
        <v>0</v>
      </c>
      <c r="J41" s="8"/>
      <c r="K41" s="8"/>
    </row>
    <row r="42" spans="1:11" x14ac:dyDescent="0.25">
      <c r="A42" s="329" t="s">
        <v>972</v>
      </c>
      <c r="B42" s="331"/>
      <c r="C42" s="328">
        <v>0</v>
      </c>
      <c r="D42" s="331"/>
      <c r="E42" s="331" t="s">
        <v>138</v>
      </c>
      <c r="F42" s="330">
        <v>0</v>
      </c>
      <c r="G42" s="331"/>
      <c r="H42" s="103">
        <f t="shared" ref="H42" si="4">C42*F42</f>
        <v>0</v>
      </c>
      <c r="J42" s="8"/>
      <c r="K42" s="8"/>
    </row>
    <row r="43" spans="1:11" x14ac:dyDescent="0.25">
      <c r="A43" s="329" t="s">
        <v>973</v>
      </c>
      <c r="B43" s="331"/>
      <c r="C43" s="328">
        <v>75013148</v>
      </c>
      <c r="D43" s="331"/>
      <c r="E43" s="331" t="s">
        <v>138</v>
      </c>
      <c r="F43" s="330">
        <v>0</v>
      </c>
      <c r="G43" s="331"/>
      <c r="H43" s="103">
        <f t="shared" ref="H43:H62" si="5">C43*F43</f>
        <v>0</v>
      </c>
      <c r="J43" s="8"/>
      <c r="K43" s="8"/>
    </row>
    <row r="44" spans="1:11" x14ac:dyDescent="0.25">
      <c r="A44" s="329" t="s">
        <v>1041</v>
      </c>
      <c r="B44" s="331"/>
      <c r="C44" s="328">
        <v>0</v>
      </c>
      <c r="D44" s="331"/>
      <c r="E44" s="331" t="s">
        <v>138</v>
      </c>
      <c r="F44" s="330">
        <v>0</v>
      </c>
      <c r="G44" s="331"/>
      <c r="H44" s="103">
        <f t="shared" si="5"/>
        <v>0</v>
      </c>
      <c r="J44" s="8"/>
      <c r="K44" s="8"/>
    </row>
    <row r="45" spans="1:11" x14ac:dyDescent="0.25">
      <c r="A45" s="329" t="s">
        <v>1042</v>
      </c>
      <c r="B45" s="331"/>
      <c r="C45" s="328">
        <v>0</v>
      </c>
      <c r="D45" s="331"/>
      <c r="E45" s="331" t="s">
        <v>139</v>
      </c>
      <c r="F45" s="330">
        <v>0</v>
      </c>
      <c r="G45" s="331"/>
      <c r="H45" s="103">
        <f t="shared" si="5"/>
        <v>0</v>
      </c>
      <c r="J45" s="8"/>
      <c r="K45" s="8"/>
    </row>
    <row r="46" spans="1:11" x14ac:dyDescent="0.25">
      <c r="A46" s="329" t="s">
        <v>1043</v>
      </c>
      <c r="B46" s="331"/>
      <c r="C46" s="328">
        <v>0</v>
      </c>
      <c r="D46" s="331"/>
      <c r="E46" s="331" t="s">
        <v>138</v>
      </c>
      <c r="F46" s="330">
        <v>0</v>
      </c>
      <c r="G46" s="331"/>
      <c r="H46" s="103">
        <f t="shared" si="5"/>
        <v>0</v>
      </c>
      <c r="J46" s="8"/>
      <c r="K46" s="8"/>
    </row>
    <row r="47" spans="1:11" x14ac:dyDescent="0.25">
      <c r="A47" s="329" t="s">
        <v>1044</v>
      </c>
      <c r="B47" s="331"/>
      <c r="C47" s="328">
        <v>5531089</v>
      </c>
      <c r="D47" s="331"/>
      <c r="E47" s="331" t="s">
        <v>139</v>
      </c>
      <c r="F47" s="330">
        <v>0</v>
      </c>
      <c r="G47" s="331"/>
      <c r="H47" s="103">
        <f t="shared" si="5"/>
        <v>0</v>
      </c>
      <c r="J47" s="8"/>
      <c r="K47" s="8"/>
    </row>
    <row r="48" spans="1:11" x14ac:dyDescent="0.25">
      <c r="A48" s="329" t="s">
        <v>1045</v>
      </c>
      <c r="B48" s="331"/>
      <c r="C48" s="328">
        <v>0</v>
      </c>
      <c r="D48" s="331"/>
      <c r="E48" s="331" t="s">
        <v>138</v>
      </c>
      <c r="F48" s="330">
        <v>0</v>
      </c>
      <c r="G48" s="331"/>
      <c r="H48" s="103">
        <f t="shared" si="5"/>
        <v>0</v>
      </c>
      <c r="J48" s="8"/>
      <c r="K48" s="8"/>
    </row>
    <row r="49" spans="1:11" x14ac:dyDescent="0.25">
      <c r="A49" s="329" t="s">
        <v>1046</v>
      </c>
      <c r="B49" s="331"/>
      <c r="C49" s="328">
        <v>58316070</v>
      </c>
      <c r="D49" s="331"/>
      <c r="E49" s="331" t="s">
        <v>139</v>
      </c>
      <c r="F49" s="330">
        <v>0</v>
      </c>
      <c r="G49" s="331"/>
      <c r="H49" s="103">
        <f t="shared" si="5"/>
        <v>0</v>
      </c>
      <c r="J49" s="8"/>
      <c r="K49" s="8"/>
    </row>
    <row r="50" spans="1:11" x14ac:dyDescent="0.25">
      <c r="A50" s="329" t="s">
        <v>1047</v>
      </c>
      <c r="B50" s="331"/>
      <c r="C50" s="328">
        <v>25631114</v>
      </c>
      <c r="D50" s="331"/>
      <c r="E50" s="331" t="s">
        <v>139</v>
      </c>
      <c r="F50" s="330">
        <v>0</v>
      </c>
      <c r="G50" s="331"/>
      <c r="H50" s="103">
        <f t="shared" si="5"/>
        <v>0</v>
      </c>
      <c r="J50" s="8"/>
      <c r="K50" s="8"/>
    </row>
    <row r="51" spans="1:11" x14ac:dyDescent="0.25">
      <c r="A51" s="329" t="s">
        <v>1119</v>
      </c>
      <c r="B51" s="331"/>
      <c r="C51" s="328">
        <v>3880158</v>
      </c>
      <c r="D51" s="331"/>
      <c r="E51" s="331" t="s">
        <v>139</v>
      </c>
      <c r="F51" s="330">
        <v>0</v>
      </c>
      <c r="G51" s="331"/>
      <c r="H51" s="103">
        <f t="shared" si="5"/>
        <v>0</v>
      </c>
      <c r="J51" s="8"/>
      <c r="K51" s="8"/>
    </row>
    <row r="52" spans="1:11" x14ac:dyDescent="0.25">
      <c r="A52" s="329" t="s">
        <v>1120</v>
      </c>
      <c r="B52" s="331"/>
      <c r="C52" s="328">
        <v>7346</v>
      </c>
      <c r="D52" s="331"/>
      <c r="E52" s="331" t="s">
        <v>139</v>
      </c>
      <c r="F52" s="330">
        <v>0</v>
      </c>
      <c r="G52" s="331"/>
      <c r="H52" s="103">
        <f t="shared" si="5"/>
        <v>0</v>
      </c>
      <c r="J52" s="8"/>
      <c r="K52" s="8"/>
    </row>
    <row r="53" spans="1:11" x14ac:dyDescent="0.25">
      <c r="A53" s="329" t="s">
        <v>1121</v>
      </c>
      <c r="B53" s="331"/>
      <c r="C53" s="328">
        <v>83575860</v>
      </c>
      <c r="D53" s="331"/>
      <c r="E53" s="331" t="s">
        <v>139</v>
      </c>
      <c r="F53" s="330">
        <v>0</v>
      </c>
      <c r="G53" s="331"/>
      <c r="H53" s="103">
        <f t="shared" si="5"/>
        <v>0</v>
      </c>
      <c r="J53" s="8"/>
      <c r="K53" s="8"/>
    </row>
    <row r="54" spans="1:11" x14ac:dyDescent="0.25">
      <c r="A54" s="329" t="s">
        <v>1122</v>
      </c>
      <c r="B54" s="331"/>
      <c r="C54" s="328">
        <v>656028</v>
      </c>
      <c r="D54" s="331"/>
      <c r="E54" s="331" t="s">
        <v>138</v>
      </c>
      <c r="F54" s="330">
        <v>0</v>
      </c>
      <c r="G54" s="331"/>
      <c r="H54" s="103">
        <f t="shared" si="5"/>
        <v>0</v>
      </c>
      <c r="J54" s="8"/>
      <c r="K54" s="8"/>
    </row>
    <row r="55" spans="1:11" s="239" customFormat="1" x14ac:dyDescent="0.25">
      <c r="A55" s="329" t="s">
        <v>1147</v>
      </c>
      <c r="B55" s="331"/>
      <c r="C55" s="328">
        <v>9318201</v>
      </c>
      <c r="D55" s="331"/>
      <c r="E55" s="331" t="s">
        <v>138</v>
      </c>
      <c r="F55" s="330">
        <v>0</v>
      </c>
      <c r="G55" s="331"/>
      <c r="H55" s="103">
        <f t="shared" si="5"/>
        <v>0</v>
      </c>
      <c r="J55" s="8"/>
      <c r="K55" s="8"/>
    </row>
    <row r="56" spans="1:11" s="239" customFormat="1" x14ac:dyDescent="0.25">
      <c r="A56" s="329" t="s">
        <v>1148</v>
      </c>
      <c r="B56" s="331"/>
      <c r="C56" s="328">
        <v>2635349</v>
      </c>
      <c r="D56" s="331"/>
      <c r="E56" s="331" t="s">
        <v>138</v>
      </c>
      <c r="F56" s="330">
        <v>0</v>
      </c>
      <c r="G56" s="331"/>
      <c r="H56" s="103">
        <f t="shared" si="5"/>
        <v>0</v>
      </c>
      <c r="J56" s="8"/>
      <c r="K56" s="8"/>
    </row>
    <row r="57" spans="1:11" s="239" customFormat="1" x14ac:dyDescent="0.25">
      <c r="A57" s="329" t="s">
        <v>1149</v>
      </c>
      <c r="B57" s="331"/>
      <c r="C57" s="328">
        <v>1002325757</v>
      </c>
      <c r="D57" s="331"/>
      <c r="E57" s="331" t="s">
        <v>138</v>
      </c>
      <c r="F57" s="330">
        <v>0</v>
      </c>
      <c r="G57" s="331"/>
      <c r="H57" s="103">
        <f t="shared" si="5"/>
        <v>0</v>
      </c>
      <c r="J57" s="8"/>
      <c r="K57" s="8"/>
    </row>
    <row r="58" spans="1:11" s="239" customFormat="1" x14ac:dyDescent="0.25">
      <c r="A58" s="329" t="s">
        <v>1150</v>
      </c>
      <c r="B58" s="331"/>
      <c r="C58" s="328">
        <v>0</v>
      </c>
      <c r="D58" s="331"/>
      <c r="E58" s="331" t="s">
        <v>139</v>
      </c>
      <c r="F58" s="330">
        <v>0</v>
      </c>
      <c r="G58" s="331"/>
      <c r="H58" s="103">
        <f t="shared" si="5"/>
        <v>0</v>
      </c>
      <c r="J58" s="8"/>
      <c r="K58" s="8"/>
    </row>
    <row r="59" spans="1:11" s="254" customFormat="1" x14ac:dyDescent="0.25">
      <c r="A59" s="329" t="s">
        <v>1193</v>
      </c>
      <c r="B59" s="328">
        <v>0</v>
      </c>
      <c r="C59" s="328">
        <v>35976077</v>
      </c>
      <c r="D59" s="331"/>
      <c r="E59" s="331" t="s">
        <v>138</v>
      </c>
      <c r="F59" s="330">
        <v>0</v>
      </c>
      <c r="G59" s="331"/>
      <c r="H59" s="103">
        <f t="shared" si="5"/>
        <v>0</v>
      </c>
      <c r="J59" s="255"/>
      <c r="K59" s="255"/>
    </row>
    <row r="60" spans="1:11" s="254" customFormat="1" x14ac:dyDescent="0.25">
      <c r="A60" s="329" t="s">
        <v>1194</v>
      </c>
      <c r="B60" s="328">
        <v>0</v>
      </c>
      <c r="C60" s="328">
        <v>1964006</v>
      </c>
      <c r="D60" s="331"/>
      <c r="E60" s="331" t="s">
        <v>139</v>
      </c>
      <c r="F60" s="330">
        <v>0</v>
      </c>
      <c r="G60" s="331"/>
      <c r="H60" s="103">
        <f t="shared" si="5"/>
        <v>0</v>
      </c>
      <c r="J60" s="255"/>
      <c r="K60" s="255"/>
    </row>
    <row r="61" spans="1:11" s="254" customFormat="1" x14ac:dyDescent="0.25">
      <c r="A61" s="329" t="s">
        <v>1195</v>
      </c>
      <c r="B61" s="328">
        <v>0</v>
      </c>
      <c r="C61" s="328">
        <v>2624093</v>
      </c>
      <c r="D61" s="331"/>
      <c r="E61" s="331" t="s">
        <v>138</v>
      </c>
      <c r="F61" s="330">
        <v>0</v>
      </c>
      <c r="G61" s="331"/>
      <c r="H61" s="103">
        <f t="shared" si="5"/>
        <v>0</v>
      </c>
      <c r="J61" s="255"/>
      <c r="K61" s="255"/>
    </row>
    <row r="62" spans="1:11" x14ac:dyDescent="0.25">
      <c r="A62" s="329" t="s">
        <v>1123</v>
      </c>
      <c r="B62" s="328">
        <v>0</v>
      </c>
      <c r="C62" s="328">
        <v>0</v>
      </c>
      <c r="D62" s="331"/>
      <c r="E62" s="331" t="s">
        <v>138</v>
      </c>
      <c r="F62" s="330">
        <v>0</v>
      </c>
      <c r="G62" s="331"/>
      <c r="H62" s="103">
        <f t="shared" si="5"/>
        <v>0</v>
      </c>
      <c r="J62" s="8"/>
      <c r="K62" s="8"/>
    </row>
    <row r="63" spans="1:11" s="274" customFormat="1" x14ac:dyDescent="0.25">
      <c r="A63" s="329" t="s">
        <v>1216</v>
      </c>
      <c r="B63" s="328"/>
      <c r="C63" s="328">
        <v>198221876</v>
      </c>
      <c r="D63" s="331"/>
      <c r="E63" s="331" t="s">
        <v>138</v>
      </c>
      <c r="F63" s="330">
        <v>0</v>
      </c>
      <c r="G63" s="331"/>
      <c r="H63" s="103">
        <f t="shared" ref="H63:H64" si="6">C63*F63</f>
        <v>0</v>
      </c>
      <c r="J63" s="258"/>
      <c r="K63" s="258"/>
    </row>
    <row r="64" spans="1:11" s="274" customFormat="1" x14ac:dyDescent="0.25">
      <c r="A64" s="329" t="s">
        <v>1217</v>
      </c>
      <c r="B64" s="328"/>
      <c r="C64" s="328">
        <v>9275700</v>
      </c>
      <c r="D64" s="331"/>
      <c r="E64" s="331" t="s">
        <v>138</v>
      </c>
      <c r="F64" s="330">
        <v>0</v>
      </c>
      <c r="G64" s="331"/>
      <c r="H64" s="103">
        <f t="shared" si="6"/>
        <v>0</v>
      </c>
      <c r="J64" s="258"/>
      <c r="K64" s="258"/>
    </row>
    <row r="65" spans="1:11" s="326" customFormat="1" x14ac:dyDescent="0.25">
      <c r="A65" s="329" t="s">
        <v>1278</v>
      </c>
      <c r="B65" s="328"/>
      <c r="C65" s="328">
        <f>35827577+104749280</f>
        <v>140576857</v>
      </c>
      <c r="D65" s="331"/>
      <c r="E65" s="331" t="s">
        <v>139</v>
      </c>
      <c r="F65" s="330">
        <v>0</v>
      </c>
      <c r="G65" s="331"/>
      <c r="H65" s="103"/>
      <c r="J65" s="327"/>
      <c r="K65" s="327"/>
    </row>
    <row r="66" spans="1:11" x14ac:dyDescent="0.25">
      <c r="A66" s="3"/>
      <c r="C66" s="253"/>
      <c r="J66" s="8"/>
    </row>
    <row r="67" spans="1:11" x14ac:dyDescent="0.25">
      <c r="A67" s="19" t="s">
        <v>433</v>
      </c>
      <c r="C67" s="252">
        <f>SUM(C27:C66)</f>
        <v>2350233620</v>
      </c>
      <c r="H67" s="104">
        <f>SUM(H27:H66)</f>
        <v>0</v>
      </c>
    </row>
    <row r="70" spans="1:11" x14ac:dyDescent="0.25">
      <c r="C70" s="9"/>
    </row>
  </sheetData>
  <mergeCells count="11">
    <mergeCell ref="A18:H18"/>
    <mergeCell ref="A19:H19"/>
    <mergeCell ref="A21:H21"/>
    <mergeCell ref="E24:F24"/>
    <mergeCell ref="E25:F25"/>
    <mergeCell ref="E8:F8"/>
    <mergeCell ref="E7:F7"/>
    <mergeCell ref="A1:G1"/>
    <mergeCell ref="A2:G2"/>
    <mergeCell ref="A4:G4"/>
    <mergeCell ref="A3:G3"/>
  </mergeCells>
  <pageMargins left="0.7" right="0.7" top="0.75" bottom="0.75" header="0.3" footer="0.3"/>
  <pageSetup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80" zoomScaleNormal="80" workbookViewId="0">
      <selection sqref="A1:G1"/>
    </sheetView>
  </sheetViews>
  <sheetFormatPr defaultRowHeight="15" x14ac:dyDescent="0.25"/>
  <cols>
    <col min="1" max="1" width="50.85546875" style="6" customWidth="1"/>
    <col min="2" max="2" width="1.7109375" style="6" customWidth="1"/>
    <col min="3" max="3" width="17" style="6" bestFit="1" customWidth="1"/>
    <col min="4" max="4" width="1.7109375" style="6" customWidth="1"/>
    <col min="5" max="5" width="14.42578125" style="6" customWidth="1"/>
    <col min="6" max="6" width="12.140625" style="6" bestFit="1" customWidth="1"/>
    <col min="7" max="7" width="1.7109375" style="6" customWidth="1"/>
    <col min="8" max="8" width="18.42578125" style="6" bestFit="1" customWidth="1"/>
    <col min="9" max="9" width="5.140625" style="6" bestFit="1" customWidth="1"/>
    <col min="10" max="10" width="16.140625" style="6" bestFit="1" customWidth="1"/>
    <col min="11" max="11" width="23.140625" style="6" customWidth="1"/>
    <col min="12" max="16384" width="9.140625" style="6"/>
  </cols>
  <sheetData>
    <row r="1" spans="1:8" x14ac:dyDescent="0.25">
      <c r="A1" s="359" t="s">
        <v>0</v>
      </c>
      <c r="B1" s="359"/>
      <c r="C1" s="359"/>
      <c r="D1" s="359"/>
      <c r="E1" s="359"/>
      <c r="F1" s="359"/>
      <c r="G1" s="359"/>
      <c r="H1" s="151" t="s">
        <v>406</v>
      </c>
    </row>
    <row r="2" spans="1:8" x14ac:dyDescent="0.25">
      <c r="A2" s="359" t="s">
        <v>116</v>
      </c>
      <c r="B2" s="359"/>
      <c r="C2" s="359"/>
      <c r="D2" s="359"/>
      <c r="E2" s="359"/>
      <c r="F2" s="359"/>
      <c r="G2" s="359"/>
      <c r="H2" s="151" t="s">
        <v>315</v>
      </c>
    </row>
    <row r="3" spans="1:8" x14ac:dyDescent="0.25">
      <c r="A3" s="359"/>
      <c r="B3" s="359"/>
      <c r="C3" s="359"/>
      <c r="D3" s="359"/>
      <c r="E3" s="359"/>
      <c r="F3" s="359"/>
      <c r="G3" s="359"/>
    </row>
    <row r="4" spans="1:8" x14ac:dyDescent="0.25">
      <c r="A4" s="359" t="s">
        <v>1036</v>
      </c>
      <c r="B4" s="359"/>
      <c r="C4" s="359"/>
      <c r="D4" s="359"/>
      <c r="E4" s="359"/>
      <c r="F4" s="359"/>
      <c r="G4" s="359"/>
      <c r="H4" s="153"/>
    </row>
    <row r="6" spans="1:8" x14ac:dyDescent="0.25">
      <c r="C6" s="151" t="s">
        <v>130</v>
      </c>
      <c r="D6" s="15"/>
      <c r="E6" s="15"/>
      <c r="F6" s="15"/>
      <c r="G6" s="15"/>
      <c r="H6" s="15"/>
    </row>
    <row r="7" spans="1:8" x14ac:dyDescent="0.25">
      <c r="C7" s="226">
        <v>43100</v>
      </c>
      <c r="D7" s="15"/>
      <c r="E7" s="359" t="s">
        <v>128</v>
      </c>
      <c r="F7" s="359"/>
      <c r="G7" s="15"/>
      <c r="H7" s="15"/>
    </row>
    <row r="8" spans="1:8" x14ac:dyDescent="0.25">
      <c r="C8" s="152" t="s">
        <v>131</v>
      </c>
      <c r="D8" s="15"/>
      <c r="E8" s="360" t="s">
        <v>129</v>
      </c>
      <c r="F8" s="360"/>
      <c r="G8" s="15"/>
      <c r="H8" s="152" t="s">
        <v>127</v>
      </c>
    </row>
    <row r="9" spans="1:8" x14ac:dyDescent="0.25">
      <c r="A9" s="331"/>
      <c r="B9" s="331"/>
      <c r="C9" s="331"/>
      <c r="D9" s="331"/>
      <c r="E9" s="331"/>
      <c r="F9" s="331"/>
      <c r="G9" s="331"/>
      <c r="H9" s="331"/>
    </row>
    <row r="10" spans="1:8" x14ac:dyDescent="0.25">
      <c r="A10" s="331" t="s">
        <v>1037</v>
      </c>
      <c r="B10" s="331"/>
      <c r="C10" s="344">
        <f>-'FERC Form 1 Inputs'!N4</f>
        <v>-99736918</v>
      </c>
      <c r="D10" s="331"/>
      <c r="E10" s="331" t="s">
        <v>77</v>
      </c>
      <c r="F10" s="319">
        <f>'Rate Base'!I23</f>
        <v>9.7615550059345371E-2</v>
      </c>
      <c r="G10" s="331"/>
      <c r="H10" s="158">
        <f>C10*F10</f>
        <v>-9735874.1117938235</v>
      </c>
    </row>
    <row r="11" spans="1:8" x14ac:dyDescent="0.25">
      <c r="A11" s="331"/>
      <c r="B11" s="331"/>
      <c r="C11" s="331"/>
      <c r="D11" s="331"/>
      <c r="E11" s="331"/>
      <c r="F11" s="331"/>
      <c r="G11" s="331"/>
      <c r="H11" s="331"/>
    </row>
    <row r="12" spans="1:8" x14ac:dyDescent="0.25">
      <c r="A12" s="331"/>
      <c r="B12" s="331"/>
      <c r="C12" s="331"/>
      <c r="D12" s="331"/>
      <c r="E12" s="331"/>
      <c r="F12" s="331"/>
      <c r="G12" s="331"/>
      <c r="H12" s="331"/>
    </row>
    <row r="13" spans="1:8" x14ac:dyDescent="0.25">
      <c r="A13" s="331"/>
      <c r="B13" s="331"/>
      <c r="C13" s="331"/>
      <c r="D13" s="331"/>
      <c r="E13" s="331"/>
      <c r="F13" s="331"/>
      <c r="G13" s="331"/>
      <c r="H13" s="331"/>
    </row>
    <row r="14" spans="1:8" x14ac:dyDescent="0.25">
      <c r="A14" s="331"/>
      <c r="B14" s="331"/>
      <c r="C14" s="331"/>
      <c r="D14" s="331"/>
      <c r="E14" s="331"/>
      <c r="F14" s="331"/>
      <c r="G14" s="331"/>
      <c r="H14" s="331"/>
    </row>
    <row r="15" spans="1:8" x14ac:dyDescent="0.25">
      <c r="A15" s="331"/>
      <c r="B15" s="331"/>
      <c r="C15" s="331"/>
      <c r="D15" s="331"/>
      <c r="E15" s="331"/>
      <c r="F15" s="331"/>
      <c r="G15" s="331"/>
      <c r="H15" s="331"/>
    </row>
    <row r="16" spans="1:8" x14ac:dyDescent="0.25">
      <c r="A16" s="359" t="s">
        <v>0</v>
      </c>
      <c r="B16" s="359"/>
      <c r="C16" s="359"/>
      <c r="D16" s="359"/>
      <c r="E16" s="359"/>
      <c r="F16" s="359"/>
      <c r="G16" s="359"/>
      <c r="H16" s="332"/>
    </row>
    <row r="17" spans="1:11" x14ac:dyDescent="0.25">
      <c r="A17" s="359" t="s">
        <v>116</v>
      </c>
      <c r="B17" s="359"/>
      <c r="C17" s="359"/>
      <c r="D17" s="359"/>
      <c r="E17" s="359"/>
      <c r="F17" s="359"/>
      <c r="G17" s="359"/>
      <c r="H17" s="332"/>
    </row>
    <row r="18" spans="1:11" x14ac:dyDescent="0.25">
      <c r="A18" s="359"/>
      <c r="B18" s="359"/>
      <c r="C18" s="359"/>
      <c r="D18" s="359"/>
      <c r="E18" s="359"/>
      <c r="F18" s="359"/>
      <c r="G18" s="359"/>
      <c r="H18" s="331"/>
    </row>
    <row r="19" spans="1:11" x14ac:dyDescent="0.25">
      <c r="A19" s="359" t="s">
        <v>434</v>
      </c>
      <c r="B19" s="359"/>
      <c r="C19" s="359"/>
      <c r="D19" s="359"/>
      <c r="E19" s="359"/>
      <c r="F19" s="359"/>
      <c r="G19" s="359"/>
      <c r="H19" s="334"/>
    </row>
    <row r="20" spans="1:11" x14ac:dyDescent="0.25">
      <c r="A20" s="331"/>
      <c r="B20" s="331"/>
      <c r="C20" s="331"/>
      <c r="D20" s="331"/>
      <c r="E20" s="331"/>
      <c r="F20" s="331"/>
      <c r="G20" s="331"/>
      <c r="H20" s="331"/>
    </row>
    <row r="21" spans="1:11" x14ac:dyDescent="0.25">
      <c r="A21" s="331"/>
      <c r="B21" s="331"/>
      <c r="C21" s="332" t="s">
        <v>130</v>
      </c>
      <c r="D21" s="15"/>
      <c r="E21" s="15"/>
      <c r="F21" s="15"/>
      <c r="G21" s="15"/>
      <c r="H21" s="15"/>
    </row>
    <row r="22" spans="1:11" x14ac:dyDescent="0.25">
      <c r="A22" s="331"/>
      <c r="B22" s="331"/>
      <c r="C22" s="16">
        <f>+C7</f>
        <v>43100</v>
      </c>
      <c r="D22" s="15"/>
      <c r="E22" s="359" t="s">
        <v>128</v>
      </c>
      <c r="F22" s="359"/>
      <c r="G22" s="15"/>
      <c r="H22" s="15"/>
    </row>
    <row r="23" spans="1:11" x14ac:dyDescent="0.25">
      <c r="A23" s="331"/>
      <c r="B23" s="331"/>
      <c r="C23" s="333" t="s">
        <v>131</v>
      </c>
      <c r="D23" s="15"/>
      <c r="E23" s="360" t="s">
        <v>129</v>
      </c>
      <c r="F23" s="360"/>
      <c r="G23" s="15"/>
      <c r="H23" s="333" t="s">
        <v>127</v>
      </c>
    </row>
    <row r="24" spans="1:11" x14ac:dyDescent="0.25">
      <c r="A24" s="331"/>
      <c r="B24" s="331"/>
      <c r="C24" s="334"/>
      <c r="D24" s="331"/>
      <c r="E24" s="331"/>
      <c r="F24" s="331"/>
      <c r="G24" s="331"/>
      <c r="H24" s="331"/>
    </row>
    <row r="25" spans="1:11" x14ac:dyDescent="0.25">
      <c r="A25" s="329" t="s">
        <v>209</v>
      </c>
      <c r="B25" s="2"/>
      <c r="C25" s="328">
        <v>-489221894</v>
      </c>
      <c r="D25" s="331"/>
      <c r="E25" s="331" t="s">
        <v>138</v>
      </c>
      <c r="F25" s="330">
        <v>0</v>
      </c>
      <c r="G25" s="331"/>
      <c r="H25" s="103">
        <f>C25*F25</f>
        <v>0</v>
      </c>
      <c r="J25" s="8"/>
    </row>
    <row r="26" spans="1:11" x14ac:dyDescent="0.25">
      <c r="A26" s="329" t="s">
        <v>120</v>
      </c>
      <c r="B26" s="2"/>
      <c r="C26" s="328">
        <v>-1795100</v>
      </c>
      <c r="D26" s="331"/>
      <c r="E26" s="331" t="s">
        <v>107</v>
      </c>
      <c r="F26" s="319">
        <f>'Rate Base'!$I$45</f>
        <v>0.10462202281548752</v>
      </c>
      <c r="G26" s="331"/>
      <c r="H26" s="103">
        <f>C26*F26</f>
        <v>-187806.99315608165</v>
      </c>
      <c r="J26" s="8"/>
    </row>
    <row r="27" spans="1:11" x14ac:dyDescent="0.25">
      <c r="A27" s="18"/>
      <c r="B27" s="3"/>
      <c r="C27" s="334"/>
      <c r="D27" s="331"/>
      <c r="E27" s="331"/>
      <c r="F27" s="331"/>
      <c r="G27" s="331"/>
      <c r="H27" s="331"/>
    </row>
    <row r="28" spans="1:11" x14ac:dyDescent="0.25">
      <c r="A28" s="19" t="s">
        <v>435</v>
      </c>
      <c r="B28" s="3"/>
      <c r="C28" s="252">
        <f>SUM(C25:C27)</f>
        <v>-491016994</v>
      </c>
      <c r="D28" s="331"/>
      <c r="E28" s="331"/>
      <c r="F28" s="331"/>
      <c r="G28" s="331"/>
      <c r="H28" s="104">
        <f>SUM(H25:H26)</f>
        <v>-187806.99315608165</v>
      </c>
      <c r="J28" s="79"/>
      <c r="K28" s="79"/>
    </row>
    <row r="29" spans="1:11" x14ac:dyDescent="0.25">
      <c r="A29" s="331"/>
      <c r="B29" s="331"/>
      <c r="C29" s="331"/>
      <c r="D29" s="331"/>
      <c r="E29" s="331"/>
      <c r="F29" s="331"/>
      <c r="G29" s="331"/>
      <c r="H29" s="331"/>
      <c r="J29" s="79"/>
      <c r="K29" s="79"/>
    </row>
    <row r="30" spans="1:11" x14ac:dyDescent="0.25">
      <c r="A30" s="331"/>
      <c r="B30" s="331"/>
      <c r="C30" s="331"/>
      <c r="D30" s="331"/>
      <c r="E30" s="331"/>
      <c r="F30" s="331"/>
      <c r="G30" s="331"/>
      <c r="H30" s="331"/>
      <c r="J30" s="79"/>
      <c r="K30" s="79"/>
    </row>
    <row r="31" spans="1:11" x14ac:dyDescent="0.25">
      <c r="A31" s="359" t="s">
        <v>0</v>
      </c>
      <c r="B31" s="359"/>
      <c r="C31" s="359"/>
      <c r="D31" s="359"/>
      <c r="E31" s="359"/>
      <c r="F31" s="359"/>
      <c r="G31" s="359"/>
      <c r="H31" s="359"/>
    </row>
    <row r="32" spans="1:11" x14ac:dyDescent="0.25">
      <c r="A32" s="359" t="s">
        <v>116</v>
      </c>
      <c r="B32" s="359"/>
      <c r="C32" s="359"/>
      <c r="D32" s="359"/>
      <c r="E32" s="359"/>
      <c r="F32" s="359"/>
      <c r="G32" s="359"/>
      <c r="H32" s="359"/>
    </row>
    <row r="33" spans="1:11" x14ac:dyDescent="0.25">
      <c r="A33" s="331"/>
      <c r="B33" s="331"/>
      <c r="C33" s="331"/>
      <c r="D33" s="331"/>
      <c r="E33" s="334"/>
      <c r="F33" s="334"/>
      <c r="G33" s="193"/>
      <c r="H33" s="331"/>
    </row>
    <row r="34" spans="1:11" x14ac:dyDescent="0.25">
      <c r="A34" s="359" t="s">
        <v>437</v>
      </c>
      <c r="B34" s="359"/>
      <c r="C34" s="359"/>
      <c r="D34" s="359"/>
      <c r="E34" s="359"/>
      <c r="F34" s="359"/>
      <c r="G34" s="359"/>
      <c r="H34" s="359"/>
    </row>
    <row r="35" spans="1:11" x14ac:dyDescent="0.25">
      <c r="A35" s="359"/>
      <c r="B35" s="359"/>
      <c r="C35" s="359"/>
      <c r="D35" s="359"/>
      <c r="E35" s="359"/>
      <c r="F35" s="359"/>
      <c r="G35" s="359"/>
      <c r="H35" s="359"/>
    </row>
    <row r="36" spans="1:11" x14ac:dyDescent="0.25">
      <c r="A36" s="334"/>
      <c r="B36" s="334"/>
      <c r="C36" s="334"/>
      <c r="D36" s="334"/>
      <c r="E36" s="334"/>
      <c r="F36" s="334"/>
      <c r="G36" s="334"/>
      <c r="H36" s="334"/>
    </row>
    <row r="37" spans="1:11" x14ac:dyDescent="0.25">
      <c r="A37" s="331"/>
      <c r="B37" s="331"/>
      <c r="C37" s="332" t="s">
        <v>130</v>
      </c>
      <c r="D37" s="15"/>
      <c r="E37" s="15"/>
      <c r="F37" s="15"/>
      <c r="G37" s="15"/>
      <c r="H37" s="15"/>
    </row>
    <row r="38" spans="1:11" x14ac:dyDescent="0.25">
      <c r="A38" s="331"/>
      <c r="B38" s="331"/>
      <c r="C38" s="16">
        <f>+C7</f>
        <v>43100</v>
      </c>
      <c r="D38" s="15"/>
      <c r="E38" s="359" t="s">
        <v>128</v>
      </c>
      <c r="F38" s="359"/>
      <c r="G38" s="15"/>
      <c r="H38" s="15"/>
    </row>
    <row r="39" spans="1:11" x14ac:dyDescent="0.25">
      <c r="A39" s="331"/>
      <c r="B39" s="331"/>
      <c r="C39" s="333" t="s">
        <v>131</v>
      </c>
      <c r="D39" s="15"/>
      <c r="E39" s="360" t="s">
        <v>129</v>
      </c>
      <c r="F39" s="360"/>
      <c r="G39" s="15"/>
      <c r="H39" s="333" t="s">
        <v>127</v>
      </c>
    </row>
    <row r="40" spans="1:11" x14ac:dyDescent="0.25">
      <c r="A40" s="331"/>
      <c r="B40" s="331"/>
      <c r="C40" s="334"/>
      <c r="D40" s="331"/>
      <c r="E40" s="331"/>
      <c r="F40" s="331"/>
      <c r="G40" s="331"/>
      <c r="H40" s="331"/>
    </row>
    <row r="41" spans="1:11" x14ac:dyDescent="0.25">
      <c r="A41" s="329" t="s">
        <v>210</v>
      </c>
      <c r="B41" s="2"/>
      <c r="C41" s="328">
        <v>-55884824</v>
      </c>
      <c r="D41" s="331"/>
      <c r="E41" s="331" t="s">
        <v>76</v>
      </c>
      <c r="F41" s="319">
        <f>'Allocation Factors'!$H$21</f>
        <v>3.5773423890158328E-2</v>
      </c>
      <c r="G41" s="331"/>
      <c r="H41" s="103">
        <f>C41*F41</f>
        <v>-1999191.4979788936</v>
      </c>
      <c r="I41" s="8"/>
      <c r="J41" s="8"/>
      <c r="K41" s="8"/>
    </row>
    <row r="42" spans="1:11" x14ac:dyDescent="0.25">
      <c r="A42" s="329" t="s">
        <v>211</v>
      </c>
      <c r="B42" s="2"/>
      <c r="C42" s="328">
        <v>-21724021</v>
      </c>
      <c r="D42" s="331"/>
      <c r="E42" s="331" t="s">
        <v>76</v>
      </c>
      <c r="F42" s="319">
        <f>'Allocation Factors'!$H$21</f>
        <v>3.5773423890158328E-2</v>
      </c>
      <c r="G42" s="331"/>
      <c r="H42" s="103">
        <f>C42*F42</f>
        <v>-777142.61183170124</v>
      </c>
      <c r="I42" s="8"/>
      <c r="J42" s="8"/>
      <c r="K42" s="8"/>
    </row>
    <row r="43" spans="1:11" x14ac:dyDescent="0.25">
      <c r="A43" s="329" t="s">
        <v>927</v>
      </c>
      <c r="B43" s="2"/>
      <c r="C43" s="328">
        <v>0</v>
      </c>
      <c r="D43" s="331"/>
      <c r="E43" s="331" t="s">
        <v>76</v>
      </c>
      <c r="F43" s="319">
        <f>'Allocation Factors'!$H$21</f>
        <v>3.5773423890158328E-2</v>
      </c>
      <c r="G43" s="331"/>
      <c r="H43" s="103">
        <f>C43*F43</f>
        <v>0</v>
      </c>
      <c r="I43" s="8"/>
      <c r="J43" s="8"/>
      <c r="K43" s="8"/>
    </row>
    <row r="44" spans="1:11" x14ac:dyDescent="0.25">
      <c r="A44" s="18" t="s">
        <v>1033</v>
      </c>
      <c r="B44" s="3"/>
      <c r="C44" s="328">
        <v>-11904706</v>
      </c>
      <c r="D44" s="331"/>
      <c r="E44" s="331" t="s">
        <v>76</v>
      </c>
      <c r="F44" s="319">
        <f>'Allocation Factors'!$H$21</f>
        <v>3.5773423890158328E-2</v>
      </c>
      <c r="G44" s="331"/>
      <c r="H44" s="103">
        <f>C44*F44</f>
        <v>-425872.09402571118</v>
      </c>
    </row>
    <row r="45" spans="1:11" x14ac:dyDescent="0.25">
      <c r="A45" s="18" t="s">
        <v>1124</v>
      </c>
      <c r="B45" s="3"/>
      <c r="C45" s="328">
        <v>0</v>
      </c>
      <c r="D45" s="331"/>
      <c r="E45" s="331" t="s">
        <v>76</v>
      </c>
      <c r="F45" s="319">
        <f>'Allocation Factors'!$H$21</f>
        <v>3.5773423890158328E-2</v>
      </c>
      <c r="G45" s="331"/>
      <c r="H45" s="103">
        <f>C45*F45</f>
        <v>0</v>
      </c>
    </row>
    <row r="46" spans="1:11" x14ac:dyDescent="0.25">
      <c r="A46" s="19" t="s">
        <v>436</v>
      </c>
      <c r="B46" s="3"/>
      <c r="C46" s="61">
        <f>SUM(C41:C45)</f>
        <v>-89513551</v>
      </c>
      <c r="H46" s="104">
        <f>SUM(H41:H45)</f>
        <v>-3202206.203836306</v>
      </c>
    </row>
    <row r="48" spans="1:11" x14ac:dyDescent="0.25">
      <c r="C48" s="8"/>
    </row>
    <row r="49" spans="3:10" x14ac:dyDescent="0.25">
      <c r="C49" s="8"/>
    </row>
    <row r="50" spans="3:10" x14ac:dyDescent="0.25">
      <c r="J50" s="97"/>
    </row>
    <row r="51" spans="3:10" x14ac:dyDescent="0.25">
      <c r="C51" s="97"/>
    </row>
    <row r="52" spans="3:10" x14ac:dyDescent="0.25">
      <c r="J52" s="97"/>
    </row>
  </sheetData>
  <mergeCells count="18">
    <mergeCell ref="E23:F23"/>
    <mergeCell ref="E22:F22"/>
    <mergeCell ref="A1:G1"/>
    <mergeCell ref="A2:G2"/>
    <mergeCell ref="A4:G4"/>
    <mergeCell ref="A3:G3"/>
    <mergeCell ref="A16:G16"/>
    <mergeCell ref="A17:G17"/>
    <mergeCell ref="A18:G18"/>
    <mergeCell ref="A19:G19"/>
    <mergeCell ref="E7:F7"/>
    <mergeCell ref="E8:F8"/>
    <mergeCell ref="E39:F39"/>
    <mergeCell ref="A31:H31"/>
    <mergeCell ref="A32:H32"/>
    <mergeCell ref="A34:H34"/>
    <mergeCell ref="E38:F38"/>
    <mergeCell ref="A35:H35"/>
  </mergeCells>
  <pageMargins left="0.7" right="0.7" top="0.75" bottom="0.75" header="0.3" footer="0.3"/>
  <pageSetup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90" zoomScaleNormal="90" workbookViewId="0">
      <selection sqref="A1:G1"/>
    </sheetView>
  </sheetViews>
  <sheetFormatPr defaultRowHeight="15" x14ac:dyDescent="0.25"/>
  <cols>
    <col min="1" max="1" width="50.85546875" style="6" customWidth="1"/>
    <col min="2" max="2" width="1.7109375" style="6" customWidth="1"/>
    <col min="3" max="3" width="16.5703125" style="6" bestFit="1" customWidth="1"/>
    <col min="4" max="4" width="1.7109375" style="6" customWidth="1"/>
    <col min="5" max="5" width="12.42578125" style="6" customWidth="1"/>
    <col min="6" max="6" width="10.42578125" style="6" bestFit="1" customWidth="1"/>
    <col min="7" max="7" width="1.7109375" style="6" customWidth="1"/>
    <col min="8" max="8" width="18.42578125" style="6" bestFit="1" customWidth="1"/>
    <col min="9" max="9" width="9.140625" style="6"/>
    <col min="10" max="10" width="13.42578125" style="6" bestFit="1" customWidth="1"/>
    <col min="11" max="11" width="23.140625" style="6" customWidth="1"/>
    <col min="12" max="16384" width="9.140625" style="6"/>
  </cols>
  <sheetData>
    <row r="1" spans="1:11" x14ac:dyDescent="0.25">
      <c r="A1" s="359" t="s">
        <v>0</v>
      </c>
      <c r="B1" s="359"/>
      <c r="C1" s="359"/>
      <c r="D1" s="359"/>
      <c r="E1" s="359"/>
      <c r="F1" s="359"/>
      <c r="G1" s="359"/>
      <c r="H1" s="135" t="s">
        <v>406</v>
      </c>
    </row>
    <row r="2" spans="1:11" x14ac:dyDescent="0.25">
      <c r="A2" s="359" t="s">
        <v>116</v>
      </c>
      <c r="B2" s="359"/>
      <c r="C2" s="359"/>
      <c r="D2" s="359"/>
      <c r="E2" s="359"/>
      <c r="F2" s="359"/>
      <c r="G2" s="359"/>
      <c r="H2" s="135" t="s">
        <v>261</v>
      </c>
    </row>
    <row r="3" spans="1:11" x14ac:dyDescent="0.25">
      <c r="A3" s="359"/>
      <c r="B3" s="359"/>
      <c r="C3" s="359"/>
      <c r="D3" s="359"/>
      <c r="E3" s="359"/>
      <c r="F3" s="359"/>
      <c r="G3" s="359"/>
      <c r="H3" s="15"/>
    </row>
    <row r="4" spans="1:11" x14ac:dyDescent="0.25">
      <c r="A4" s="359" t="s">
        <v>925</v>
      </c>
      <c r="B4" s="359"/>
      <c r="C4" s="359"/>
      <c r="D4" s="359"/>
      <c r="E4" s="359"/>
      <c r="F4" s="359"/>
      <c r="G4" s="359"/>
      <c r="H4" s="135"/>
    </row>
    <row r="5" spans="1:11" x14ac:dyDescent="0.25">
      <c r="A5" s="359"/>
      <c r="B5" s="359"/>
      <c r="C5" s="359"/>
      <c r="D5" s="359"/>
      <c r="E5" s="359"/>
      <c r="F5" s="359"/>
      <c r="G5" s="359"/>
    </row>
    <row r="6" spans="1:11" x14ac:dyDescent="0.25">
      <c r="A6" s="135"/>
      <c r="B6" s="135"/>
      <c r="C6" s="135"/>
      <c r="D6" s="135"/>
      <c r="E6" s="135"/>
      <c r="F6" s="135"/>
      <c r="G6" s="135"/>
    </row>
    <row r="7" spans="1:11" x14ac:dyDescent="0.25">
      <c r="C7" s="135" t="s">
        <v>130</v>
      </c>
      <c r="D7" s="15"/>
      <c r="E7" s="15"/>
      <c r="F7" s="15"/>
      <c r="G7" s="15"/>
      <c r="H7" s="15"/>
    </row>
    <row r="8" spans="1:11" x14ac:dyDescent="0.25">
      <c r="C8" s="226">
        <v>43100</v>
      </c>
      <c r="D8" s="15"/>
      <c r="E8" s="359" t="s">
        <v>128</v>
      </c>
      <c r="F8" s="359"/>
      <c r="G8" s="15"/>
      <c r="H8" s="15"/>
    </row>
    <row r="9" spans="1:11" x14ac:dyDescent="0.25">
      <c r="C9" s="136" t="s">
        <v>131</v>
      </c>
      <c r="D9" s="15"/>
      <c r="E9" s="360" t="s">
        <v>129</v>
      </c>
      <c r="F9" s="360"/>
      <c r="G9" s="15"/>
      <c r="H9" s="136" t="s">
        <v>127</v>
      </c>
    </row>
    <row r="10" spans="1:11" x14ac:dyDescent="0.25">
      <c r="A10" s="331"/>
      <c r="B10" s="331"/>
      <c r="C10" s="334"/>
      <c r="D10" s="331"/>
      <c r="E10" s="331"/>
      <c r="F10" s="331"/>
      <c r="G10" s="331"/>
    </row>
    <row r="11" spans="1:11" x14ac:dyDescent="0.25">
      <c r="A11" s="329" t="s">
        <v>142</v>
      </c>
      <c r="B11" s="2"/>
      <c r="C11" s="328">
        <v>0</v>
      </c>
      <c r="D11" s="331"/>
      <c r="E11" s="331" t="s">
        <v>76</v>
      </c>
      <c r="F11" s="319">
        <f>'Allocation Factors'!$H$21</f>
        <v>3.5773423890158328E-2</v>
      </c>
      <c r="G11" s="331"/>
      <c r="H11" s="103">
        <f>C11*F11</f>
        <v>0</v>
      </c>
      <c r="J11" s="8"/>
      <c r="K11" s="8"/>
    </row>
    <row r="12" spans="1:11" s="239" customFormat="1" x14ac:dyDescent="0.25">
      <c r="A12" s="329" t="s">
        <v>122</v>
      </c>
      <c r="B12" s="2"/>
      <c r="C12" s="328">
        <v>0</v>
      </c>
      <c r="D12" s="331"/>
      <c r="E12" s="331" t="s">
        <v>76</v>
      </c>
      <c r="F12" s="319">
        <f>'Allocation Factors'!$H$21</f>
        <v>3.5773423890158328E-2</v>
      </c>
      <c r="G12" s="331"/>
      <c r="H12" s="103">
        <f>C12*F12</f>
        <v>0</v>
      </c>
      <c r="J12" s="8"/>
      <c r="K12" s="8"/>
    </row>
    <row r="13" spans="1:11" s="239" customFormat="1" x14ac:dyDescent="0.25">
      <c r="A13" s="329" t="s">
        <v>415</v>
      </c>
      <c r="B13" s="2"/>
      <c r="C13" s="328">
        <v>-609161169</v>
      </c>
      <c r="D13" s="331"/>
      <c r="E13" s="259" t="s">
        <v>138</v>
      </c>
      <c r="F13" s="330">
        <v>0</v>
      </c>
      <c r="G13" s="331"/>
      <c r="H13" s="103">
        <f>C13*F13</f>
        <v>0</v>
      </c>
      <c r="J13" s="8"/>
      <c r="K13" s="8"/>
    </row>
    <row r="14" spans="1:11" x14ac:dyDescent="0.25">
      <c r="A14" s="3"/>
      <c r="B14" s="3"/>
      <c r="C14" s="334"/>
      <c r="D14" s="331"/>
      <c r="E14" s="331"/>
      <c r="F14" s="319"/>
      <c r="G14" s="331"/>
    </row>
    <row r="15" spans="1:11" x14ac:dyDescent="0.25">
      <c r="A15" s="19" t="s">
        <v>910</v>
      </c>
      <c r="B15" s="3"/>
      <c r="C15" s="252">
        <f>SUM(C11:C14)</f>
        <v>-609161169</v>
      </c>
      <c r="D15" s="331"/>
      <c r="E15" s="331"/>
      <c r="F15" s="331"/>
      <c r="G15" s="331"/>
      <c r="H15" s="104">
        <f>SUM(H11:H13)</f>
        <v>0</v>
      </c>
    </row>
    <row r="16" spans="1:11" x14ac:dyDescent="0.25">
      <c r="A16" s="331"/>
      <c r="B16" s="331"/>
      <c r="C16" s="331"/>
      <c r="D16" s="331"/>
      <c r="E16" s="331"/>
      <c r="F16" s="331"/>
      <c r="G16" s="331"/>
    </row>
    <row r="17" spans="1:8" x14ac:dyDescent="0.25">
      <c r="A17" s="331"/>
      <c r="B17" s="331"/>
      <c r="C17" s="327"/>
      <c r="D17" s="331"/>
      <c r="E17" s="331"/>
      <c r="F17" s="331"/>
      <c r="G17" s="331"/>
    </row>
    <row r="18" spans="1:8" x14ac:dyDescent="0.25">
      <c r="A18" s="331"/>
      <c r="B18" s="331"/>
      <c r="C18" s="331"/>
      <c r="D18" s="331"/>
      <c r="E18" s="331"/>
      <c r="F18" s="331"/>
      <c r="G18" s="331"/>
    </row>
    <row r="19" spans="1:8" x14ac:dyDescent="0.25">
      <c r="A19" s="331"/>
      <c r="B19" s="331"/>
      <c r="C19" s="331"/>
      <c r="D19" s="331"/>
      <c r="E19" s="331"/>
      <c r="F19" s="331"/>
      <c r="G19" s="331"/>
    </row>
    <row r="20" spans="1:8" x14ac:dyDescent="0.25">
      <c r="A20" s="331"/>
      <c r="B20" s="331"/>
      <c r="C20" s="327"/>
      <c r="D20" s="331"/>
      <c r="E20" s="331"/>
      <c r="F20" s="331"/>
      <c r="G20" s="331"/>
    </row>
    <row r="21" spans="1:8" x14ac:dyDescent="0.25">
      <c r="A21" s="331"/>
      <c r="B21" s="331"/>
      <c r="C21" s="331"/>
      <c r="D21" s="331"/>
      <c r="E21" s="331"/>
      <c r="F21" s="331"/>
      <c r="G21" s="331"/>
    </row>
    <row r="22" spans="1:8" x14ac:dyDescent="0.25">
      <c r="A22" s="359" t="s">
        <v>995</v>
      </c>
      <c r="B22" s="359"/>
      <c r="C22" s="359"/>
      <c r="D22" s="359"/>
      <c r="E22" s="359"/>
      <c r="F22" s="359"/>
      <c r="G22" s="359"/>
    </row>
    <row r="23" spans="1:8" x14ac:dyDescent="0.25">
      <c r="A23" s="331"/>
      <c r="B23" s="331"/>
      <c r="C23" s="331"/>
      <c r="D23" s="331"/>
      <c r="E23" s="331"/>
      <c r="F23" s="331"/>
      <c r="G23" s="331"/>
    </row>
    <row r="24" spans="1:8" x14ac:dyDescent="0.25">
      <c r="A24" s="331"/>
      <c r="B24" s="331"/>
      <c r="C24" s="332" t="s">
        <v>130</v>
      </c>
      <c r="D24" s="15"/>
      <c r="E24" s="15"/>
      <c r="F24" s="15"/>
      <c r="G24" s="15"/>
      <c r="H24" s="15"/>
    </row>
    <row r="25" spans="1:8" x14ac:dyDescent="0.25">
      <c r="A25" s="331"/>
      <c r="B25" s="331"/>
      <c r="C25" s="16">
        <f>+C8</f>
        <v>43100</v>
      </c>
      <c r="D25" s="15"/>
      <c r="E25" s="359" t="s">
        <v>128</v>
      </c>
      <c r="F25" s="359"/>
      <c r="G25" s="15"/>
      <c r="H25" s="15"/>
    </row>
    <row r="26" spans="1:8" x14ac:dyDescent="0.25">
      <c r="A26" s="331"/>
      <c r="B26" s="331"/>
      <c r="C26" s="333" t="s">
        <v>131</v>
      </c>
      <c r="D26" s="15"/>
      <c r="E26" s="360" t="s">
        <v>129</v>
      </c>
      <c r="F26" s="360"/>
      <c r="G26" s="15"/>
      <c r="H26" s="136" t="s">
        <v>127</v>
      </c>
    </row>
    <row r="27" spans="1:8" x14ac:dyDescent="0.25">
      <c r="A27" s="331"/>
      <c r="B27" s="331"/>
      <c r="C27" s="334"/>
      <c r="D27" s="331"/>
      <c r="E27" s="331"/>
      <c r="F27" s="331"/>
      <c r="G27" s="331"/>
    </row>
    <row r="28" spans="1:8" x14ac:dyDescent="0.25">
      <c r="A28" s="329" t="s">
        <v>996</v>
      </c>
      <c r="B28" s="2"/>
      <c r="C28" s="328">
        <v>0</v>
      </c>
      <c r="D28" s="331"/>
      <c r="E28" s="331" t="s">
        <v>76</v>
      </c>
      <c r="F28" s="319">
        <f>'Allocation Factors'!$H$21</f>
        <v>3.5773423890158328E-2</v>
      </c>
      <c r="G28" s="331"/>
      <c r="H28" s="103">
        <f>C28*F28</f>
        <v>0</v>
      </c>
    </row>
    <row r="29" spans="1:8" s="239" customFormat="1" x14ac:dyDescent="0.25">
      <c r="A29" s="329" t="s">
        <v>122</v>
      </c>
      <c r="B29" s="2"/>
      <c r="C29" s="328">
        <f>-44428674+-58406</f>
        <v>-44487080</v>
      </c>
      <c r="D29" s="331"/>
      <c r="E29" s="331" t="s">
        <v>76</v>
      </c>
      <c r="F29" s="319">
        <f>'Allocation Factors'!$H$21</f>
        <v>3.5773423890158328E-2</v>
      </c>
      <c r="G29" s="331"/>
      <c r="H29" s="103">
        <f>C29*F29</f>
        <v>-1591455.1704753847</v>
      </c>
    </row>
    <row r="30" spans="1:8" s="239" customFormat="1" x14ac:dyDescent="0.25">
      <c r="A30" s="329" t="s">
        <v>415</v>
      </c>
      <c r="B30" s="2"/>
      <c r="C30" s="328">
        <v>-4526666823</v>
      </c>
      <c r="D30" s="331"/>
      <c r="E30" s="259" t="s">
        <v>138</v>
      </c>
      <c r="F30" s="330">
        <v>0</v>
      </c>
      <c r="G30" s="331"/>
      <c r="H30" s="103">
        <f>C30*F30</f>
        <v>0</v>
      </c>
    </row>
    <row r="31" spans="1:8" x14ac:dyDescent="0.25">
      <c r="A31" s="3"/>
      <c r="B31" s="3"/>
      <c r="C31" s="137"/>
      <c r="F31" s="58"/>
    </row>
    <row r="32" spans="1:8" x14ac:dyDescent="0.25">
      <c r="A32" s="19" t="s">
        <v>997</v>
      </c>
      <c r="B32" s="3"/>
      <c r="C32" s="61">
        <f>SUM(C28:C31)</f>
        <v>-4571153903</v>
      </c>
      <c r="H32" s="104">
        <f>SUM(H28:H30)</f>
        <v>-1591455.1704753847</v>
      </c>
    </row>
  </sheetData>
  <mergeCells count="10">
    <mergeCell ref="E25:F25"/>
    <mergeCell ref="E26:F26"/>
    <mergeCell ref="A22:G22"/>
    <mergeCell ref="E9:F9"/>
    <mergeCell ref="E8:F8"/>
    <mergeCell ref="A1:G1"/>
    <mergeCell ref="A2:G2"/>
    <mergeCell ref="A4:G4"/>
    <mergeCell ref="A3:G3"/>
    <mergeCell ref="A5:G5"/>
  </mergeCells>
  <pageMargins left="0.7" right="0.7" top="0.75" bottom="0.75" header="0.3" footer="0.3"/>
  <pageSetup scale="7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2"/>
  <sheetViews>
    <sheetView zoomScale="90" zoomScaleNormal="90" workbookViewId="0">
      <selection sqref="A1:F1"/>
    </sheetView>
  </sheetViews>
  <sheetFormatPr defaultRowHeight="15" x14ac:dyDescent="0.25"/>
  <cols>
    <col min="1" max="1" width="50.85546875" style="6" customWidth="1"/>
    <col min="2" max="2" width="14.85546875" style="6" bestFit="1" customWidth="1"/>
    <col min="3" max="3" width="1.7109375" style="6" customWidth="1"/>
    <col min="4" max="4" width="19.42578125" style="6" bestFit="1" customWidth="1"/>
    <col min="5" max="5" width="10.42578125" style="6" bestFit="1" customWidth="1"/>
    <col min="6" max="6" width="1.7109375" style="6" customWidth="1"/>
    <col min="7" max="7" width="18.42578125" style="6" bestFit="1" customWidth="1"/>
    <col min="8" max="10" width="9.140625" style="6"/>
    <col min="11" max="11" width="23.140625" style="6" customWidth="1"/>
    <col min="12" max="16384" width="9.140625" style="6"/>
  </cols>
  <sheetData>
    <row r="1" spans="1:7" x14ac:dyDescent="0.25">
      <c r="A1" s="359" t="s">
        <v>0</v>
      </c>
      <c r="B1" s="359"/>
      <c r="C1" s="359"/>
      <c r="D1" s="359"/>
      <c r="E1" s="359"/>
      <c r="F1" s="359"/>
      <c r="G1" s="151" t="s">
        <v>406</v>
      </c>
    </row>
    <row r="2" spans="1:7" x14ac:dyDescent="0.25">
      <c r="A2" s="359" t="s">
        <v>116</v>
      </c>
      <c r="B2" s="359"/>
      <c r="C2" s="359"/>
      <c r="D2" s="359"/>
      <c r="E2" s="359"/>
      <c r="F2" s="359"/>
      <c r="G2" s="151" t="s">
        <v>262</v>
      </c>
    </row>
    <row r="3" spans="1:7" x14ac:dyDescent="0.25">
      <c r="A3" s="359"/>
      <c r="B3" s="359"/>
      <c r="C3" s="359"/>
      <c r="D3" s="359"/>
      <c r="E3" s="359"/>
      <c r="F3" s="359"/>
    </row>
    <row r="4" spans="1:7" x14ac:dyDescent="0.25">
      <c r="A4" s="359" t="s">
        <v>167</v>
      </c>
      <c r="B4" s="359"/>
      <c r="C4" s="359"/>
      <c r="D4" s="359"/>
      <c r="E4" s="359"/>
      <c r="F4" s="359"/>
      <c r="G4" s="153"/>
    </row>
    <row r="6" spans="1:7" x14ac:dyDescent="0.25">
      <c r="A6" s="153"/>
      <c r="B6" s="153"/>
      <c r="C6" s="153"/>
      <c r="D6" s="153"/>
      <c r="E6" s="153"/>
      <c r="F6" s="153"/>
      <c r="G6" s="153"/>
    </row>
    <row r="7" spans="1:7" x14ac:dyDescent="0.25">
      <c r="A7" s="153"/>
      <c r="B7" s="96"/>
      <c r="C7" s="153"/>
      <c r="D7" s="359" t="s">
        <v>128</v>
      </c>
      <c r="E7" s="359"/>
      <c r="F7" s="153"/>
      <c r="G7" s="153"/>
    </row>
    <row r="8" spans="1:7" x14ac:dyDescent="0.25">
      <c r="A8" s="151" t="s">
        <v>169</v>
      </c>
      <c r="B8" s="152" t="s">
        <v>168</v>
      </c>
      <c r="C8" s="153"/>
      <c r="D8" s="360" t="s">
        <v>129</v>
      </c>
      <c r="E8" s="360"/>
      <c r="F8" s="153"/>
      <c r="G8" s="152" t="s">
        <v>127</v>
      </c>
    </row>
    <row r="9" spans="1:7" x14ac:dyDescent="0.25">
      <c r="B9" s="334"/>
      <c r="C9" s="331"/>
      <c r="D9" s="331"/>
      <c r="E9" s="331"/>
    </row>
    <row r="10" spans="1:7" x14ac:dyDescent="0.25">
      <c r="A10" s="21" t="s">
        <v>212</v>
      </c>
      <c r="B10" s="328">
        <v>31145874</v>
      </c>
      <c r="C10" s="331"/>
      <c r="D10" s="71" t="s">
        <v>141</v>
      </c>
      <c r="E10" s="345">
        <v>5.61556E-2</v>
      </c>
      <c r="F10" s="8"/>
      <c r="G10" s="103">
        <f t="shared" ref="G10:G16" si="0">B10*E10</f>
        <v>1749015.2419944</v>
      </c>
    </row>
    <row r="11" spans="1:7" x14ac:dyDescent="0.25">
      <c r="A11" s="21" t="s">
        <v>224</v>
      </c>
      <c r="B11" s="328">
        <v>2064812</v>
      </c>
      <c r="C11" s="331"/>
      <c r="D11" s="71" t="s">
        <v>141</v>
      </c>
      <c r="E11" s="345">
        <v>5.61556E-2</v>
      </c>
      <c r="F11" s="8"/>
      <c r="G11" s="103">
        <f t="shared" si="0"/>
        <v>115950.75674719999</v>
      </c>
    </row>
    <row r="12" spans="1:7" x14ac:dyDescent="0.25">
      <c r="A12" s="21" t="s">
        <v>170</v>
      </c>
      <c r="B12" s="328">
        <v>33120695</v>
      </c>
      <c r="C12" s="331"/>
      <c r="D12" s="71" t="s">
        <v>140</v>
      </c>
      <c r="E12" s="330">
        <v>0</v>
      </c>
      <c r="F12" s="8"/>
      <c r="G12" s="103">
        <f t="shared" si="0"/>
        <v>0</v>
      </c>
    </row>
    <row r="13" spans="1:7" x14ac:dyDescent="0.25">
      <c r="A13" s="21" t="s">
        <v>171</v>
      </c>
      <c r="B13" s="328">
        <v>13042761</v>
      </c>
      <c r="C13" s="331"/>
      <c r="D13" s="325" t="s">
        <v>1277</v>
      </c>
      <c r="E13" s="330">
        <v>0</v>
      </c>
      <c r="F13" s="72"/>
      <c r="G13" s="277">
        <f>'Attach H - Acct 454.3'!I36</f>
        <v>3711529.3666114206</v>
      </c>
    </row>
    <row r="14" spans="1:7" x14ac:dyDescent="0.25">
      <c r="A14" s="21" t="s">
        <v>172</v>
      </c>
      <c r="B14" s="328">
        <v>4180486</v>
      </c>
      <c r="C14" s="331"/>
      <c r="D14" s="71" t="s">
        <v>76</v>
      </c>
      <c r="E14" s="319">
        <f>'Allocation Factors'!$H$21</f>
        <v>3.5773423890158328E-2</v>
      </c>
      <c r="F14" s="8"/>
      <c r="G14" s="103">
        <f t="shared" si="0"/>
        <v>149550.29774487243</v>
      </c>
    </row>
    <row r="15" spans="1:7" x14ac:dyDescent="0.25">
      <c r="A15" s="21" t="s">
        <v>173</v>
      </c>
      <c r="B15" s="328">
        <v>676786</v>
      </c>
      <c r="C15" s="331"/>
      <c r="D15" s="71" t="s">
        <v>140</v>
      </c>
      <c r="E15" s="330">
        <v>0</v>
      </c>
      <c r="F15" s="8"/>
      <c r="G15" s="103">
        <f t="shared" si="0"/>
        <v>0</v>
      </c>
    </row>
    <row r="16" spans="1:7" x14ac:dyDescent="0.25">
      <c r="A16" s="21" t="s">
        <v>174</v>
      </c>
      <c r="B16" s="328">
        <v>14020857</v>
      </c>
      <c r="C16" s="331"/>
      <c r="D16" s="71" t="s">
        <v>76</v>
      </c>
      <c r="E16" s="319">
        <f>'Allocation Factors'!$H$21</f>
        <v>3.5773423890158328E-2</v>
      </c>
      <c r="F16" s="8"/>
      <c r="G16" s="103">
        <f t="shared" si="0"/>
        <v>501574.06076429359</v>
      </c>
    </row>
    <row r="17" spans="1:7" x14ac:dyDescent="0.25">
      <c r="A17" s="2"/>
      <c r="B17" s="5"/>
      <c r="D17" s="71"/>
      <c r="E17" s="8"/>
      <c r="F17" s="8"/>
      <c r="G17" s="8"/>
    </row>
    <row r="18" spans="1:7" x14ac:dyDescent="0.25">
      <c r="A18" s="19" t="s">
        <v>438</v>
      </c>
      <c r="B18" s="61">
        <f>SUM(B10:B17)</f>
        <v>98252271</v>
      </c>
      <c r="D18" s="71"/>
      <c r="E18" s="8"/>
      <c r="F18" s="8"/>
      <c r="G18" s="61">
        <f>SUM(G10:G17)</f>
        <v>6227619.7238621861</v>
      </c>
    </row>
    <row r="19" spans="1:7" x14ac:dyDescent="0.25">
      <c r="A19" s="2"/>
      <c r="B19" s="5"/>
      <c r="D19" s="71"/>
      <c r="E19" s="8"/>
      <c r="F19" s="8"/>
      <c r="G19" s="8"/>
    </row>
    <row r="20" spans="1:7" x14ac:dyDescent="0.25">
      <c r="A20" s="2"/>
      <c r="B20" s="5"/>
      <c r="D20" s="71"/>
      <c r="E20" s="8"/>
      <c r="F20" s="8"/>
      <c r="G20" s="8"/>
    </row>
    <row r="21" spans="1:7" x14ac:dyDescent="0.25">
      <c r="A21" s="2"/>
      <c r="B21" s="5"/>
      <c r="D21" s="71"/>
      <c r="E21" s="8"/>
      <c r="F21" s="8"/>
      <c r="G21" s="8"/>
    </row>
    <row r="22" spans="1:7" x14ac:dyDescent="0.25">
      <c r="A22" s="2"/>
      <c r="B22" s="5"/>
      <c r="D22" s="71"/>
      <c r="E22" s="8"/>
      <c r="F22" s="8"/>
      <c r="G22" s="8"/>
    </row>
    <row r="23" spans="1:7" x14ac:dyDescent="0.25">
      <c r="A23" s="2"/>
      <c r="B23" s="5"/>
      <c r="D23" s="71"/>
      <c r="E23" s="8"/>
      <c r="F23" s="8"/>
      <c r="G23" s="8"/>
    </row>
    <row r="24" spans="1:7" x14ac:dyDescent="0.25">
      <c r="A24" s="2"/>
      <c r="B24" s="5"/>
      <c r="D24" s="71"/>
      <c r="E24" s="8"/>
      <c r="F24" s="8"/>
      <c r="G24" s="8"/>
    </row>
    <row r="25" spans="1:7" x14ac:dyDescent="0.25">
      <c r="A25" s="2"/>
      <c r="B25" s="5"/>
      <c r="D25" s="71"/>
      <c r="E25" s="8"/>
      <c r="F25" s="8"/>
      <c r="G25" s="8"/>
    </row>
    <row r="26" spans="1:7" x14ac:dyDescent="0.25">
      <c r="A26" s="2"/>
      <c r="B26" s="5"/>
      <c r="D26" s="71"/>
      <c r="E26" s="8"/>
      <c r="F26" s="8"/>
      <c r="G26" s="8"/>
    </row>
    <row r="27" spans="1:7" x14ac:dyDescent="0.25">
      <c r="A27" s="2"/>
      <c r="B27" s="5"/>
      <c r="D27" s="71"/>
      <c r="E27" s="8"/>
      <c r="F27" s="8"/>
      <c r="G27" s="8"/>
    </row>
    <row r="28" spans="1:7" x14ac:dyDescent="0.25">
      <c r="A28" s="2"/>
      <c r="B28" s="5"/>
      <c r="D28" s="71"/>
      <c r="E28" s="8"/>
      <c r="F28" s="8"/>
      <c r="G28" s="8"/>
    </row>
    <row r="29" spans="1:7" x14ac:dyDescent="0.25">
      <c r="A29" s="2"/>
      <c r="B29" s="5"/>
      <c r="D29" s="71"/>
      <c r="E29" s="8"/>
      <c r="F29" s="8"/>
      <c r="G29" s="8"/>
    </row>
    <row r="30" spans="1:7" x14ac:dyDescent="0.25">
      <c r="A30" s="2"/>
      <c r="B30" s="5"/>
      <c r="D30" s="71"/>
      <c r="E30" s="8"/>
      <c r="F30" s="8"/>
      <c r="G30" s="8"/>
    </row>
    <row r="31" spans="1:7" x14ac:dyDescent="0.25">
      <c r="A31" s="2"/>
      <c r="B31" s="5"/>
      <c r="D31" s="71"/>
      <c r="E31" s="8"/>
      <c r="F31" s="8"/>
      <c r="G31" s="8"/>
    </row>
    <row r="32" spans="1:7" x14ac:dyDescent="0.25">
      <c r="A32" s="2"/>
      <c r="B32" s="5"/>
      <c r="D32" s="71"/>
      <c r="E32" s="8"/>
      <c r="F32" s="8"/>
      <c r="G32" s="8"/>
    </row>
    <row r="33" spans="1:7" x14ac:dyDescent="0.25">
      <c r="A33" s="2"/>
      <c r="B33" s="5"/>
      <c r="D33" s="71"/>
      <c r="E33" s="8"/>
      <c r="F33" s="8"/>
      <c r="G33" s="8"/>
    </row>
    <row r="34" spans="1:7" x14ac:dyDescent="0.25">
      <c r="A34" s="2"/>
      <c r="B34" s="5"/>
      <c r="D34" s="71"/>
      <c r="E34" s="8"/>
      <c r="F34" s="8"/>
      <c r="G34" s="8"/>
    </row>
    <row r="35" spans="1:7" x14ac:dyDescent="0.25">
      <c r="A35" s="2"/>
      <c r="B35" s="5"/>
      <c r="D35" s="71"/>
      <c r="E35" s="8"/>
      <c r="F35" s="8"/>
      <c r="G35" s="8"/>
    </row>
    <row r="36" spans="1:7" x14ac:dyDescent="0.25">
      <c r="A36" s="2"/>
      <c r="B36" s="5"/>
      <c r="D36" s="71"/>
      <c r="E36" s="8"/>
      <c r="F36" s="8"/>
      <c r="G36" s="8"/>
    </row>
    <row r="37" spans="1:7" x14ac:dyDescent="0.25">
      <c r="A37" s="2"/>
      <c r="B37" s="5"/>
      <c r="D37" s="71"/>
      <c r="E37" s="8"/>
      <c r="F37" s="8"/>
      <c r="G37" s="8"/>
    </row>
    <row r="38" spans="1:7" x14ac:dyDescent="0.25">
      <c r="A38" s="2"/>
      <c r="B38" s="5"/>
      <c r="D38" s="71"/>
      <c r="E38" s="8"/>
      <c r="F38" s="8"/>
      <c r="G38" s="8"/>
    </row>
    <row r="39" spans="1:7" x14ac:dyDescent="0.25">
      <c r="A39" s="2"/>
      <c r="B39" s="5"/>
      <c r="D39" s="71"/>
      <c r="E39" s="8"/>
      <c r="F39" s="8"/>
      <c r="G39" s="8"/>
    </row>
    <row r="40" spans="1:7" x14ac:dyDescent="0.25">
      <c r="A40" s="2"/>
      <c r="B40" s="5"/>
      <c r="D40" s="71"/>
      <c r="E40" s="8"/>
      <c r="F40" s="8"/>
      <c r="G40" s="8"/>
    </row>
    <row r="41" spans="1:7" x14ac:dyDescent="0.25">
      <c r="A41" s="2"/>
      <c r="B41" s="5"/>
      <c r="D41" s="71"/>
      <c r="E41" s="8"/>
      <c r="F41" s="8"/>
      <c r="G41" s="8"/>
    </row>
    <row r="42" spans="1:7" x14ac:dyDescent="0.25">
      <c r="A42" s="2"/>
      <c r="B42" s="5"/>
      <c r="D42" s="71"/>
      <c r="E42" s="8"/>
      <c r="F42" s="8"/>
      <c r="G42" s="8"/>
    </row>
    <row r="43" spans="1:7" x14ac:dyDescent="0.25">
      <c r="A43" s="2"/>
      <c r="B43" s="5"/>
      <c r="D43" s="71"/>
      <c r="E43" s="8"/>
      <c r="F43" s="8"/>
      <c r="G43" s="8"/>
    </row>
    <row r="44" spans="1:7" x14ac:dyDescent="0.25">
      <c r="A44" s="2"/>
      <c r="B44" s="5"/>
      <c r="D44" s="71"/>
      <c r="E44" s="8"/>
      <c r="F44" s="8"/>
      <c r="G44" s="8"/>
    </row>
    <row r="45" spans="1:7" x14ac:dyDescent="0.25">
      <c r="A45" s="2"/>
      <c r="B45" s="5"/>
      <c r="D45" s="71"/>
      <c r="E45" s="8"/>
      <c r="F45" s="8"/>
      <c r="G45" s="8"/>
    </row>
    <row r="46" spans="1:7" x14ac:dyDescent="0.25">
      <c r="A46" s="2"/>
      <c r="B46" s="5"/>
      <c r="D46" s="71"/>
      <c r="E46" s="8"/>
      <c r="F46" s="8"/>
      <c r="G46" s="8"/>
    </row>
    <row r="47" spans="1:7" x14ac:dyDescent="0.25">
      <c r="A47" s="2"/>
      <c r="B47" s="5"/>
      <c r="D47" s="71"/>
      <c r="E47" s="8"/>
      <c r="F47" s="8"/>
      <c r="G47" s="8"/>
    </row>
    <row r="48" spans="1:7" x14ac:dyDescent="0.25">
      <c r="A48" s="2"/>
      <c r="B48" s="5"/>
      <c r="D48" s="71"/>
      <c r="E48" s="8"/>
      <c r="F48" s="8"/>
      <c r="G48" s="8"/>
    </row>
    <row r="49" spans="1:7" x14ac:dyDescent="0.25">
      <c r="A49" s="2"/>
      <c r="B49" s="5"/>
      <c r="D49" s="71"/>
      <c r="E49" s="8"/>
      <c r="F49" s="8"/>
      <c r="G49" s="8"/>
    </row>
    <row r="50" spans="1:7" x14ac:dyDescent="0.25">
      <c r="A50" s="2"/>
      <c r="B50" s="5"/>
      <c r="D50" s="71"/>
      <c r="E50" s="8"/>
      <c r="F50" s="8"/>
      <c r="G50" s="8"/>
    </row>
    <row r="51" spans="1:7" x14ac:dyDescent="0.25">
      <c r="A51" s="2"/>
      <c r="B51" s="5"/>
      <c r="D51" s="71"/>
      <c r="E51" s="8"/>
      <c r="F51" s="8"/>
      <c r="G51" s="8"/>
    </row>
    <row r="52" spans="1:7" x14ac:dyDescent="0.25">
      <c r="A52" s="2"/>
      <c r="B52" s="5"/>
      <c r="D52" s="71"/>
      <c r="E52" s="8"/>
      <c r="F52" s="8"/>
      <c r="G52" s="8"/>
    </row>
    <row r="53" spans="1:7" x14ac:dyDescent="0.25">
      <c r="A53" s="2"/>
      <c r="B53" s="5"/>
      <c r="D53" s="71"/>
      <c r="E53" s="8"/>
      <c r="F53" s="8"/>
      <c r="G53" s="8"/>
    </row>
    <row r="54" spans="1:7" x14ac:dyDescent="0.25">
      <c r="A54" s="2"/>
    </row>
    <row r="56" spans="1:7" x14ac:dyDescent="0.25">
      <c r="A56" s="2"/>
      <c r="B56" s="5"/>
      <c r="G56" s="8"/>
    </row>
    <row r="57" spans="1:7" x14ac:dyDescent="0.25">
      <c r="A57" s="2"/>
      <c r="B57" s="5"/>
      <c r="G57" s="8"/>
    </row>
    <row r="58" spans="1:7" x14ac:dyDescent="0.25">
      <c r="A58" s="2"/>
      <c r="B58" s="5"/>
      <c r="G58" s="8"/>
    </row>
    <row r="59" spans="1:7" x14ac:dyDescent="0.25">
      <c r="A59" s="2"/>
      <c r="B59" s="5"/>
      <c r="G59" s="8"/>
    </row>
    <row r="60" spans="1:7" x14ac:dyDescent="0.25">
      <c r="A60" s="2"/>
      <c r="B60" s="5"/>
      <c r="G60" s="8"/>
    </row>
    <row r="61" spans="1:7" x14ac:dyDescent="0.25">
      <c r="A61" s="2"/>
      <c r="B61" s="5"/>
      <c r="G61" s="8"/>
    </row>
    <row r="62" spans="1:7" x14ac:dyDescent="0.25">
      <c r="A62" s="2"/>
      <c r="B62" s="5"/>
      <c r="G62" s="8"/>
    </row>
    <row r="63" spans="1:7" x14ac:dyDescent="0.25">
      <c r="A63" s="2"/>
      <c r="B63" s="5"/>
      <c r="G63" s="8"/>
    </row>
    <row r="64" spans="1:7" x14ac:dyDescent="0.25">
      <c r="A64" s="2"/>
      <c r="B64" s="5"/>
      <c r="G64" s="8"/>
    </row>
    <row r="65" spans="1:7" x14ac:dyDescent="0.25">
      <c r="A65" s="2"/>
      <c r="B65" s="5"/>
      <c r="G65" s="8"/>
    </row>
    <row r="66" spans="1:7" x14ac:dyDescent="0.25">
      <c r="A66" s="2"/>
      <c r="B66" s="5"/>
      <c r="G66" s="8"/>
    </row>
    <row r="67" spans="1:7" x14ac:dyDescent="0.25">
      <c r="A67" s="2"/>
      <c r="B67" s="5"/>
      <c r="G67" s="8"/>
    </row>
    <row r="68" spans="1:7" x14ac:dyDescent="0.25">
      <c r="A68" s="2"/>
      <c r="B68" s="5"/>
      <c r="G68" s="8"/>
    </row>
    <row r="69" spans="1:7" x14ac:dyDescent="0.25">
      <c r="E69" s="8"/>
      <c r="F69" s="8"/>
      <c r="G69" s="8"/>
    </row>
    <row r="70" spans="1:7" x14ac:dyDescent="0.25">
      <c r="A70" s="2"/>
      <c r="E70" s="8"/>
      <c r="F70" s="8"/>
      <c r="G70" s="8"/>
    </row>
    <row r="72" spans="1:7" x14ac:dyDescent="0.25">
      <c r="G72" s="97"/>
    </row>
  </sheetData>
  <mergeCells count="6">
    <mergeCell ref="D7:E7"/>
    <mergeCell ref="D8:E8"/>
    <mergeCell ref="A1:F1"/>
    <mergeCell ref="A2:F2"/>
    <mergeCell ref="A4:F4"/>
    <mergeCell ref="A3:F3"/>
  </mergeCells>
  <pageMargins left="0.7" right="0.7" top="0.75" bottom="0.75" header="0.3" footer="0.3"/>
  <pageSetup scale="77"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90" zoomScaleNormal="90" workbookViewId="0">
      <selection sqref="A1:H1"/>
    </sheetView>
  </sheetViews>
  <sheetFormatPr defaultRowHeight="15" x14ac:dyDescent="0.25"/>
  <cols>
    <col min="1" max="1" width="6.7109375" style="6" bestFit="1" customWidth="1"/>
    <col min="2" max="2" width="9.140625" style="6" customWidth="1"/>
    <col min="3" max="4" width="9.140625" style="6"/>
    <col min="5" max="5" width="14.7109375" style="6" customWidth="1"/>
    <col min="6" max="6" width="5" style="6" customWidth="1"/>
    <col min="7" max="7" width="39.42578125" style="6" bestFit="1" customWidth="1"/>
    <col min="8" max="8" width="5" style="6" customWidth="1"/>
    <col min="9" max="9" width="18.42578125" style="6" bestFit="1" customWidth="1"/>
    <col min="10" max="10" width="21.85546875" style="6" bestFit="1" customWidth="1"/>
    <col min="11" max="11" width="23.140625" style="6" customWidth="1"/>
    <col min="12" max="16384" width="9.140625" style="6"/>
  </cols>
  <sheetData>
    <row r="1" spans="1:10" x14ac:dyDescent="0.25">
      <c r="A1" s="359" t="s">
        <v>0</v>
      </c>
      <c r="B1" s="359"/>
      <c r="C1" s="359"/>
      <c r="D1" s="359"/>
      <c r="E1" s="359"/>
      <c r="F1" s="359"/>
      <c r="G1" s="359"/>
      <c r="H1" s="359"/>
      <c r="I1" s="151" t="s">
        <v>406</v>
      </c>
      <c r="J1" s="151"/>
    </row>
    <row r="2" spans="1:10" x14ac:dyDescent="0.25">
      <c r="A2" s="359" t="s">
        <v>116</v>
      </c>
      <c r="B2" s="359"/>
      <c r="C2" s="359"/>
      <c r="D2" s="359"/>
      <c r="E2" s="359"/>
      <c r="F2" s="359"/>
      <c r="G2" s="359"/>
      <c r="H2" s="359"/>
      <c r="I2" s="151" t="s">
        <v>264</v>
      </c>
      <c r="J2" s="153"/>
    </row>
    <row r="3" spans="1:10" x14ac:dyDescent="0.25">
      <c r="A3" s="361"/>
      <c r="B3" s="361"/>
      <c r="C3" s="361"/>
      <c r="D3" s="361"/>
      <c r="E3" s="361"/>
      <c r="F3" s="361"/>
      <c r="G3" s="361"/>
      <c r="H3" s="361"/>
      <c r="I3" s="361"/>
    </row>
    <row r="4" spans="1:10" x14ac:dyDescent="0.25">
      <c r="A4" s="359" t="s">
        <v>288</v>
      </c>
      <c r="B4" s="359"/>
      <c r="C4" s="359"/>
      <c r="D4" s="359"/>
      <c r="E4" s="359"/>
      <c r="F4" s="359"/>
      <c r="G4" s="359"/>
      <c r="H4" s="359"/>
      <c r="I4" s="26"/>
      <c r="J4" s="153"/>
    </row>
    <row r="6" spans="1:10" x14ac:dyDescent="0.25">
      <c r="A6" s="76" t="s">
        <v>2</v>
      </c>
      <c r="I6" s="98"/>
    </row>
    <row r="7" spans="1:10" x14ac:dyDescent="0.25">
      <c r="B7" s="99" t="s">
        <v>298</v>
      </c>
      <c r="C7" s="100"/>
      <c r="D7" s="100"/>
      <c r="E7" s="101"/>
      <c r="F7" s="13"/>
      <c r="G7" s="24" t="s">
        <v>4</v>
      </c>
      <c r="H7" s="13"/>
      <c r="I7" s="332" t="s">
        <v>168</v>
      </c>
    </row>
    <row r="8" spans="1:10" x14ac:dyDescent="0.25">
      <c r="A8" s="6">
        <v>1</v>
      </c>
      <c r="B8" s="6" t="s">
        <v>289</v>
      </c>
      <c r="G8" s="153" t="s">
        <v>262</v>
      </c>
      <c r="I8" s="193">
        <f>'Attach G - Acct 454'!B13</f>
        <v>13042761</v>
      </c>
    </row>
    <row r="9" spans="1:10" x14ac:dyDescent="0.25">
      <c r="A9" s="6">
        <v>2</v>
      </c>
      <c r="B9" s="6" t="s">
        <v>290</v>
      </c>
      <c r="G9" s="153" t="s">
        <v>141</v>
      </c>
      <c r="I9" s="291">
        <v>2619521.94</v>
      </c>
    </row>
    <row r="10" spans="1:10" x14ac:dyDescent="0.25">
      <c r="A10" s="6">
        <v>3</v>
      </c>
      <c r="B10" s="6" t="s">
        <v>291</v>
      </c>
      <c r="G10" s="153" t="s">
        <v>301</v>
      </c>
      <c r="I10" s="9">
        <f>I8-I9</f>
        <v>10423239.060000001</v>
      </c>
    </row>
    <row r="11" spans="1:10" x14ac:dyDescent="0.25">
      <c r="G11" s="153"/>
      <c r="I11" s="9"/>
    </row>
    <row r="12" spans="1:10" x14ac:dyDescent="0.25">
      <c r="A12" s="6">
        <v>4</v>
      </c>
      <c r="B12" s="6" t="s">
        <v>292</v>
      </c>
      <c r="G12" s="153" t="s">
        <v>911</v>
      </c>
      <c r="I12" s="88">
        <f>'Revenue Requirement'!E57</f>
        <v>0.23670199999999997</v>
      </c>
    </row>
    <row r="13" spans="1:10" x14ac:dyDescent="0.25">
      <c r="G13" s="153"/>
      <c r="I13" s="9"/>
    </row>
    <row r="14" spans="1:10" x14ac:dyDescent="0.25">
      <c r="A14" s="6">
        <v>5</v>
      </c>
      <c r="B14" s="6" t="s">
        <v>293</v>
      </c>
      <c r="G14" s="153" t="s">
        <v>926</v>
      </c>
      <c r="I14" s="9">
        <f>I10-(I10*I12)</f>
        <v>7956037.5280198809</v>
      </c>
    </row>
    <row r="15" spans="1:10" x14ac:dyDescent="0.25">
      <c r="A15" s="6">
        <v>6</v>
      </c>
      <c r="B15" s="6" t="s">
        <v>294</v>
      </c>
      <c r="G15" s="153" t="s">
        <v>440</v>
      </c>
      <c r="I15" s="88">
        <f>'Allocation Factors'!H13</f>
        <v>0.92469611331494961</v>
      </c>
    </row>
    <row r="16" spans="1:10" x14ac:dyDescent="0.25">
      <c r="A16" s="6">
        <v>7</v>
      </c>
      <c r="B16" s="6" t="s">
        <v>295</v>
      </c>
      <c r="G16" s="153" t="s">
        <v>302</v>
      </c>
      <c r="I16" s="9">
        <f>I14*I15</f>
        <v>7356916.9795478629</v>
      </c>
    </row>
    <row r="17" spans="1:9" x14ac:dyDescent="0.25">
      <c r="A17" s="6">
        <v>8</v>
      </c>
      <c r="B17" s="6" t="s">
        <v>296</v>
      </c>
      <c r="G17" s="153" t="s">
        <v>461</v>
      </c>
      <c r="I17" s="346">
        <v>0.5</v>
      </c>
    </row>
    <row r="18" spans="1:9" x14ac:dyDescent="0.25">
      <c r="A18" s="6">
        <v>9</v>
      </c>
      <c r="B18" s="6" t="s">
        <v>297</v>
      </c>
      <c r="G18" s="153" t="s">
        <v>912</v>
      </c>
      <c r="I18" s="9">
        <f>I16*I17</f>
        <v>3678458.4897739314</v>
      </c>
    </row>
    <row r="19" spans="1:9" x14ac:dyDescent="0.25">
      <c r="G19" s="153"/>
      <c r="I19" s="331"/>
    </row>
    <row r="20" spans="1:9" x14ac:dyDescent="0.25">
      <c r="B20" s="99" t="s">
        <v>299</v>
      </c>
      <c r="C20" s="100"/>
      <c r="D20" s="100"/>
      <c r="E20" s="101"/>
      <c r="F20" s="13"/>
      <c r="G20" s="102"/>
      <c r="H20" s="13"/>
      <c r="I20" s="331"/>
    </row>
    <row r="21" spans="1:9" x14ac:dyDescent="0.25">
      <c r="A21" s="6">
        <v>10</v>
      </c>
      <c r="B21" s="6" t="s">
        <v>289</v>
      </c>
      <c r="G21" s="153"/>
      <c r="I21" s="324">
        <v>0</v>
      </c>
    </row>
    <row r="22" spans="1:9" x14ac:dyDescent="0.25">
      <c r="A22" s="6">
        <v>11</v>
      </c>
      <c r="B22" s="6" t="s">
        <v>290</v>
      </c>
      <c r="G22" s="153" t="s">
        <v>471</v>
      </c>
      <c r="I22" s="189">
        <f>I9*'Revenue Requirement'!H23</f>
        <v>93709.268749189883</v>
      </c>
    </row>
    <row r="23" spans="1:9" x14ac:dyDescent="0.25">
      <c r="A23" s="6">
        <v>12</v>
      </c>
      <c r="B23" s="6" t="s">
        <v>291</v>
      </c>
      <c r="G23" s="153" t="s">
        <v>303</v>
      </c>
      <c r="I23" s="9">
        <f>I21-I22</f>
        <v>-93709.268749189883</v>
      </c>
    </row>
    <row r="24" spans="1:9" x14ac:dyDescent="0.25">
      <c r="G24" s="153"/>
      <c r="I24" s="9"/>
    </row>
    <row r="25" spans="1:9" x14ac:dyDescent="0.25">
      <c r="A25" s="6">
        <v>13</v>
      </c>
      <c r="B25" s="6" t="s">
        <v>292</v>
      </c>
      <c r="G25" s="153" t="s">
        <v>439</v>
      </c>
      <c r="I25" s="88">
        <f>'Revenue Requirement'!E57</f>
        <v>0.23670199999999997</v>
      </c>
    </row>
    <row r="26" spans="1:9" x14ac:dyDescent="0.25">
      <c r="G26" s="153"/>
      <c r="I26" s="9"/>
    </row>
    <row r="27" spans="1:9" x14ac:dyDescent="0.25">
      <c r="A27" s="6">
        <v>14</v>
      </c>
      <c r="B27" s="6" t="s">
        <v>293</v>
      </c>
      <c r="G27" s="153" t="s">
        <v>441</v>
      </c>
      <c r="I27" s="9">
        <f>I23-(I23*I25)</f>
        <v>-71528.097417719138</v>
      </c>
    </row>
    <row r="28" spans="1:9" x14ac:dyDescent="0.25">
      <c r="A28" s="6">
        <v>15</v>
      </c>
      <c r="B28" s="6" t="s">
        <v>294</v>
      </c>
      <c r="G28" s="153" t="s">
        <v>440</v>
      </c>
      <c r="I28" s="88">
        <f>'Allocation Factors'!H13</f>
        <v>0.92469611331494961</v>
      </c>
    </row>
    <row r="29" spans="1:9" x14ac:dyDescent="0.25">
      <c r="A29" s="6">
        <v>16</v>
      </c>
      <c r="B29" s="6" t="s">
        <v>295</v>
      </c>
      <c r="G29" s="153" t="s">
        <v>442</v>
      </c>
      <c r="I29" s="9">
        <f>I27*I28</f>
        <v>-66141.753674977968</v>
      </c>
    </row>
    <row r="30" spans="1:9" x14ac:dyDescent="0.25">
      <c r="A30" s="6">
        <v>17</v>
      </c>
      <c r="B30" s="6" t="s">
        <v>296</v>
      </c>
      <c r="G30" s="153" t="s">
        <v>461</v>
      </c>
      <c r="I30" s="346">
        <v>0.5</v>
      </c>
    </row>
    <row r="31" spans="1:9" x14ac:dyDescent="0.25">
      <c r="A31" s="6">
        <v>18</v>
      </c>
      <c r="B31" s="6" t="s">
        <v>297</v>
      </c>
      <c r="G31" s="153" t="s">
        <v>443</v>
      </c>
      <c r="I31" s="9">
        <f>I29*I30</f>
        <v>-33070.876837488984</v>
      </c>
    </row>
    <row r="32" spans="1:9" x14ac:dyDescent="0.25">
      <c r="G32" s="153"/>
    </row>
    <row r="33" spans="1:9" x14ac:dyDescent="0.25">
      <c r="B33" s="99" t="s">
        <v>300</v>
      </c>
      <c r="C33" s="100"/>
      <c r="D33" s="100"/>
      <c r="E33" s="101"/>
      <c r="F33" s="13"/>
      <c r="G33" s="102"/>
      <c r="H33" s="13"/>
    </row>
    <row r="34" spans="1:9" x14ac:dyDescent="0.25">
      <c r="A34" s="6">
        <v>19</v>
      </c>
      <c r="B34" s="6" t="s">
        <v>472</v>
      </c>
      <c r="G34" s="153" t="s">
        <v>304</v>
      </c>
      <c r="I34" s="9">
        <f>I18</f>
        <v>3678458.4897739314</v>
      </c>
    </row>
    <row r="35" spans="1:9" x14ac:dyDescent="0.25">
      <c r="A35" s="6">
        <v>20</v>
      </c>
      <c r="B35" s="6" t="s">
        <v>474</v>
      </c>
      <c r="G35" s="153" t="s">
        <v>444</v>
      </c>
      <c r="I35" s="9">
        <f>I31</f>
        <v>-33070.876837488984</v>
      </c>
    </row>
    <row r="36" spans="1:9" x14ac:dyDescent="0.25">
      <c r="A36" s="6">
        <v>21</v>
      </c>
      <c r="B36" s="6" t="s">
        <v>473</v>
      </c>
      <c r="G36" s="153" t="s">
        <v>305</v>
      </c>
      <c r="I36" s="9">
        <f>I34-I35</f>
        <v>3711529.3666114206</v>
      </c>
    </row>
    <row r="37" spans="1:9" x14ac:dyDescent="0.25">
      <c r="G37" s="153"/>
    </row>
    <row r="38" spans="1:9" x14ac:dyDescent="0.25">
      <c r="G38" s="153"/>
    </row>
    <row r="39" spans="1:9" x14ac:dyDescent="0.25">
      <c r="G39" s="153"/>
    </row>
    <row r="40" spans="1:9" x14ac:dyDescent="0.25">
      <c r="G40" s="153"/>
    </row>
  </sheetData>
  <mergeCells count="4">
    <mergeCell ref="A1:H1"/>
    <mergeCell ref="A2:H2"/>
    <mergeCell ref="A3:I3"/>
    <mergeCell ref="A4:H4"/>
  </mergeCells>
  <pageMargins left="0.7" right="0.7" top="0.75" bottom="0.75" header="0.3" footer="0.3"/>
  <pageSetup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zoomScale="82" zoomScaleNormal="82" workbookViewId="0">
      <selection sqref="A1:J1"/>
    </sheetView>
  </sheetViews>
  <sheetFormatPr defaultRowHeight="15" x14ac:dyDescent="0.25"/>
  <cols>
    <col min="1" max="1" width="13.42578125" style="6" bestFit="1" customWidth="1"/>
    <col min="2" max="2" width="96" style="6" customWidth="1"/>
    <col min="3" max="3" width="12.7109375" style="6" bestFit="1" customWidth="1"/>
    <col min="4" max="4" width="1.7109375" style="6" customWidth="1"/>
    <col min="5" max="5" width="14.7109375" style="6" bestFit="1" customWidth="1"/>
    <col min="6" max="6" width="1.7109375" style="6" customWidth="1"/>
    <col min="7" max="7" width="12" style="6" bestFit="1" customWidth="1"/>
    <col min="8" max="8" width="1.85546875" style="6" customWidth="1"/>
    <col min="9" max="9" width="15" style="6" bestFit="1" customWidth="1"/>
    <col min="10" max="10" width="1.7109375" style="6" customWidth="1"/>
    <col min="11" max="11" width="23.140625" style="6" customWidth="1"/>
    <col min="12" max="12" width="53.5703125" style="201" bestFit="1" customWidth="1"/>
    <col min="13" max="13" width="14.28515625" style="6" bestFit="1" customWidth="1"/>
    <col min="14" max="16384" width="9.140625" style="6"/>
  </cols>
  <sheetData>
    <row r="1" spans="1:11" x14ac:dyDescent="0.25">
      <c r="A1" s="359" t="s">
        <v>0</v>
      </c>
      <c r="B1" s="359"/>
      <c r="C1" s="359"/>
      <c r="D1" s="359"/>
      <c r="E1" s="359"/>
      <c r="F1" s="359"/>
      <c r="G1" s="359"/>
      <c r="H1" s="359"/>
      <c r="I1" s="359"/>
      <c r="J1" s="359"/>
      <c r="K1" s="151" t="s">
        <v>406</v>
      </c>
    </row>
    <row r="2" spans="1:11" x14ac:dyDescent="0.25">
      <c r="A2" s="359" t="s">
        <v>116</v>
      </c>
      <c r="B2" s="359"/>
      <c r="C2" s="359"/>
      <c r="D2" s="359"/>
      <c r="E2" s="359"/>
      <c r="F2" s="359"/>
      <c r="G2" s="359"/>
      <c r="H2" s="359"/>
      <c r="I2" s="359"/>
      <c r="J2" s="359"/>
      <c r="K2" s="151" t="s">
        <v>234</v>
      </c>
    </row>
    <row r="3" spans="1:11" x14ac:dyDescent="0.25">
      <c r="A3" s="359"/>
      <c r="B3" s="359"/>
      <c r="C3" s="359"/>
      <c r="D3" s="359"/>
      <c r="E3" s="359"/>
      <c r="F3" s="359"/>
      <c r="G3" s="359"/>
      <c r="H3" s="359"/>
      <c r="I3" s="359"/>
      <c r="J3" s="359"/>
    </row>
    <row r="4" spans="1:11" x14ac:dyDescent="0.25">
      <c r="A4" s="359" t="s">
        <v>143</v>
      </c>
      <c r="B4" s="359"/>
      <c r="C4" s="359"/>
      <c r="D4" s="359"/>
      <c r="E4" s="359"/>
      <c r="F4" s="359"/>
      <c r="G4" s="359"/>
      <c r="H4" s="359"/>
      <c r="I4" s="359"/>
      <c r="J4" s="359"/>
      <c r="K4" s="10"/>
    </row>
    <row r="6" spans="1:11" x14ac:dyDescent="0.25">
      <c r="A6" s="153" t="s">
        <v>149</v>
      </c>
      <c r="C6" s="153" t="s">
        <v>144</v>
      </c>
      <c r="D6" s="153"/>
      <c r="E6" s="153" t="s">
        <v>229</v>
      </c>
      <c r="F6" s="153"/>
      <c r="G6" s="153" t="s">
        <v>161</v>
      </c>
      <c r="H6" s="153"/>
      <c r="I6" s="153" t="s">
        <v>147</v>
      </c>
      <c r="J6" s="153"/>
      <c r="K6" s="153" t="s">
        <v>145</v>
      </c>
    </row>
    <row r="7" spans="1:11" x14ac:dyDescent="0.25">
      <c r="A7" s="153" t="s">
        <v>4</v>
      </c>
      <c r="B7" s="153" t="s">
        <v>148</v>
      </c>
      <c r="C7" s="96"/>
      <c r="D7" s="153"/>
      <c r="E7" s="153" t="s">
        <v>162</v>
      </c>
      <c r="F7" s="153"/>
      <c r="G7" s="153" t="s">
        <v>162</v>
      </c>
      <c r="H7" s="153"/>
      <c r="I7" s="153" t="s">
        <v>146</v>
      </c>
      <c r="J7" s="153"/>
      <c r="K7" s="153"/>
    </row>
    <row r="8" spans="1:11" x14ac:dyDescent="0.25">
      <c r="B8" s="153" t="s">
        <v>150</v>
      </c>
      <c r="C8" s="153" t="s">
        <v>151</v>
      </c>
      <c r="D8" s="153"/>
      <c r="E8" s="153" t="s">
        <v>152</v>
      </c>
      <c r="F8" s="153"/>
      <c r="G8" s="153" t="s">
        <v>163</v>
      </c>
      <c r="H8" s="153"/>
      <c r="I8" s="153" t="s">
        <v>153</v>
      </c>
      <c r="J8" s="153"/>
      <c r="K8" s="153" t="s">
        <v>154</v>
      </c>
    </row>
    <row r="9" spans="1:11" x14ac:dyDescent="0.25">
      <c r="C9" s="153"/>
    </row>
    <row r="10" spans="1:11" x14ac:dyDescent="0.25">
      <c r="A10" s="331" t="s">
        <v>1151</v>
      </c>
      <c r="B10" s="259" t="s">
        <v>1125</v>
      </c>
      <c r="C10" s="259" t="s">
        <v>160</v>
      </c>
      <c r="D10" s="259"/>
      <c r="E10" s="324">
        <v>1923075</v>
      </c>
      <c r="F10" s="324"/>
      <c r="G10" s="324">
        <v>2371</v>
      </c>
      <c r="H10" s="324"/>
      <c r="I10" s="324">
        <v>0</v>
      </c>
      <c r="J10" s="324"/>
      <c r="K10" s="324">
        <f>E10+G10+I10</f>
        <v>1925446</v>
      </c>
    </row>
    <row r="11" spans="1:11" x14ac:dyDescent="0.25">
      <c r="A11" s="331" t="s">
        <v>1152</v>
      </c>
      <c r="B11" s="259" t="s">
        <v>1125</v>
      </c>
      <c r="C11" s="259" t="s">
        <v>160</v>
      </c>
      <c r="D11" s="259"/>
      <c r="E11" s="324">
        <v>3885000</v>
      </c>
      <c r="F11" s="324"/>
      <c r="G11" s="324">
        <v>305</v>
      </c>
      <c r="H11" s="324"/>
      <c r="I11" s="324">
        <v>0</v>
      </c>
      <c r="J11" s="324"/>
      <c r="K11" s="324">
        <f t="shared" ref="K11:K74" si="0">E11+G11+I11</f>
        <v>3885305</v>
      </c>
    </row>
    <row r="12" spans="1:11" x14ac:dyDescent="0.25">
      <c r="A12" s="331" t="s">
        <v>1153</v>
      </c>
      <c r="B12" s="259" t="s">
        <v>1125</v>
      </c>
      <c r="C12" s="259" t="s">
        <v>159</v>
      </c>
      <c r="D12" s="259"/>
      <c r="E12" s="324">
        <v>0</v>
      </c>
      <c r="F12" s="324"/>
      <c r="G12" s="324">
        <v>0</v>
      </c>
      <c r="H12" s="324"/>
      <c r="I12" s="324">
        <v>-119439</v>
      </c>
      <c r="J12" s="324"/>
      <c r="K12" s="324">
        <f t="shared" si="0"/>
        <v>-119439</v>
      </c>
    </row>
    <row r="13" spans="1:11" x14ac:dyDescent="0.25">
      <c r="A13" s="331" t="s">
        <v>1154</v>
      </c>
      <c r="B13" s="259" t="s">
        <v>1125</v>
      </c>
      <c r="C13" s="259" t="s">
        <v>158</v>
      </c>
      <c r="D13" s="259"/>
      <c r="E13" s="324">
        <v>-287770</v>
      </c>
      <c r="F13" s="324"/>
      <c r="G13" s="324">
        <v>0</v>
      </c>
      <c r="H13" s="324"/>
      <c r="I13" s="324">
        <v>80984</v>
      </c>
      <c r="J13" s="324"/>
      <c r="K13" s="324">
        <f t="shared" si="0"/>
        <v>-206786</v>
      </c>
    </row>
    <row r="14" spans="1:11" x14ac:dyDescent="0.25">
      <c r="A14" s="331" t="s">
        <v>1155</v>
      </c>
      <c r="B14" s="259" t="s">
        <v>155</v>
      </c>
      <c r="C14" s="259" t="s">
        <v>158</v>
      </c>
      <c r="D14" s="259"/>
      <c r="E14" s="324">
        <v>-280</v>
      </c>
      <c r="F14" s="324"/>
      <c r="G14" s="324">
        <v>1937</v>
      </c>
      <c r="H14" s="324"/>
      <c r="I14" s="324">
        <v>5409</v>
      </c>
      <c r="J14" s="324"/>
      <c r="K14" s="324">
        <f t="shared" si="0"/>
        <v>7066</v>
      </c>
    </row>
    <row r="15" spans="1:11" x14ac:dyDescent="0.25">
      <c r="A15" s="331" t="s">
        <v>1156</v>
      </c>
      <c r="B15" s="259" t="s">
        <v>1218</v>
      </c>
      <c r="C15" s="259" t="s">
        <v>158</v>
      </c>
      <c r="D15" s="259"/>
      <c r="E15" s="324">
        <v>-1728</v>
      </c>
      <c r="F15" s="324"/>
      <c r="G15" s="324">
        <v>43815</v>
      </c>
      <c r="H15" s="324"/>
      <c r="I15" s="324">
        <v>679229</v>
      </c>
      <c r="J15" s="324"/>
      <c r="K15" s="324">
        <f t="shared" si="0"/>
        <v>721316</v>
      </c>
    </row>
    <row r="16" spans="1:11" x14ac:dyDescent="0.25">
      <c r="A16" s="331" t="s">
        <v>1157</v>
      </c>
      <c r="B16" s="259" t="s">
        <v>1218</v>
      </c>
      <c r="C16" s="259" t="s">
        <v>159</v>
      </c>
      <c r="D16" s="259"/>
      <c r="E16" s="324">
        <v>0</v>
      </c>
      <c r="F16" s="324"/>
      <c r="G16" s="324">
        <v>99368</v>
      </c>
      <c r="H16" s="324"/>
      <c r="I16" s="324">
        <v>2232586</v>
      </c>
      <c r="J16" s="324"/>
      <c r="K16" s="324">
        <f t="shared" si="0"/>
        <v>2331954</v>
      </c>
    </row>
    <row r="17" spans="1:11" x14ac:dyDescent="0.25">
      <c r="A17" s="331" t="s">
        <v>1158</v>
      </c>
      <c r="B17" s="259" t="s">
        <v>1219</v>
      </c>
      <c r="C17" s="259" t="s">
        <v>160</v>
      </c>
      <c r="D17" s="259"/>
      <c r="E17" s="324">
        <v>0</v>
      </c>
      <c r="F17" s="324"/>
      <c r="G17" s="324">
        <v>0</v>
      </c>
      <c r="H17" s="324"/>
      <c r="I17" s="324">
        <v>0</v>
      </c>
      <c r="J17" s="324"/>
      <c r="K17" s="324">
        <f t="shared" si="0"/>
        <v>0</v>
      </c>
    </row>
    <row r="18" spans="1:11" ht="14.25" customHeight="1" x14ac:dyDescent="0.25">
      <c r="A18" s="331" t="s">
        <v>1159</v>
      </c>
      <c r="B18" s="259" t="s">
        <v>1219</v>
      </c>
      <c r="C18" s="259" t="s">
        <v>160</v>
      </c>
      <c r="D18" s="259"/>
      <c r="E18" s="324">
        <v>0</v>
      </c>
      <c r="F18" s="324"/>
      <c r="G18" s="324">
        <v>0</v>
      </c>
      <c r="H18" s="324"/>
      <c r="I18" s="324">
        <v>0</v>
      </c>
      <c r="J18" s="324"/>
      <c r="K18" s="324">
        <f t="shared" si="0"/>
        <v>0</v>
      </c>
    </row>
    <row r="19" spans="1:11" x14ac:dyDescent="0.25">
      <c r="A19" s="331" t="s">
        <v>1160</v>
      </c>
      <c r="B19" s="259" t="s">
        <v>1219</v>
      </c>
      <c r="C19" s="259" t="s">
        <v>160</v>
      </c>
      <c r="D19" s="259"/>
      <c r="E19" s="324">
        <v>0</v>
      </c>
      <c r="F19" s="324"/>
      <c r="G19" s="324">
        <v>0</v>
      </c>
      <c r="H19" s="324"/>
      <c r="I19" s="324">
        <v>0</v>
      </c>
      <c r="J19" s="324"/>
      <c r="K19" s="324">
        <f t="shared" si="0"/>
        <v>0</v>
      </c>
    </row>
    <row r="20" spans="1:11" x14ac:dyDescent="0.25">
      <c r="A20" s="331" t="s">
        <v>1161</v>
      </c>
      <c r="B20" s="259" t="s">
        <v>1219</v>
      </c>
      <c r="C20" s="259" t="s">
        <v>160</v>
      </c>
      <c r="D20" s="259"/>
      <c r="E20" s="324">
        <v>0</v>
      </c>
      <c r="F20" s="324"/>
      <c r="G20" s="324">
        <v>0</v>
      </c>
      <c r="H20" s="324"/>
      <c r="I20" s="324">
        <v>0</v>
      </c>
      <c r="J20" s="324"/>
      <c r="K20" s="324">
        <f t="shared" si="0"/>
        <v>0</v>
      </c>
    </row>
    <row r="21" spans="1:11" x14ac:dyDescent="0.25">
      <c r="A21" s="331" t="s">
        <v>1162</v>
      </c>
      <c r="B21" s="259" t="s">
        <v>1219</v>
      </c>
      <c r="C21" s="259" t="s">
        <v>160</v>
      </c>
      <c r="D21" s="259"/>
      <c r="E21" s="324">
        <v>0</v>
      </c>
      <c r="F21" s="324"/>
      <c r="G21" s="324">
        <v>0</v>
      </c>
      <c r="H21" s="324"/>
      <c r="I21" s="324">
        <v>0</v>
      </c>
      <c r="J21" s="324"/>
      <c r="K21" s="324">
        <f t="shared" si="0"/>
        <v>0</v>
      </c>
    </row>
    <row r="22" spans="1:11" x14ac:dyDescent="0.25">
      <c r="A22" s="331" t="s">
        <v>1163</v>
      </c>
      <c r="B22" s="259" t="s">
        <v>1219</v>
      </c>
      <c r="C22" s="259" t="s">
        <v>158</v>
      </c>
      <c r="D22" s="259"/>
      <c r="E22" s="324">
        <v>-10060</v>
      </c>
      <c r="F22" s="324"/>
      <c r="G22" s="324">
        <v>82</v>
      </c>
      <c r="H22" s="324"/>
      <c r="I22" s="324">
        <v>-6709</v>
      </c>
      <c r="J22" s="324"/>
      <c r="K22" s="324">
        <f t="shared" si="0"/>
        <v>-16687</v>
      </c>
    </row>
    <row r="23" spans="1:11" x14ac:dyDescent="0.25">
      <c r="A23" s="331" t="s">
        <v>1164</v>
      </c>
      <c r="B23" s="259" t="s">
        <v>1219</v>
      </c>
      <c r="C23" s="259" t="s">
        <v>159</v>
      </c>
      <c r="D23" s="259"/>
      <c r="E23" s="324">
        <v>0</v>
      </c>
      <c r="F23" s="324"/>
      <c r="G23" s="324">
        <v>0</v>
      </c>
      <c r="H23" s="324"/>
      <c r="I23" s="324">
        <v>0</v>
      </c>
      <c r="J23" s="324"/>
      <c r="K23" s="324">
        <f t="shared" si="0"/>
        <v>0</v>
      </c>
    </row>
    <row r="24" spans="1:11" x14ac:dyDescent="0.25">
      <c r="A24" s="331" t="s">
        <v>1165</v>
      </c>
      <c r="B24" s="259" t="s">
        <v>1220</v>
      </c>
      <c r="C24" s="259" t="s">
        <v>158</v>
      </c>
      <c r="D24" s="259"/>
      <c r="E24" s="324">
        <v>-12552</v>
      </c>
      <c r="F24" s="324"/>
      <c r="G24" s="324">
        <v>0</v>
      </c>
      <c r="H24" s="324"/>
      <c r="I24" s="324">
        <v>249502</v>
      </c>
      <c r="J24" s="324"/>
      <c r="K24" s="324">
        <f t="shared" si="0"/>
        <v>236950</v>
      </c>
    </row>
    <row r="25" spans="1:11" x14ac:dyDescent="0.25">
      <c r="A25" s="331" t="s">
        <v>1166</v>
      </c>
      <c r="B25" s="259" t="s">
        <v>1220</v>
      </c>
      <c r="C25" s="259" t="s">
        <v>159</v>
      </c>
      <c r="D25" s="259"/>
      <c r="E25" s="324">
        <v>0</v>
      </c>
      <c r="F25" s="324"/>
      <c r="G25" s="324">
        <v>0</v>
      </c>
      <c r="H25" s="324"/>
      <c r="I25" s="324">
        <v>7353</v>
      </c>
      <c r="J25" s="324"/>
      <c r="K25" s="324">
        <f t="shared" si="0"/>
        <v>7353</v>
      </c>
    </row>
    <row r="26" spans="1:11" x14ac:dyDescent="0.25">
      <c r="A26" s="331" t="s">
        <v>1167</v>
      </c>
      <c r="B26" s="259" t="s">
        <v>952</v>
      </c>
      <c r="C26" s="259" t="s">
        <v>158</v>
      </c>
      <c r="D26" s="259"/>
      <c r="E26" s="324">
        <v>-994</v>
      </c>
      <c r="F26" s="324"/>
      <c r="G26" s="324">
        <v>0</v>
      </c>
      <c r="H26" s="324"/>
      <c r="I26" s="324">
        <v>1370</v>
      </c>
      <c r="J26" s="324"/>
      <c r="K26" s="324">
        <f t="shared" si="0"/>
        <v>376</v>
      </c>
    </row>
    <row r="27" spans="1:11" x14ac:dyDescent="0.25">
      <c r="A27" s="331" t="s">
        <v>1168</v>
      </c>
      <c r="B27" s="259" t="s">
        <v>1126</v>
      </c>
      <c r="C27" s="259" t="s">
        <v>158</v>
      </c>
      <c r="D27" s="259"/>
      <c r="E27" s="324">
        <v>-147225</v>
      </c>
      <c r="F27" s="324"/>
      <c r="G27" s="324">
        <v>0</v>
      </c>
      <c r="H27" s="324"/>
      <c r="I27" s="324">
        <v>278736</v>
      </c>
      <c r="J27" s="324"/>
      <c r="K27" s="324">
        <f t="shared" si="0"/>
        <v>131511</v>
      </c>
    </row>
    <row r="28" spans="1:11" ht="16.5" customHeight="1" x14ac:dyDescent="0.25">
      <c r="A28" s="331" t="s">
        <v>1169</v>
      </c>
      <c r="B28" s="259" t="s">
        <v>1126</v>
      </c>
      <c r="C28" s="259" t="s">
        <v>159</v>
      </c>
      <c r="D28" s="259"/>
      <c r="E28" s="324">
        <v>0</v>
      </c>
      <c r="F28" s="324"/>
      <c r="G28" s="324">
        <v>0</v>
      </c>
      <c r="H28" s="324"/>
      <c r="I28" s="324">
        <v>1583804</v>
      </c>
      <c r="J28" s="324"/>
      <c r="K28" s="324">
        <f t="shared" si="0"/>
        <v>1583804</v>
      </c>
    </row>
    <row r="29" spans="1:11" x14ac:dyDescent="0.25">
      <c r="A29" s="331" t="s">
        <v>1170</v>
      </c>
      <c r="B29" s="259" t="s">
        <v>1186</v>
      </c>
      <c r="C29" s="259" t="s">
        <v>158</v>
      </c>
      <c r="D29" s="259"/>
      <c r="E29" s="324">
        <v>-2272</v>
      </c>
      <c r="F29" s="324"/>
      <c r="G29" s="324">
        <v>0</v>
      </c>
      <c r="H29" s="324"/>
      <c r="I29" s="324">
        <v>4646</v>
      </c>
      <c r="J29" s="324"/>
      <c r="K29" s="324">
        <f t="shared" si="0"/>
        <v>2374</v>
      </c>
    </row>
    <row r="30" spans="1:11" x14ac:dyDescent="0.25">
      <c r="A30" s="331" t="s">
        <v>1171</v>
      </c>
      <c r="B30" s="259" t="s">
        <v>1185</v>
      </c>
      <c r="C30" s="259" t="s">
        <v>158</v>
      </c>
      <c r="D30" s="259"/>
      <c r="E30" s="324">
        <v>-3465</v>
      </c>
      <c r="F30" s="324"/>
      <c r="G30" s="324">
        <v>0</v>
      </c>
      <c r="H30" s="324"/>
      <c r="I30" s="324">
        <v>75227</v>
      </c>
      <c r="J30" s="324"/>
      <c r="K30" s="324">
        <f t="shared" si="0"/>
        <v>71762</v>
      </c>
    </row>
    <row r="31" spans="1:11" x14ac:dyDescent="0.25">
      <c r="A31" s="331" t="s">
        <v>1172</v>
      </c>
      <c r="B31" s="259" t="s">
        <v>1221</v>
      </c>
      <c r="C31" s="259" t="s">
        <v>158</v>
      </c>
      <c r="D31" s="259"/>
      <c r="E31" s="324">
        <v>-18</v>
      </c>
      <c r="F31" s="324"/>
      <c r="G31" s="324">
        <v>0</v>
      </c>
      <c r="H31" s="324"/>
      <c r="I31" s="324">
        <v>0</v>
      </c>
      <c r="J31" s="324"/>
      <c r="K31" s="324">
        <f t="shared" si="0"/>
        <v>-18</v>
      </c>
    </row>
    <row r="32" spans="1:11" x14ac:dyDescent="0.25">
      <c r="A32" s="331" t="s">
        <v>1173</v>
      </c>
      <c r="B32" s="259" t="s">
        <v>1274</v>
      </c>
      <c r="C32" s="259" t="s">
        <v>158</v>
      </c>
      <c r="D32" s="259"/>
      <c r="E32" s="324">
        <v>-201927</v>
      </c>
      <c r="F32" s="324"/>
      <c r="G32" s="324">
        <v>21474</v>
      </c>
      <c r="H32" s="324"/>
      <c r="I32" s="324">
        <v>59363</v>
      </c>
      <c r="J32" s="324"/>
      <c r="K32" s="324">
        <f t="shared" si="0"/>
        <v>-121090</v>
      </c>
    </row>
    <row r="33" spans="1:11" x14ac:dyDescent="0.25">
      <c r="A33" s="331" t="s">
        <v>1174</v>
      </c>
      <c r="B33" s="259" t="s">
        <v>1274</v>
      </c>
      <c r="C33" s="259" t="s">
        <v>159</v>
      </c>
      <c r="D33" s="259"/>
      <c r="E33" s="324">
        <v>0</v>
      </c>
      <c r="F33" s="324"/>
      <c r="G33" s="324">
        <v>115580</v>
      </c>
      <c r="H33" s="324"/>
      <c r="I33" s="324">
        <v>373368</v>
      </c>
      <c r="J33" s="324"/>
      <c r="K33" s="324">
        <f t="shared" si="0"/>
        <v>488948</v>
      </c>
    </row>
    <row r="34" spans="1:11" x14ac:dyDescent="0.25">
      <c r="A34" s="331" t="s">
        <v>1175</v>
      </c>
      <c r="B34" s="259" t="s">
        <v>1222</v>
      </c>
      <c r="C34" s="259" t="s">
        <v>158</v>
      </c>
      <c r="D34" s="259"/>
      <c r="E34" s="324">
        <v>-816</v>
      </c>
      <c r="F34" s="324"/>
      <c r="G34" s="324">
        <v>0</v>
      </c>
      <c r="H34" s="324"/>
      <c r="I34" s="324">
        <v>0</v>
      </c>
      <c r="J34" s="324"/>
      <c r="K34" s="324">
        <f t="shared" si="0"/>
        <v>-816</v>
      </c>
    </row>
    <row r="35" spans="1:11" x14ac:dyDescent="0.25">
      <c r="A35" s="331" t="s">
        <v>1176</v>
      </c>
      <c r="B35" s="259" t="s">
        <v>1223</v>
      </c>
      <c r="C35" s="259" t="s">
        <v>158</v>
      </c>
      <c r="D35" s="259"/>
      <c r="E35" s="324">
        <v>-65743</v>
      </c>
      <c r="F35" s="324"/>
      <c r="G35" s="324">
        <v>0</v>
      </c>
      <c r="H35" s="324"/>
      <c r="I35" s="324">
        <v>710329</v>
      </c>
      <c r="J35" s="324"/>
      <c r="K35" s="324">
        <f t="shared" si="0"/>
        <v>644586</v>
      </c>
    </row>
    <row r="36" spans="1:11" x14ac:dyDescent="0.25">
      <c r="A36" s="331" t="s">
        <v>1177</v>
      </c>
      <c r="B36" s="259" t="s">
        <v>1223</v>
      </c>
      <c r="C36" s="259" t="s">
        <v>159</v>
      </c>
      <c r="D36" s="259"/>
      <c r="E36" s="324">
        <v>0</v>
      </c>
      <c r="F36" s="324"/>
      <c r="G36" s="324">
        <v>0</v>
      </c>
      <c r="H36" s="324"/>
      <c r="I36" s="324">
        <v>57765</v>
      </c>
      <c r="J36" s="324"/>
      <c r="K36" s="324">
        <f t="shared" si="0"/>
        <v>57765</v>
      </c>
    </row>
    <row r="37" spans="1:11" x14ac:dyDescent="0.25">
      <c r="A37" s="331" t="s">
        <v>1178</v>
      </c>
      <c r="B37" s="259" t="s">
        <v>1224</v>
      </c>
      <c r="C37" s="259" t="s">
        <v>160</v>
      </c>
      <c r="D37" s="259"/>
      <c r="E37" s="324">
        <v>971250</v>
      </c>
      <c r="F37" s="324"/>
      <c r="G37" s="324">
        <v>0</v>
      </c>
      <c r="H37" s="324"/>
      <c r="I37" s="324">
        <v>0</v>
      </c>
      <c r="J37" s="324"/>
      <c r="K37" s="324">
        <f t="shared" si="0"/>
        <v>971250</v>
      </c>
    </row>
    <row r="38" spans="1:11" x14ac:dyDescent="0.25">
      <c r="A38" s="331" t="s">
        <v>1179</v>
      </c>
      <c r="B38" s="259" t="s">
        <v>1224</v>
      </c>
      <c r="C38" s="259" t="s">
        <v>160</v>
      </c>
      <c r="D38" s="259"/>
      <c r="E38" s="324">
        <v>0</v>
      </c>
      <c r="F38" s="324"/>
      <c r="G38" s="324">
        <v>0</v>
      </c>
      <c r="H38" s="324"/>
      <c r="I38" s="324">
        <v>0</v>
      </c>
      <c r="J38" s="324"/>
      <c r="K38" s="324">
        <f t="shared" si="0"/>
        <v>0</v>
      </c>
    </row>
    <row r="39" spans="1:11" x14ac:dyDescent="0.25">
      <c r="A39" s="331" t="s">
        <v>1180</v>
      </c>
      <c r="B39" s="259" t="s">
        <v>1224</v>
      </c>
      <c r="C39" s="259" t="s">
        <v>160</v>
      </c>
      <c r="D39" s="259"/>
      <c r="E39" s="324">
        <v>0</v>
      </c>
      <c r="F39" s="324"/>
      <c r="G39" s="324">
        <v>0</v>
      </c>
      <c r="H39" s="324"/>
      <c r="I39" s="324">
        <v>0</v>
      </c>
      <c r="J39" s="324"/>
      <c r="K39" s="324">
        <f t="shared" si="0"/>
        <v>0</v>
      </c>
    </row>
    <row r="40" spans="1:11" x14ac:dyDescent="0.25">
      <c r="A40" s="331" t="s">
        <v>1181</v>
      </c>
      <c r="B40" s="259" t="s">
        <v>1224</v>
      </c>
      <c r="C40" s="259" t="s">
        <v>160</v>
      </c>
      <c r="D40" s="259"/>
      <c r="E40" s="324">
        <v>0</v>
      </c>
      <c r="F40" s="324"/>
      <c r="G40" s="324">
        <v>0</v>
      </c>
      <c r="H40" s="324"/>
      <c r="I40" s="324">
        <v>0</v>
      </c>
      <c r="J40" s="324"/>
      <c r="K40" s="324">
        <f t="shared" si="0"/>
        <v>0</v>
      </c>
    </row>
    <row r="41" spans="1:11" x14ac:dyDescent="0.25">
      <c r="A41" s="331" t="s">
        <v>1182</v>
      </c>
      <c r="B41" s="259" t="s">
        <v>1224</v>
      </c>
      <c r="C41" s="259" t="s">
        <v>158</v>
      </c>
      <c r="D41" s="259"/>
      <c r="E41" s="324">
        <v>-64246</v>
      </c>
      <c r="F41" s="324"/>
      <c r="G41" s="324">
        <v>0</v>
      </c>
      <c r="H41" s="324"/>
      <c r="I41" s="324">
        <v>165127</v>
      </c>
      <c r="J41" s="324"/>
      <c r="K41" s="324">
        <f t="shared" si="0"/>
        <v>100881</v>
      </c>
    </row>
    <row r="42" spans="1:11" x14ac:dyDescent="0.25">
      <c r="A42" s="331" t="s">
        <v>1183</v>
      </c>
      <c r="B42" s="259" t="s">
        <v>1224</v>
      </c>
      <c r="C42" s="259" t="s">
        <v>159</v>
      </c>
      <c r="D42" s="259"/>
      <c r="E42" s="324">
        <v>0</v>
      </c>
      <c r="F42" s="324"/>
      <c r="G42" s="324">
        <v>0</v>
      </c>
      <c r="H42" s="324"/>
      <c r="I42" s="324">
        <v>48746</v>
      </c>
      <c r="J42" s="324"/>
      <c r="K42" s="324">
        <f t="shared" si="0"/>
        <v>48746</v>
      </c>
    </row>
    <row r="43" spans="1:11" x14ac:dyDescent="0.25">
      <c r="A43" s="331" t="s">
        <v>1184</v>
      </c>
      <c r="B43" s="259" t="s">
        <v>164</v>
      </c>
      <c r="C43" s="259" t="s">
        <v>158</v>
      </c>
      <c r="D43" s="259"/>
      <c r="E43" s="324">
        <v>-194780</v>
      </c>
      <c r="F43" s="324"/>
      <c r="G43" s="324">
        <v>0</v>
      </c>
      <c r="H43" s="324"/>
      <c r="I43" s="324">
        <v>1062180</v>
      </c>
      <c r="J43" s="324"/>
      <c r="K43" s="324">
        <f t="shared" si="0"/>
        <v>867400</v>
      </c>
    </row>
    <row r="44" spans="1:11" x14ac:dyDescent="0.25">
      <c r="A44" s="331" t="s">
        <v>1151</v>
      </c>
      <c r="B44" s="259" t="s">
        <v>164</v>
      </c>
      <c r="C44" s="259" t="s">
        <v>159</v>
      </c>
      <c r="D44" s="259"/>
      <c r="E44" s="324">
        <v>0</v>
      </c>
      <c r="F44" s="324"/>
      <c r="G44" s="324">
        <v>0</v>
      </c>
      <c r="H44" s="324"/>
      <c r="I44" s="324">
        <v>901847</v>
      </c>
      <c r="J44" s="324"/>
      <c r="K44" s="324">
        <f t="shared" si="0"/>
        <v>901847</v>
      </c>
    </row>
    <row r="45" spans="1:11" x14ac:dyDescent="0.25">
      <c r="A45" s="331" t="s">
        <v>1152</v>
      </c>
      <c r="B45" s="259" t="s">
        <v>1275</v>
      </c>
      <c r="C45" s="259" t="s">
        <v>158</v>
      </c>
      <c r="D45" s="259"/>
      <c r="E45" s="324">
        <v>0</v>
      </c>
      <c r="F45" s="324"/>
      <c r="G45" s="324">
        <v>0</v>
      </c>
      <c r="H45" s="324"/>
      <c r="I45" s="324">
        <v>9601</v>
      </c>
      <c r="J45" s="324"/>
      <c r="K45" s="324">
        <f t="shared" si="0"/>
        <v>9601</v>
      </c>
    </row>
    <row r="46" spans="1:11" x14ac:dyDescent="0.25">
      <c r="A46" s="331" t="s">
        <v>1153</v>
      </c>
      <c r="B46" s="259" t="s">
        <v>1275</v>
      </c>
      <c r="C46" s="259" t="s">
        <v>159</v>
      </c>
      <c r="D46" s="259"/>
      <c r="E46" s="324">
        <v>0</v>
      </c>
      <c r="F46" s="324"/>
      <c r="G46" s="324">
        <v>0</v>
      </c>
      <c r="H46" s="324"/>
      <c r="I46" s="324">
        <v>3758</v>
      </c>
      <c r="J46" s="324"/>
      <c r="K46" s="324">
        <f t="shared" si="0"/>
        <v>3758</v>
      </c>
    </row>
    <row r="47" spans="1:11" x14ac:dyDescent="0.25">
      <c r="A47" s="331" t="s">
        <v>1154</v>
      </c>
      <c r="B47" s="259" t="s">
        <v>1276</v>
      </c>
      <c r="C47" s="259" t="s">
        <v>160</v>
      </c>
      <c r="D47" s="259"/>
      <c r="E47" s="324">
        <v>194250</v>
      </c>
      <c r="F47" s="324"/>
      <c r="G47" s="324">
        <v>0</v>
      </c>
      <c r="H47" s="324"/>
      <c r="I47" s="324">
        <v>0</v>
      </c>
      <c r="J47" s="324"/>
      <c r="K47" s="324">
        <f t="shared" si="0"/>
        <v>194250</v>
      </c>
    </row>
    <row r="48" spans="1:11" x14ac:dyDescent="0.25">
      <c r="A48" s="331" t="s">
        <v>1155</v>
      </c>
      <c r="B48" s="259" t="s">
        <v>1276</v>
      </c>
      <c r="C48" s="259" t="s">
        <v>160</v>
      </c>
      <c r="D48" s="259"/>
      <c r="E48" s="324">
        <v>0</v>
      </c>
      <c r="F48" s="324"/>
      <c r="G48" s="324">
        <v>0</v>
      </c>
      <c r="H48" s="324"/>
      <c r="I48" s="324">
        <v>0</v>
      </c>
      <c r="J48" s="324"/>
      <c r="K48" s="324">
        <f t="shared" si="0"/>
        <v>0</v>
      </c>
    </row>
    <row r="49" spans="1:11" x14ac:dyDescent="0.25">
      <c r="A49" s="331" t="s">
        <v>1156</v>
      </c>
      <c r="B49" s="259" t="s">
        <v>1276</v>
      </c>
      <c r="C49" s="259" t="s">
        <v>158</v>
      </c>
      <c r="D49" s="259"/>
      <c r="E49" s="324">
        <v>-10271</v>
      </c>
      <c r="F49" s="324"/>
      <c r="G49" s="324">
        <v>0</v>
      </c>
      <c r="H49" s="324"/>
      <c r="I49" s="324">
        <v>0</v>
      </c>
      <c r="J49" s="324"/>
      <c r="K49" s="324">
        <f t="shared" si="0"/>
        <v>-10271</v>
      </c>
    </row>
    <row r="50" spans="1:11" x14ac:dyDescent="0.25">
      <c r="A50" s="331" t="s">
        <v>1157</v>
      </c>
      <c r="B50" s="259" t="s">
        <v>1225</v>
      </c>
      <c r="C50" s="259" t="s">
        <v>160</v>
      </c>
      <c r="D50" s="259"/>
      <c r="E50" s="324">
        <v>1535735</v>
      </c>
      <c r="F50" s="324"/>
      <c r="G50" s="324">
        <v>0</v>
      </c>
      <c r="H50" s="324"/>
      <c r="I50" s="324">
        <v>-10925</v>
      </c>
      <c r="J50" s="324"/>
      <c r="K50" s="324">
        <f t="shared" si="0"/>
        <v>1524810</v>
      </c>
    </row>
    <row r="51" spans="1:11" x14ac:dyDescent="0.25">
      <c r="A51" s="331" t="s">
        <v>1158</v>
      </c>
      <c r="B51" s="259" t="s">
        <v>1225</v>
      </c>
      <c r="C51" s="259" t="s">
        <v>158</v>
      </c>
      <c r="D51" s="259"/>
      <c r="E51" s="324">
        <v>-365328</v>
      </c>
      <c r="F51" s="324"/>
      <c r="G51" s="324">
        <v>0</v>
      </c>
      <c r="H51" s="324"/>
      <c r="I51" s="324">
        <v>2791129</v>
      </c>
      <c r="J51" s="324"/>
      <c r="K51" s="324">
        <f t="shared" si="0"/>
        <v>2425801</v>
      </c>
    </row>
    <row r="52" spans="1:11" x14ac:dyDescent="0.25">
      <c r="A52" s="331" t="s">
        <v>1159</v>
      </c>
      <c r="B52" s="259" t="s">
        <v>1225</v>
      </c>
      <c r="C52" s="259" t="s">
        <v>159</v>
      </c>
      <c r="D52" s="259"/>
      <c r="E52" s="324">
        <v>0</v>
      </c>
      <c r="F52" s="324"/>
      <c r="G52" s="324">
        <v>0</v>
      </c>
      <c r="H52" s="324"/>
      <c r="I52" s="324">
        <v>1274083</v>
      </c>
      <c r="J52" s="324"/>
      <c r="K52" s="324">
        <f t="shared" si="0"/>
        <v>1274083</v>
      </c>
    </row>
    <row r="53" spans="1:11" x14ac:dyDescent="0.25">
      <c r="A53" s="331" t="s">
        <v>1160</v>
      </c>
      <c r="B53" s="259" t="s">
        <v>1226</v>
      </c>
      <c r="C53" s="259" t="s">
        <v>158</v>
      </c>
      <c r="D53" s="259"/>
      <c r="E53" s="324">
        <v>-23</v>
      </c>
      <c r="F53" s="324"/>
      <c r="G53" s="324">
        <v>0</v>
      </c>
      <c r="H53" s="324"/>
      <c r="I53" s="324">
        <v>0</v>
      </c>
      <c r="J53" s="324"/>
      <c r="K53" s="324">
        <f t="shared" si="0"/>
        <v>-23</v>
      </c>
    </row>
    <row r="54" spans="1:11" x14ac:dyDescent="0.25">
      <c r="A54" s="331" t="s">
        <v>1161</v>
      </c>
      <c r="B54" s="259" t="s">
        <v>156</v>
      </c>
      <c r="C54" s="259" t="s">
        <v>158</v>
      </c>
      <c r="D54" s="259"/>
      <c r="E54" s="324">
        <v>-39624</v>
      </c>
      <c r="F54" s="324"/>
      <c r="G54" s="324">
        <v>0</v>
      </c>
      <c r="H54" s="324"/>
      <c r="I54" s="324">
        <v>553801</v>
      </c>
      <c r="J54" s="324"/>
      <c r="K54" s="324">
        <f t="shared" si="0"/>
        <v>514177</v>
      </c>
    </row>
    <row r="55" spans="1:11" x14ac:dyDescent="0.25">
      <c r="A55" s="331" t="s">
        <v>1162</v>
      </c>
      <c r="B55" s="259" t="s">
        <v>156</v>
      </c>
      <c r="C55" s="259" t="s">
        <v>159</v>
      </c>
      <c r="D55" s="259"/>
      <c r="E55" s="324">
        <v>0</v>
      </c>
      <c r="F55" s="324"/>
      <c r="G55" s="324">
        <v>0</v>
      </c>
      <c r="H55" s="324"/>
      <c r="I55" s="324">
        <v>60170</v>
      </c>
      <c r="J55" s="324"/>
      <c r="K55" s="324">
        <f t="shared" si="0"/>
        <v>60170</v>
      </c>
    </row>
    <row r="56" spans="1:11" x14ac:dyDescent="0.25">
      <c r="A56" s="331" t="s">
        <v>1163</v>
      </c>
      <c r="B56" s="259" t="s">
        <v>157</v>
      </c>
      <c r="C56" s="259" t="s">
        <v>158</v>
      </c>
      <c r="D56" s="259"/>
      <c r="E56" s="324">
        <v>-2481</v>
      </c>
      <c r="F56" s="324"/>
      <c r="G56" s="324">
        <v>0</v>
      </c>
      <c r="H56" s="324"/>
      <c r="I56" s="324">
        <v>35840</v>
      </c>
      <c r="J56" s="324"/>
      <c r="K56" s="324">
        <f t="shared" si="0"/>
        <v>33359</v>
      </c>
    </row>
    <row r="57" spans="1:11" x14ac:dyDescent="0.25">
      <c r="A57" s="331" t="s">
        <v>1164</v>
      </c>
      <c r="B57" s="259" t="s">
        <v>157</v>
      </c>
      <c r="C57" s="259" t="s">
        <v>159</v>
      </c>
      <c r="D57" s="259"/>
      <c r="E57" s="324">
        <v>0</v>
      </c>
      <c r="F57" s="324"/>
      <c r="G57" s="324">
        <v>0</v>
      </c>
      <c r="H57" s="324"/>
      <c r="I57" s="324">
        <v>2426</v>
      </c>
      <c r="J57" s="324"/>
      <c r="K57" s="324">
        <f t="shared" si="0"/>
        <v>2426</v>
      </c>
    </row>
    <row r="58" spans="1:11" x14ac:dyDescent="0.25">
      <c r="A58" s="331" t="s">
        <v>1165</v>
      </c>
      <c r="B58" s="157" t="s">
        <v>1227</v>
      </c>
      <c r="C58" s="259"/>
      <c r="D58" s="259"/>
      <c r="E58" s="324">
        <v>0</v>
      </c>
      <c r="F58" s="324"/>
      <c r="G58" s="324">
        <v>0</v>
      </c>
      <c r="H58" s="324"/>
      <c r="I58" s="324">
        <v>0</v>
      </c>
      <c r="J58" s="324"/>
      <c r="K58" s="324">
        <f t="shared" si="0"/>
        <v>0</v>
      </c>
    </row>
    <row r="59" spans="1:11" x14ac:dyDescent="0.25">
      <c r="A59" s="331" t="s">
        <v>1166</v>
      </c>
      <c r="B59" s="259" t="s">
        <v>953</v>
      </c>
      <c r="C59" s="259" t="s">
        <v>1239</v>
      </c>
      <c r="D59" s="259"/>
      <c r="E59" s="324">
        <v>3133718</v>
      </c>
      <c r="F59" s="324"/>
      <c r="G59" s="324">
        <v>0</v>
      </c>
      <c r="H59" s="324"/>
      <c r="I59" s="324">
        <v>941170</v>
      </c>
      <c r="J59" s="324"/>
      <c r="K59" s="324">
        <f t="shared" si="0"/>
        <v>4074888</v>
      </c>
    </row>
    <row r="60" spans="1:11" x14ac:dyDescent="0.25">
      <c r="A60" s="331" t="s">
        <v>1167</v>
      </c>
      <c r="B60" s="259" t="s">
        <v>1127</v>
      </c>
      <c r="C60" s="259" t="s">
        <v>1239</v>
      </c>
      <c r="D60" s="259"/>
      <c r="E60" s="324">
        <v>7175053</v>
      </c>
      <c r="F60" s="324"/>
      <c r="G60" s="324">
        <v>0</v>
      </c>
      <c r="H60" s="324"/>
      <c r="I60" s="324">
        <v>2118924</v>
      </c>
      <c r="J60" s="324"/>
      <c r="K60" s="324">
        <f t="shared" si="0"/>
        <v>9293977</v>
      </c>
    </row>
    <row r="61" spans="1:11" x14ac:dyDescent="0.25">
      <c r="A61" s="331" t="s">
        <v>1168</v>
      </c>
      <c r="B61" s="259" t="s">
        <v>225</v>
      </c>
      <c r="C61" s="259" t="s">
        <v>1239</v>
      </c>
      <c r="D61" s="259"/>
      <c r="E61" s="324">
        <v>2229278</v>
      </c>
      <c r="F61" s="324"/>
      <c r="G61" s="324">
        <v>0</v>
      </c>
      <c r="H61" s="324"/>
      <c r="I61" s="324">
        <v>667515</v>
      </c>
      <c r="J61" s="324"/>
      <c r="K61" s="324">
        <f t="shared" si="0"/>
        <v>2896793</v>
      </c>
    </row>
    <row r="62" spans="1:11" x14ac:dyDescent="0.25">
      <c r="A62" s="331" t="s">
        <v>1169</v>
      </c>
      <c r="B62" s="259" t="s">
        <v>954</v>
      </c>
      <c r="C62" s="259" t="s">
        <v>1239</v>
      </c>
      <c r="D62" s="259"/>
      <c r="E62" s="324">
        <v>316138</v>
      </c>
      <c r="F62" s="323"/>
      <c r="G62" s="347"/>
      <c r="H62" s="323"/>
      <c r="I62" s="324">
        <v>94521</v>
      </c>
      <c r="J62" s="323"/>
      <c r="K62" s="324">
        <f t="shared" si="0"/>
        <v>410659</v>
      </c>
    </row>
    <row r="63" spans="1:11" x14ac:dyDescent="0.25">
      <c r="A63" s="331" t="s">
        <v>1170</v>
      </c>
      <c r="B63" s="259" t="s">
        <v>165</v>
      </c>
      <c r="C63" s="259" t="s">
        <v>1239</v>
      </c>
      <c r="D63" s="259"/>
      <c r="E63" s="324">
        <v>401594</v>
      </c>
      <c r="F63" s="324"/>
      <c r="G63" s="324">
        <v>0</v>
      </c>
      <c r="H63" s="324"/>
      <c r="I63" s="324">
        <v>65234</v>
      </c>
      <c r="J63" s="324"/>
      <c r="K63" s="324">
        <f t="shared" si="0"/>
        <v>466828</v>
      </c>
    </row>
    <row r="64" spans="1:11" x14ac:dyDescent="0.25">
      <c r="A64" s="331" t="s">
        <v>1171</v>
      </c>
      <c r="B64" s="259" t="s">
        <v>1228</v>
      </c>
      <c r="C64" s="259" t="s">
        <v>1239</v>
      </c>
      <c r="D64" s="259"/>
      <c r="E64" s="324">
        <v>7503123</v>
      </c>
      <c r="F64" s="324"/>
      <c r="G64" s="324">
        <v>0</v>
      </c>
      <c r="H64" s="324"/>
      <c r="I64" s="324">
        <v>1193242</v>
      </c>
      <c r="J64" s="324"/>
      <c r="K64" s="324">
        <f t="shared" si="0"/>
        <v>8696365</v>
      </c>
    </row>
    <row r="65" spans="1:11" x14ac:dyDescent="0.25">
      <c r="A65" s="331" t="s">
        <v>1172</v>
      </c>
      <c r="B65" s="259" t="s">
        <v>226</v>
      </c>
      <c r="C65" s="259" t="s">
        <v>1239</v>
      </c>
      <c r="D65" s="259"/>
      <c r="E65" s="324">
        <v>748450</v>
      </c>
      <c r="F65" s="324"/>
      <c r="G65" s="324">
        <v>0</v>
      </c>
      <c r="H65" s="324"/>
      <c r="I65" s="324">
        <v>224607</v>
      </c>
      <c r="J65" s="324"/>
      <c r="K65" s="324">
        <f t="shared" si="0"/>
        <v>973057</v>
      </c>
    </row>
    <row r="66" spans="1:11" x14ac:dyDescent="0.25">
      <c r="A66" s="331" t="s">
        <v>1173</v>
      </c>
      <c r="B66" s="259" t="s">
        <v>227</v>
      </c>
      <c r="C66" s="259" t="s">
        <v>1239</v>
      </c>
      <c r="D66" s="259"/>
      <c r="E66" s="324">
        <v>298606</v>
      </c>
      <c r="F66" s="324"/>
      <c r="G66" s="324">
        <v>0</v>
      </c>
      <c r="H66" s="324"/>
      <c r="I66" s="324">
        <v>89659</v>
      </c>
      <c r="J66" s="324"/>
      <c r="K66" s="324">
        <f t="shared" si="0"/>
        <v>388265</v>
      </c>
    </row>
    <row r="67" spans="1:11" x14ac:dyDescent="0.25">
      <c r="A67" s="331" t="s">
        <v>1174</v>
      </c>
      <c r="B67" s="259" t="s">
        <v>1229</v>
      </c>
      <c r="C67" s="259" t="s">
        <v>1239</v>
      </c>
      <c r="D67" s="259"/>
      <c r="E67" s="324">
        <v>827118</v>
      </c>
      <c r="F67" s="324"/>
      <c r="G67" s="324">
        <v>0</v>
      </c>
      <c r="H67" s="324"/>
      <c r="I67" s="324">
        <v>248423</v>
      </c>
      <c r="J67" s="324"/>
      <c r="K67" s="324">
        <f t="shared" si="0"/>
        <v>1075541</v>
      </c>
    </row>
    <row r="68" spans="1:11" x14ac:dyDescent="0.25">
      <c r="A68" s="331" t="s">
        <v>1175</v>
      </c>
      <c r="B68" s="259" t="s">
        <v>955</v>
      </c>
      <c r="C68" s="259" t="s">
        <v>1239</v>
      </c>
      <c r="D68" s="259"/>
      <c r="E68" s="324">
        <v>5971089</v>
      </c>
      <c r="F68" s="324"/>
      <c r="G68" s="324">
        <v>0</v>
      </c>
      <c r="H68" s="324"/>
      <c r="I68" s="324">
        <v>-3618</v>
      </c>
      <c r="J68" s="324"/>
      <c r="K68" s="324">
        <f t="shared" si="0"/>
        <v>5967471</v>
      </c>
    </row>
    <row r="69" spans="1:11" x14ac:dyDescent="0.25">
      <c r="A69" s="331" t="s">
        <v>1176</v>
      </c>
      <c r="B69" s="259" t="s">
        <v>1230</v>
      </c>
      <c r="C69" s="259" t="s">
        <v>1239</v>
      </c>
      <c r="D69" s="259"/>
      <c r="E69" s="324">
        <v>11127899</v>
      </c>
      <c r="F69" s="324"/>
      <c r="G69" s="324">
        <v>0</v>
      </c>
      <c r="H69" s="324"/>
      <c r="I69" s="324">
        <v>966205</v>
      </c>
      <c r="J69" s="324"/>
      <c r="K69" s="324">
        <f t="shared" si="0"/>
        <v>12094104</v>
      </c>
    </row>
    <row r="70" spans="1:11" x14ac:dyDescent="0.25">
      <c r="A70" s="331" t="s">
        <v>1177</v>
      </c>
      <c r="B70" s="259" t="s">
        <v>956</v>
      </c>
      <c r="C70" s="259" t="s">
        <v>1239</v>
      </c>
      <c r="D70" s="259"/>
      <c r="E70" s="324">
        <v>1126712</v>
      </c>
      <c r="F70" s="324"/>
      <c r="G70" s="324">
        <v>0</v>
      </c>
      <c r="H70" s="324"/>
      <c r="I70" s="324">
        <v>336673</v>
      </c>
      <c r="J70" s="324"/>
      <c r="K70" s="324">
        <f t="shared" si="0"/>
        <v>1463385</v>
      </c>
    </row>
    <row r="71" spans="1:11" x14ac:dyDescent="0.25">
      <c r="A71" s="331" t="s">
        <v>1178</v>
      </c>
      <c r="B71" s="259" t="s">
        <v>228</v>
      </c>
      <c r="C71" s="259" t="s">
        <v>1239</v>
      </c>
      <c r="D71" s="259"/>
      <c r="E71" s="324">
        <v>5787643</v>
      </c>
      <c r="F71" s="324"/>
      <c r="G71" s="324">
        <v>0</v>
      </c>
      <c r="H71" s="324"/>
      <c r="I71" s="324">
        <v>659674</v>
      </c>
      <c r="J71" s="324"/>
      <c r="K71" s="324">
        <f t="shared" si="0"/>
        <v>6447317</v>
      </c>
    </row>
    <row r="72" spans="1:11" x14ac:dyDescent="0.25">
      <c r="A72" s="331" t="s">
        <v>1179</v>
      </c>
      <c r="B72" s="259" t="s">
        <v>957</v>
      </c>
      <c r="C72" s="259" t="s">
        <v>1239</v>
      </c>
      <c r="D72" s="259"/>
      <c r="E72" s="324">
        <v>3590175</v>
      </c>
      <c r="F72" s="324"/>
      <c r="G72" s="324">
        <v>0</v>
      </c>
      <c r="H72" s="324"/>
      <c r="I72" s="324">
        <v>1077269</v>
      </c>
      <c r="J72" s="324"/>
      <c r="K72" s="324">
        <f t="shared" si="0"/>
        <v>4667444</v>
      </c>
    </row>
    <row r="73" spans="1:11" x14ac:dyDescent="0.25">
      <c r="A73" s="331" t="s">
        <v>1180</v>
      </c>
      <c r="B73" s="259" t="s">
        <v>1231</v>
      </c>
      <c r="C73" s="259" t="s">
        <v>1239</v>
      </c>
      <c r="D73" s="259"/>
      <c r="E73" s="324">
        <v>15441</v>
      </c>
      <c r="F73" s="324"/>
      <c r="G73" s="324">
        <v>0</v>
      </c>
      <c r="H73" s="324"/>
      <c r="I73" s="324">
        <v>4251</v>
      </c>
      <c r="J73" s="324"/>
      <c r="K73" s="324">
        <f t="shared" si="0"/>
        <v>19692</v>
      </c>
    </row>
    <row r="74" spans="1:11" x14ac:dyDescent="0.25">
      <c r="A74" s="331" t="s">
        <v>1181</v>
      </c>
      <c r="B74" s="259" t="s">
        <v>1232</v>
      </c>
      <c r="C74" s="259" t="s">
        <v>1239</v>
      </c>
      <c r="D74" s="259"/>
      <c r="E74" s="324">
        <v>2954589</v>
      </c>
      <c r="F74" s="324"/>
      <c r="G74" s="324">
        <v>0</v>
      </c>
      <c r="H74" s="324"/>
      <c r="I74" s="324">
        <v>495524</v>
      </c>
      <c r="J74" s="324"/>
      <c r="K74" s="324">
        <f t="shared" si="0"/>
        <v>3450113</v>
      </c>
    </row>
    <row r="75" spans="1:11" x14ac:dyDescent="0.25">
      <c r="A75" s="331" t="s">
        <v>1182</v>
      </c>
      <c r="B75" s="259" t="s">
        <v>1188</v>
      </c>
      <c r="C75" s="259" t="s">
        <v>1239</v>
      </c>
      <c r="D75" s="259"/>
      <c r="E75" s="324">
        <v>0</v>
      </c>
      <c r="F75" s="324"/>
      <c r="G75" s="324">
        <v>0</v>
      </c>
      <c r="H75" s="324"/>
      <c r="I75" s="324">
        <v>-450579</v>
      </c>
      <c r="J75" s="324"/>
      <c r="K75" s="324">
        <f t="shared" ref="K75:K88" si="1">E75+G75+I75</f>
        <v>-450579</v>
      </c>
    </row>
    <row r="76" spans="1:11" x14ac:dyDescent="0.25">
      <c r="A76" s="331" t="s">
        <v>1183</v>
      </c>
      <c r="B76" s="259" t="s">
        <v>1233</v>
      </c>
      <c r="C76" s="259" t="s">
        <v>1239</v>
      </c>
      <c r="D76" s="259"/>
      <c r="E76" s="324">
        <v>165134</v>
      </c>
      <c r="F76" s="324"/>
      <c r="G76" s="324">
        <v>0</v>
      </c>
      <c r="H76" s="324"/>
      <c r="I76" s="324">
        <v>49351</v>
      </c>
      <c r="J76" s="324"/>
      <c r="K76" s="324">
        <f t="shared" si="1"/>
        <v>214485</v>
      </c>
    </row>
    <row r="77" spans="1:11" x14ac:dyDescent="0.25">
      <c r="A77" s="331" t="s">
        <v>1184</v>
      </c>
      <c r="B77" s="259" t="s">
        <v>1234</v>
      </c>
      <c r="C77" s="259" t="s">
        <v>1239</v>
      </c>
      <c r="D77" s="259"/>
      <c r="E77" s="324">
        <v>33084</v>
      </c>
      <c r="F77" s="324"/>
      <c r="G77" s="324">
        <v>0</v>
      </c>
      <c r="H77" s="324"/>
      <c r="I77" s="324">
        <v>9092</v>
      </c>
      <c r="J77" s="324"/>
      <c r="K77" s="324">
        <f t="shared" si="1"/>
        <v>42176</v>
      </c>
    </row>
    <row r="78" spans="1:11" x14ac:dyDescent="0.25">
      <c r="A78" s="331" t="s">
        <v>1151</v>
      </c>
      <c r="B78" s="259" t="s">
        <v>1235</v>
      </c>
      <c r="C78" s="259" t="s">
        <v>1239</v>
      </c>
      <c r="D78" s="259"/>
      <c r="E78" s="324">
        <v>256417</v>
      </c>
      <c r="F78" s="324"/>
      <c r="G78" s="324">
        <v>0</v>
      </c>
      <c r="H78" s="324"/>
      <c r="I78" s="324">
        <v>76895</v>
      </c>
      <c r="J78" s="324"/>
      <c r="K78" s="324">
        <f t="shared" si="1"/>
        <v>333312</v>
      </c>
    </row>
    <row r="79" spans="1:11" x14ac:dyDescent="0.25">
      <c r="A79" s="331" t="s">
        <v>1152</v>
      </c>
      <c r="B79" s="259" t="s">
        <v>958</v>
      </c>
      <c r="C79" s="259" t="s">
        <v>1239</v>
      </c>
      <c r="D79" s="259"/>
      <c r="E79" s="324">
        <v>109275</v>
      </c>
      <c r="F79" s="324"/>
      <c r="G79" s="324">
        <v>0</v>
      </c>
      <c r="H79" s="324"/>
      <c r="I79" s="324">
        <v>32796</v>
      </c>
      <c r="J79" s="324"/>
      <c r="K79" s="324">
        <f t="shared" si="1"/>
        <v>142071</v>
      </c>
    </row>
    <row r="80" spans="1:11" x14ac:dyDescent="0.25">
      <c r="A80" s="331" t="s">
        <v>1153</v>
      </c>
      <c r="B80" s="259" t="s">
        <v>1236</v>
      </c>
      <c r="C80" s="259" t="s">
        <v>1239</v>
      </c>
      <c r="D80" s="259"/>
      <c r="E80" s="324">
        <v>29276</v>
      </c>
      <c r="F80" s="324"/>
      <c r="G80" s="324">
        <v>0</v>
      </c>
      <c r="H80" s="324"/>
      <c r="I80" s="324">
        <v>7004</v>
      </c>
      <c r="J80" s="324"/>
      <c r="K80" s="324">
        <f t="shared" si="1"/>
        <v>36280</v>
      </c>
    </row>
    <row r="81" spans="1:13" x14ac:dyDescent="0.25">
      <c r="A81" s="331" t="s">
        <v>1154</v>
      </c>
      <c r="B81" s="259" t="s">
        <v>1237</v>
      </c>
      <c r="C81" s="259" t="s">
        <v>1239</v>
      </c>
      <c r="D81" s="259"/>
      <c r="E81" s="324">
        <v>399399</v>
      </c>
      <c r="F81" s="324"/>
      <c r="G81" s="324">
        <v>0</v>
      </c>
      <c r="H81" s="324"/>
      <c r="I81" s="324">
        <v>114045</v>
      </c>
      <c r="J81" s="324"/>
      <c r="K81" s="324">
        <f t="shared" si="1"/>
        <v>513444</v>
      </c>
    </row>
    <row r="82" spans="1:13" s="239" customFormat="1" x14ac:dyDescent="0.25">
      <c r="A82" s="331" t="s">
        <v>1155</v>
      </c>
      <c r="B82" s="259" t="s">
        <v>1238</v>
      </c>
      <c r="C82" s="259" t="s">
        <v>1239</v>
      </c>
      <c r="D82" s="259"/>
      <c r="E82" s="324">
        <v>109947</v>
      </c>
      <c r="F82" s="324"/>
      <c r="G82" s="324">
        <v>0</v>
      </c>
      <c r="H82" s="324"/>
      <c r="I82" s="324">
        <v>32954</v>
      </c>
      <c r="J82" s="324"/>
      <c r="K82" s="324">
        <f t="shared" si="1"/>
        <v>142901</v>
      </c>
      <c r="L82" s="234"/>
    </row>
    <row r="83" spans="1:13" s="239" customFormat="1" x14ac:dyDescent="0.25">
      <c r="A83" s="331" t="s">
        <v>1156</v>
      </c>
      <c r="B83" s="259" t="s">
        <v>1196</v>
      </c>
      <c r="C83" s="259"/>
      <c r="D83" s="259"/>
      <c r="E83" s="324">
        <v>2090937</v>
      </c>
      <c r="F83" s="324"/>
      <c r="G83" s="324">
        <v>0</v>
      </c>
      <c r="H83" s="324"/>
      <c r="I83" s="324">
        <v>74916</v>
      </c>
      <c r="J83" s="324"/>
      <c r="K83" s="324">
        <f t="shared" si="1"/>
        <v>2165853</v>
      </c>
      <c r="L83" s="234"/>
    </row>
    <row r="84" spans="1:13" s="239" customFormat="1" x14ac:dyDescent="0.25">
      <c r="A84" s="331" t="s">
        <v>1157</v>
      </c>
      <c r="B84" s="259"/>
      <c r="C84" s="259"/>
      <c r="D84" s="259"/>
      <c r="E84" s="324">
        <v>0</v>
      </c>
      <c r="F84" s="324"/>
      <c r="G84" s="324">
        <v>0</v>
      </c>
      <c r="H84" s="324"/>
      <c r="I84" s="324">
        <v>0</v>
      </c>
      <c r="J84" s="324"/>
      <c r="K84" s="324">
        <f t="shared" si="1"/>
        <v>0</v>
      </c>
      <c r="L84" s="234"/>
    </row>
    <row r="85" spans="1:13" s="239" customFormat="1" x14ac:dyDescent="0.25">
      <c r="A85" s="331" t="s">
        <v>1158</v>
      </c>
      <c r="B85" s="259"/>
      <c r="C85" s="259"/>
      <c r="D85" s="259"/>
      <c r="E85" s="324">
        <v>0</v>
      </c>
      <c r="F85" s="324"/>
      <c r="G85" s="324">
        <v>0</v>
      </c>
      <c r="H85" s="324"/>
      <c r="I85" s="324">
        <v>0</v>
      </c>
      <c r="J85" s="324"/>
      <c r="K85" s="324">
        <f t="shared" si="1"/>
        <v>0</v>
      </c>
      <c r="L85" s="234"/>
    </row>
    <row r="86" spans="1:13" x14ac:dyDescent="0.25">
      <c r="A86" s="331" t="s">
        <v>1159</v>
      </c>
      <c r="B86" s="259"/>
      <c r="C86" s="259"/>
      <c r="D86" s="259"/>
      <c r="E86" s="324">
        <v>0</v>
      </c>
      <c r="F86" s="324"/>
      <c r="G86" s="324">
        <v>0</v>
      </c>
      <c r="H86" s="324"/>
      <c r="I86" s="324">
        <v>0</v>
      </c>
      <c r="J86" s="324"/>
      <c r="K86" s="324">
        <f t="shared" si="1"/>
        <v>0</v>
      </c>
    </row>
    <row r="87" spans="1:13" s="257" customFormat="1" x14ac:dyDescent="0.25">
      <c r="A87" s="331" t="s">
        <v>1160</v>
      </c>
      <c r="B87" s="259"/>
      <c r="C87" s="259"/>
      <c r="D87" s="259"/>
      <c r="E87" s="324">
        <v>0</v>
      </c>
      <c r="F87" s="324"/>
      <c r="G87" s="324">
        <v>0</v>
      </c>
      <c r="H87" s="324"/>
      <c r="I87" s="324">
        <v>0</v>
      </c>
      <c r="J87" s="324"/>
      <c r="K87" s="324">
        <f t="shared" si="1"/>
        <v>0</v>
      </c>
      <c r="L87" s="256"/>
    </row>
    <row r="88" spans="1:13" s="257" customFormat="1" x14ac:dyDescent="0.25">
      <c r="A88" s="331" t="s">
        <v>1161</v>
      </c>
      <c r="B88" s="259"/>
      <c r="C88" s="259" t="s">
        <v>1187</v>
      </c>
      <c r="D88" s="259"/>
      <c r="E88" s="324">
        <v>0</v>
      </c>
      <c r="F88" s="324"/>
      <c r="G88" s="324">
        <v>0</v>
      </c>
      <c r="H88" s="324"/>
      <c r="I88" s="324">
        <v>0</v>
      </c>
      <c r="J88" s="324"/>
      <c r="K88" s="324">
        <f t="shared" si="1"/>
        <v>0</v>
      </c>
      <c r="L88" s="256"/>
    </row>
    <row r="89" spans="1:13" s="257" customFormat="1" x14ac:dyDescent="0.25">
      <c r="A89" s="331"/>
      <c r="B89" s="331"/>
      <c r="C89" s="331"/>
      <c r="D89" s="331"/>
      <c r="E89" s="327"/>
      <c r="F89" s="327"/>
      <c r="G89" s="327"/>
      <c r="H89" s="327"/>
      <c r="I89" s="327"/>
      <c r="J89" s="327"/>
      <c r="K89" s="327"/>
      <c r="L89" s="256"/>
    </row>
    <row r="90" spans="1:13" x14ac:dyDescent="0.25">
      <c r="A90" s="331"/>
      <c r="B90" s="329" t="s">
        <v>166</v>
      </c>
      <c r="C90" s="331"/>
      <c r="D90" s="331"/>
      <c r="E90" s="193">
        <f>SUM(E10:E88)</f>
        <v>63497802</v>
      </c>
      <c r="F90" s="193"/>
      <c r="G90" s="193">
        <f>SUM(G10:G88)</f>
        <v>284932</v>
      </c>
      <c r="H90" s="193"/>
      <c r="I90" s="193">
        <f>SUM(I10:I88)</f>
        <v>22297053</v>
      </c>
      <c r="J90" s="193"/>
      <c r="K90" s="193">
        <f>SUM(K10:K88)</f>
        <v>86079787</v>
      </c>
    </row>
    <row r="91" spans="1:13" x14ac:dyDescent="0.25">
      <c r="A91" s="331"/>
      <c r="B91" s="331"/>
      <c r="C91" s="331"/>
      <c r="D91" s="331"/>
      <c r="E91" s="331"/>
      <c r="F91" s="331"/>
      <c r="G91" s="331"/>
      <c r="H91" s="331"/>
      <c r="I91" s="331"/>
      <c r="J91" s="331"/>
      <c r="K91" s="331"/>
    </row>
    <row r="92" spans="1:13" x14ac:dyDescent="0.25">
      <c r="A92" s="331"/>
      <c r="B92" s="139" t="s">
        <v>1016</v>
      </c>
      <c r="C92" s="331"/>
      <c r="D92" s="331"/>
      <c r="E92" s="263">
        <f>SUM(E10:E57)</f>
        <v>7097707</v>
      </c>
      <c r="F92" s="263"/>
      <c r="G92" s="263">
        <f>SUM(G10:G57)</f>
        <v>284932</v>
      </c>
      <c r="H92" s="263"/>
      <c r="I92" s="263">
        <f>SUM(I10:I57)</f>
        <v>13171306</v>
      </c>
      <c r="J92" s="193"/>
      <c r="K92" s="193">
        <f>SUM(E92:I92)</f>
        <v>20553945</v>
      </c>
    </row>
    <row r="93" spans="1:13" x14ac:dyDescent="0.25">
      <c r="A93" s="331"/>
      <c r="B93" s="140" t="s">
        <v>994</v>
      </c>
      <c r="C93" s="331"/>
      <c r="D93" s="331"/>
      <c r="E93" s="198"/>
      <c r="F93" s="331"/>
      <c r="G93" s="198"/>
      <c r="H93" s="331"/>
      <c r="I93" s="198"/>
      <c r="J93" s="331"/>
      <c r="K93" s="324">
        <v>434673.1</v>
      </c>
      <c r="L93" s="234"/>
      <c r="M93" s="198"/>
    </row>
    <row r="94" spans="1:13" x14ac:dyDescent="0.25">
      <c r="A94" s="331"/>
      <c r="B94" s="139" t="s">
        <v>1017</v>
      </c>
      <c r="C94" s="331"/>
      <c r="D94" s="331"/>
      <c r="E94" s="198"/>
      <c r="F94" s="331"/>
      <c r="G94" s="198"/>
      <c r="H94" s="331"/>
      <c r="I94" s="198"/>
      <c r="J94" s="331"/>
      <c r="K94" s="263">
        <f>K10+K11+K17+K18+K19+K20+K47+K21+K37+K38+K39+K40+K48+K50</f>
        <v>8501061</v>
      </c>
      <c r="M94" s="97"/>
    </row>
    <row r="95" spans="1:13" x14ac:dyDescent="0.25">
      <c r="A95" s="331"/>
      <c r="B95" s="140" t="s">
        <v>1018</v>
      </c>
      <c r="C95" s="331"/>
      <c r="D95" s="331"/>
      <c r="E95" s="331"/>
      <c r="F95" s="331"/>
      <c r="G95" s="331"/>
      <c r="H95" s="331"/>
      <c r="I95" s="331"/>
      <c r="J95" s="331"/>
      <c r="K95" s="324">
        <v>1955540.3</v>
      </c>
      <c r="L95" s="205"/>
    </row>
    <row r="96" spans="1:13" x14ac:dyDescent="0.25">
      <c r="A96" s="331"/>
      <c r="B96" s="140" t="s">
        <v>1019</v>
      </c>
      <c r="C96" s="331"/>
      <c r="D96" s="331"/>
      <c r="E96" s="331"/>
      <c r="F96" s="331"/>
      <c r="G96" s="331"/>
      <c r="H96" s="331"/>
      <c r="I96" s="331"/>
      <c r="J96" s="331"/>
      <c r="K96" s="291">
        <v>268644.68</v>
      </c>
      <c r="L96" s="205"/>
    </row>
    <row r="97" spans="1:11" x14ac:dyDescent="0.25">
      <c r="A97" s="331"/>
      <c r="B97" s="140" t="s">
        <v>1020</v>
      </c>
      <c r="C97" s="331"/>
      <c r="D97" s="331"/>
      <c r="E97" s="331"/>
      <c r="F97" s="331"/>
      <c r="G97" s="331"/>
      <c r="H97" s="331"/>
      <c r="I97" s="331"/>
      <c r="J97" s="331"/>
      <c r="K97" s="20">
        <f>K92+K93-K94-K95-K96</f>
        <v>10263372.120000001</v>
      </c>
    </row>
    <row r="98" spans="1:11" x14ac:dyDescent="0.25">
      <c r="K98" s="8"/>
    </row>
    <row r="99" spans="1:11" x14ac:dyDescent="0.25">
      <c r="E99" s="97"/>
      <c r="G99" s="97"/>
      <c r="I99" s="97"/>
      <c r="K99" s="97"/>
    </row>
  </sheetData>
  <mergeCells count="4">
    <mergeCell ref="A1:J1"/>
    <mergeCell ref="A2:J2"/>
    <mergeCell ref="A4:J4"/>
    <mergeCell ref="A3:J3"/>
  </mergeCells>
  <pageMargins left="0.7" right="0.7" top="0.75" bottom="0.75" header="0.3" footer="0.3"/>
  <pageSetup scale="4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zoomScale="80" zoomScaleNormal="80" workbookViewId="0">
      <selection sqref="A1:L1"/>
    </sheetView>
  </sheetViews>
  <sheetFormatPr defaultRowHeight="15" x14ac:dyDescent="0.25"/>
  <cols>
    <col min="1" max="1" width="35.28515625" style="274" bestFit="1" customWidth="1"/>
    <col min="2" max="2" width="9.140625" style="274"/>
    <col min="3" max="3" width="9.42578125" style="274" bestFit="1" customWidth="1"/>
    <col min="4" max="4" width="2.85546875" style="274" customWidth="1"/>
    <col min="5" max="5" width="11.140625" style="274" bestFit="1" customWidth="1"/>
    <col min="6" max="6" width="2.85546875" style="274" customWidth="1"/>
    <col min="7" max="7" width="14.140625" style="274" customWidth="1"/>
    <col min="8" max="8" width="2.85546875" style="274" customWidth="1"/>
    <col min="9" max="9" width="14.140625" style="274" bestFit="1" customWidth="1"/>
    <col min="10" max="10" width="2.85546875" style="274" customWidth="1"/>
    <col min="11" max="11" width="13.42578125" style="274" customWidth="1"/>
    <col min="12" max="12" width="2.85546875" style="274" customWidth="1"/>
    <col min="13" max="13" width="18.5703125" style="274" bestFit="1" customWidth="1"/>
    <col min="14" max="14" width="18.42578125" style="274" bestFit="1" customWidth="1"/>
    <col min="15" max="16384" width="9.140625" style="274"/>
  </cols>
  <sheetData>
    <row r="1" spans="1:13" x14ac:dyDescent="0.25">
      <c r="A1" s="359" t="s">
        <v>0</v>
      </c>
      <c r="B1" s="359"/>
      <c r="C1" s="359"/>
      <c r="D1" s="359"/>
      <c r="E1" s="359"/>
      <c r="F1" s="359"/>
      <c r="G1" s="359"/>
      <c r="H1" s="359"/>
      <c r="I1" s="359"/>
      <c r="J1" s="359"/>
      <c r="K1" s="359"/>
      <c r="L1" s="359"/>
      <c r="M1" s="278" t="s">
        <v>406</v>
      </c>
    </row>
    <row r="2" spans="1:13" x14ac:dyDescent="0.25">
      <c r="A2" s="359" t="s">
        <v>446</v>
      </c>
      <c r="B2" s="359"/>
      <c r="C2" s="359"/>
      <c r="D2" s="359"/>
      <c r="E2" s="359"/>
      <c r="F2" s="359"/>
      <c r="G2" s="359"/>
      <c r="H2" s="359"/>
      <c r="I2" s="359"/>
      <c r="J2" s="359"/>
      <c r="K2" s="359"/>
      <c r="L2" s="359"/>
      <c r="M2" s="278" t="s">
        <v>268</v>
      </c>
    </row>
    <row r="3" spans="1:13" x14ac:dyDescent="0.25">
      <c r="A3" s="26"/>
      <c r="B3" s="26"/>
      <c r="C3" s="26"/>
      <c r="D3" s="26"/>
      <c r="E3" s="26"/>
      <c r="F3" s="26"/>
      <c r="G3" s="26"/>
      <c r="H3" s="26"/>
      <c r="I3" s="26"/>
      <c r="J3" s="26"/>
      <c r="K3" s="26"/>
      <c r="L3" s="26"/>
      <c r="M3" s="26"/>
    </row>
    <row r="4" spans="1:13" x14ac:dyDescent="0.25">
      <c r="A4" s="359" t="s">
        <v>445</v>
      </c>
      <c r="B4" s="359"/>
      <c r="C4" s="359"/>
      <c r="D4" s="359"/>
      <c r="E4" s="359"/>
      <c r="F4" s="359"/>
      <c r="G4" s="359"/>
      <c r="H4" s="359"/>
      <c r="I4" s="359"/>
      <c r="J4" s="359"/>
      <c r="K4" s="359"/>
      <c r="L4" s="359"/>
      <c r="M4" s="278"/>
    </row>
    <row r="5" spans="1:13" x14ac:dyDescent="0.25">
      <c r="A5" s="359" t="s">
        <v>468</v>
      </c>
      <c r="B5" s="359"/>
      <c r="C5" s="359"/>
      <c r="D5" s="359"/>
      <c r="E5" s="359"/>
      <c r="F5" s="359"/>
      <c r="G5" s="359"/>
      <c r="H5" s="359"/>
      <c r="I5" s="359"/>
      <c r="J5" s="359"/>
      <c r="K5" s="359"/>
      <c r="L5" s="359"/>
      <c r="M5" s="278"/>
    </row>
    <row r="6" spans="1:13" x14ac:dyDescent="0.25">
      <c r="A6" s="365" t="s">
        <v>1129</v>
      </c>
      <c r="B6" s="365"/>
      <c r="C6" s="365"/>
      <c r="D6" s="365"/>
      <c r="E6" s="365"/>
      <c r="F6" s="365"/>
      <c r="G6" s="365"/>
      <c r="H6" s="365"/>
      <c r="I6" s="365"/>
      <c r="J6" s="365"/>
      <c r="K6" s="365"/>
    </row>
    <row r="8" spans="1:13" x14ac:dyDescent="0.25">
      <c r="A8" s="15" t="s">
        <v>962</v>
      </c>
    </row>
    <row r="10" spans="1:13" x14ac:dyDescent="0.25">
      <c r="G10" s="279" t="s">
        <v>269</v>
      </c>
      <c r="H10" s="279"/>
      <c r="I10" s="279" t="s">
        <v>271</v>
      </c>
      <c r="J10" s="279"/>
      <c r="K10" s="279" t="s">
        <v>5</v>
      </c>
    </row>
    <row r="11" spans="1:13" x14ac:dyDescent="0.25">
      <c r="G11" s="279" t="s">
        <v>270</v>
      </c>
      <c r="H11" s="279"/>
      <c r="I11" s="279" t="s">
        <v>272</v>
      </c>
      <c r="J11" s="279"/>
      <c r="K11" s="279" t="s">
        <v>273</v>
      </c>
    </row>
    <row r="13" spans="1:13" x14ac:dyDescent="0.25">
      <c r="B13" s="274" t="s">
        <v>191</v>
      </c>
      <c r="G13" s="276">
        <v>0</v>
      </c>
      <c r="I13" s="276">
        <v>0</v>
      </c>
      <c r="K13" s="9">
        <f>G13+I13</f>
        <v>0</v>
      </c>
    </row>
    <row r="14" spans="1:13" x14ac:dyDescent="0.25">
      <c r="G14" s="240"/>
      <c r="I14" s="240"/>
    </row>
    <row r="15" spans="1:13" x14ac:dyDescent="0.25">
      <c r="B15" s="274" t="s">
        <v>285</v>
      </c>
      <c r="G15" s="248">
        <v>0</v>
      </c>
      <c r="I15" s="248">
        <v>0</v>
      </c>
    </row>
    <row r="17" spans="1:13" x14ac:dyDescent="0.25">
      <c r="A17" s="15" t="s">
        <v>274</v>
      </c>
    </row>
    <row r="18" spans="1:13" x14ac:dyDescent="0.25">
      <c r="G18" s="362" t="s">
        <v>275</v>
      </c>
      <c r="H18" s="363"/>
      <c r="I18" s="363"/>
      <c r="J18" s="363"/>
      <c r="K18" s="364"/>
    </row>
    <row r="19" spans="1:13" x14ac:dyDescent="0.25">
      <c r="M19" s="279" t="s">
        <v>278</v>
      </c>
    </row>
    <row r="20" spans="1:13" x14ac:dyDescent="0.25">
      <c r="C20" s="279" t="s">
        <v>276</v>
      </c>
      <c r="D20" s="279"/>
      <c r="E20" s="279" t="s">
        <v>168</v>
      </c>
      <c r="F20" s="279"/>
      <c r="G20" s="279" t="s">
        <v>277</v>
      </c>
      <c r="I20" s="279" t="s">
        <v>269</v>
      </c>
      <c r="K20" s="279" t="s">
        <v>271</v>
      </c>
      <c r="M20" s="279" t="s">
        <v>282</v>
      </c>
    </row>
    <row r="21" spans="1:13" x14ac:dyDescent="0.25">
      <c r="C21" s="279" t="s">
        <v>279</v>
      </c>
      <c r="D21" s="279"/>
      <c r="E21" s="279" t="s">
        <v>280</v>
      </c>
      <c r="F21" s="279"/>
      <c r="G21" s="279" t="s">
        <v>272</v>
      </c>
      <c r="I21" s="279" t="s">
        <v>281</v>
      </c>
      <c r="J21" s="279"/>
      <c r="K21" s="279" t="s">
        <v>272</v>
      </c>
    </row>
    <row r="22" spans="1:13" x14ac:dyDescent="0.25">
      <c r="M22" s="9">
        <f>K13-I23-K23</f>
        <v>0</v>
      </c>
    </row>
    <row r="23" spans="1:13" x14ac:dyDescent="0.25">
      <c r="C23" s="94">
        <v>40909</v>
      </c>
      <c r="E23" s="193"/>
      <c r="G23" s="193"/>
      <c r="I23" s="193"/>
      <c r="K23" s="193">
        <v>0</v>
      </c>
      <c r="M23" s="9">
        <f t="shared" ref="M23:M33" si="0">M22-I24-K24</f>
        <v>0</v>
      </c>
    </row>
    <row r="24" spans="1:13" x14ac:dyDescent="0.25">
      <c r="C24" s="94">
        <v>40940</v>
      </c>
      <c r="E24" s="193"/>
      <c r="G24" s="193"/>
      <c r="I24" s="193"/>
      <c r="K24" s="193">
        <v>0</v>
      </c>
      <c r="M24" s="9">
        <f t="shared" si="0"/>
        <v>0</v>
      </c>
    </row>
    <row r="25" spans="1:13" x14ac:dyDescent="0.25">
      <c r="C25" s="94">
        <v>40969</v>
      </c>
      <c r="E25" s="193"/>
      <c r="G25" s="193"/>
      <c r="I25" s="193"/>
      <c r="K25" s="193">
        <v>0</v>
      </c>
      <c r="M25" s="9">
        <f t="shared" si="0"/>
        <v>0</v>
      </c>
    </row>
    <row r="26" spans="1:13" x14ac:dyDescent="0.25">
      <c r="C26" s="94">
        <v>41000</v>
      </c>
      <c r="E26" s="193"/>
      <c r="G26" s="193"/>
      <c r="I26" s="193"/>
      <c r="K26" s="193">
        <v>0</v>
      </c>
      <c r="M26" s="9">
        <f t="shared" si="0"/>
        <v>0</v>
      </c>
    </row>
    <row r="27" spans="1:13" x14ac:dyDescent="0.25">
      <c r="C27" s="94">
        <v>41030</v>
      </c>
      <c r="E27" s="193"/>
      <c r="G27" s="193"/>
      <c r="I27" s="193"/>
      <c r="K27" s="193">
        <v>0</v>
      </c>
      <c r="M27" s="9">
        <f t="shared" si="0"/>
        <v>0</v>
      </c>
    </row>
    <row r="28" spans="1:13" x14ac:dyDescent="0.25">
      <c r="C28" s="94">
        <v>41061</v>
      </c>
      <c r="E28" s="193"/>
      <c r="G28" s="193"/>
      <c r="I28" s="193"/>
      <c r="K28" s="193">
        <v>0</v>
      </c>
      <c r="M28" s="9">
        <f t="shared" si="0"/>
        <v>0</v>
      </c>
    </row>
    <row r="29" spans="1:13" x14ac:dyDescent="0.25">
      <c r="C29" s="94">
        <v>41091</v>
      </c>
      <c r="E29" s="193"/>
      <c r="G29" s="193"/>
      <c r="I29" s="193"/>
      <c r="K29" s="193">
        <v>0</v>
      </c>
      <c r="M29" s="9">
        <f t="shared" si="0"/>
        <v>0</v>
      </c>
    </row>
    <row r="30" spans="1:13" x14ac:dyDescent="0.25">
      <c r="C30" s="94">
        <v>41122</v>
      </c>
      <c r="E30" s="193"/>
      <c r="G30" s="193"/>
      <c r="I30" s="193"/>
      <c r="K30" s="193">
        <v>0</v>
      </c>
      <c r="M30" s="9">
        <f t="shared" si="0"/>
        <v>0</v>
      </c>
    </row>
    <row r="31" spans="1:13" x14ac:dyDescent="0.25">
      <c r="C31" s="94">
        <v>41153</v>
      </c>
      <c r="E31" s="193"/>
      <c r="G31" s="193"/>
      <c r="I31" s="193"/>
      <c r="K31" s="193">
        <v>0</v>
      </c>
      <c r="M31" s="9">
        <f t="shared" si="0"/>
        <v>0</v>
      </c>
    </row>
    <row r="32" spans="1:13" x14ac:dyDescent="0.25">
      <c r="C32" s="94">
        <v>41183</v>
      </c>
      <c r="E32" s="193"/>
      <c r="G32" s="193"/>
      <c r="I32" s="193"/>
      <c r="K32" s="193">
        <v>0</v>
      </c>
      <c r="M32" s="9">
        <f t="shared" si="0"/>
        <v>0</v>
      </c>
    </row>
    <row r="33" spans="1:13" x14ac:dyDescent="0.25">
      <c r="C33" s="94">
        <v>41214</v>
      </c>
      <c r="E33" s="193"/>
      <c r="G33" s="193"/>
      <c r="I33" s="193"/>
      <c r="K33" s="193">
        <v>0</v>
      </c>
      <c r="M33" s="95">
        <f t="shared" si="0"/>
        <v>0</v>
      </c>
    </row>
    <row r="34" spans="1:13" x14ac:dyDescent="0.25">
      <c r="C34" s="94">
        <v>41244</v>
      </c>
      <c r="E34" s="189"/>
      <c r="G34" s="189"/>
      <c r="I34" s="189"/>
      <c r="K34" s="189">
        <v>0</v>
      </c>
      <c r="M34" s="9"/>
    </row>
    <row r="35" spans="1:13" x14ac:dyDescent="0.25">
      <c r="E35" s="9">
        <f>SUM(E23:E34)</f>
        <v>0</v>
      </c>
      <c r="G35" s="9">
        <f>SUM(G23:G34)</f>
        <v>0</v>
      </c>
      <c r="I35" s="9">
        <f>SUM(I23:I34)</f>
        <v>0</v>
      </c>
      <c r="K35" s="9">
        <f>SUM(K23:K34)</f>
        <v>0</v>
      </c>
    </row>
    <row r="37" spans="1:13" x14ac:dyDescent="0.25">
      <c r="A37" s="274" t="s">
        <v>286</v>
      </c>
      <c r="E37" s="9">
        <f>G35+K35</f>
        <v>0</v>
      </c>
      <c r="G37" s="9">
        <f>G35</f>
        <v>0</v>
      </c>
      <c r="K37" s="9">
        <f>K35</f>
        <v>0</v>
      </c>
    </row>
    <row r="38" spans="1:13" x14ac:dyDescent="0.25">
      <c r="M38" s="9">
        <f>I39+K39</f>
        <v>0</v>
      </c>
    </row>
    <row r="39" spans="1:13" x14ac:dyDescent="0.25">
      <c r="A39" s="274" t="s">
        <v>287</v>
      </c>
      <c r="I39" s="9">
        <f>M33*G15</f>
        <v>0</v>
      </c>
      <c r="J39" s="9"/>
      <c r="K39" s="9">
        <f>M33*I15</f>
        <v>0</v>
      </c>
    </row>
    <row r="41" spans="1:13" x14ac:dyDescent="0.25">
      <c r="K41" s="193"/>
    </row>
    <row r="44" spans="1:13" x14ac:dyDescent="0.25">
      <c r="A44" s="15" t="s">
        <v>676</v>
      </c>
    </row>
    <row r="45" spans="1:13" x14ac:dyDescent="0.25">
      <c r="B45" s="279"/>
      <c r="E45" s="279"/>
      <c r="F45" s="279"/>
      <c r="G45" s="279"/>
      <c r="I45" s="279"/>
      <c r="K45" s="279" t="s">
        <v>684</v>
      </c>
    </row>
    <row r="46" spans="1:13" x14ac:dyDescent="0.25">
      <c r="B46" s="64"/>
      <c r="E46" s="64" t="s">
        <v>677</v>
      </c>
      <c r="G46" s="279" t="s">
        <v>686</v>
      </c>
      <c r="I46" s="193" t="s">
        <v>1088</v>
      </c>
      <c r="K46" s="193">
        <v>0</v>
      </c>
    </row>
    <row r="48" spans="1:13" x14ac:dyDescent="0.25">
      <c r="B48" s="279"/>
      <c r="E48" s="279"/>
      <c r="G48" s="279" t="s">
        <v>678</v>
      </c>
      <c r="I48" s="279" t="s">
        <v>679</v>
      </c>
      <c r="K48" s="279" t="s">
        <v>680</v>
      </c>
    </row>
    <row r="49" spans="2:11" x14ac:dyDescent="0.25">
      <c r="B49" s="279"/>
      <c r="E49" s="279" t="s">
        <v>681</v>
      </c>
      <c r="G49" s="279" t="s">
        <v>682</v>
      </c>
      <c r="I49" s="65">
        <v>40908</v>
      </c>
      <c r="K49" s="279" t="s">
        <v>683</v>
      </c>
    </row>
    <row r="51" spans="2:11" x14ac:dyDescent="0.25">
      <c r="B51" s="279"/>
      <c r="E51" s="88">
        <v>2.12E-2</v>
      </c>
      <c r="G51" s="67">
        <f>12/E51</f>
        <v>566.03773584905662</v>
      </c>
      <c r="I51" s="159">
        <f>(54.5+12)/G51</f>
        <v>0.11748333333333333</v>
      </c>
      <c r="K51" s="68">
        <v>0</v>
      </c>
    </row>
    <row r="52" spans="2:11" x14ac:dyDescent="0.25">
      <c r="B52" s="279"/>
      <c r="E52" s="66"/>
      <c r="G52" s="279"/>
      <c r="I52" s="279"/>
      <c r="K52" s="279"/>
    </row>
    <row r="53" spans="2:11" x14ac:dyDescent="0.25">
      <c r="B53" s="279"/>
      <c r="E53" s="66"/>
      <c r="G53" s="279"/>
      <c r="I53" s="279"/>
      <c r="K53" s="279"/>
    </row>
    <row r="54" spans="2:11" x14ac:dyDescent="0.25">
      <c r="B54" s="279"/>
      <c r="E54" s="66"/>
      <c r="G54" s="279"/>
      <c r="I54" s="279"/>
      <c r="K54" s="279"/>
    </row>
    <row r="55" spans="2:11" x14ac:dyDescent="0.25">
      <c r="B55" s="279"/>
      <c r="E55" s="69"/>
      <c r="G55" s="279"/>
      <c r="I55" s="279"/>
      <c r="K55" s="279"/>
    </row>
    <row r="56" spans="2:11" x14ac:dyDescent="0.25">
      <c r="B56" s="279"/>
      <c r="E56" s="66"/>
      <c r="G56" s="70"/>
      <c r="I56" s="66"/>
      <c r="K56" s="68"/>
    </row>
  </sheetData>
  <mergeCells count="6">
    <mergeCell ref="G18:K18"/>
    <mergeCell ref="A1:L1"/>
    <mergeCell ref="A2:L2"/>
    <mergeCell ref="A4:L4"/>
    <mergeCell ref="A5:L5"/>
    <mergeCell ref="A6:K6"/>
  </mergeCells>
  <pageMargins left="0.7" right="0.7" top="0.75" bottom="0.75" header="0.3" footer="0.3"/>
  <pageSetup scale="57"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5"/>
  <sheetViews>
    <sheetView zoomScaleNormal="100" workbookViewId="0">
      <selection sqref="A1:F1"/>
    </sheetView>
  </sheetViews>
  <sheetFormatPr defaultRowHeight="15" x14ac:dyDescent="0.25"/>
  <cols>
    <col min="1" max="1" width="3" style="274" bestFit="1" customWidth="1"/>
    <col min="2" max="2" width="43.42578125" style="274" customWidth="1"/>
    <col min="3" max="3" width="22" style="274" customWidth="1"/>
    <col min="4" max="4" width="17.42578125" style="274" bestFit="1" customWidth="1"/>
    <col min="5" max="5" width="15.140625" style="274" bestFit="1" customWidth="1"/>
    <col min="6" max="6" width="14.140625" style="274" bestFit="1" customWidth="1"/>
    <col min="7" max="7" width="22.7109375" style="274" customWidth="1"/>
    <col min="8" max="8" width="14.28515625" style="274" bestFit="1" customWidth="1"/>
    <col min="9" max="9" width="3.140625" style="274" customWidth="1"/>
    <col min="10" max="10" width="2.85546875" style="274" customWidth="1"/>
    <col min="11" max="11" width="23.140625" style="274" customWidth="1"/>
    <col min="12" max="12" width="9.140625" style="274"/>
    <col min="13" max="13" width="14.28515625" style="274" bestFit="1" customWidth="1"/>
    <col min="14" max="16384" width="9.140625" style="274"/>
  </cols>
  <sheetData>
    <row r="1" spans="1:7" x14ac:dyDescent="0.25">
      <c r="A1" s="359" t="s">
        <v>0</v>
      </c>
      <c r="B1" s="359"/>
      <c r="C1" s="359"/>
      <c r="D1" s="359"/>
      <c r="E1" s="359"/>
      <c r="F1" s="359"/>
      <c r="G1" s="278" t="s">
        <v>406</v>
      </c>
    </row>
    <row r="2" spans="1:7" x14ac:dyDescent="0.25">
      <c r="A2" s="359" t="s">
        <v>116</v>
      </c>
      <c r="B2" s="359"/>
      <c r="C2" s="359"/>
      <c r="D2" s="359"/>
      <c r="E2" s="359"/>
      <c r="F2" s="359"/>
      <c r="G2" s="278" t="s">
        <v>263</v>
      </c>
    </row>
    <row r="3" spans="1:7" x14ac:dyDescent="0.25">
      <c r="A3" s="359"/>
      <c r="B3" s="359"/>
      <c r="C3" s="359"/>
      <c r="D3" s="359"/>
      <c r="E3" s="359"/>
      <c r="F3" s="359"/>
    </row>
    <row r="4" spans="1:7" x14ac:dyDescent="0.25">
      <c r="A4" s="359" t="s">
        <v>235</v>
      </c>
      <c r="B4" s="359"/>
      <c r="C4" s="359"/>
      <c r="D4" s="359"/>
      <c r="E4" s="359"/>
      <c r="F4" s="359"/>
      <c r="G4" s="279"/>
    </row>
    <row r="5" spans="1:7" x14ac:dyDescent="0.25">
      <c r="A5" s="279"/>
      <c r="B5" s="279"/>
      <c r="C5" s="279"/>
      <c r="D5" s="279"/>
      <c r="E5" s="279"/>
      <c r="F5" s="279"/>
      <c r="G5" s="279"/>
    </row>
    <row r="6" spans="1:7" x14ac:dyDescent="0.25">
      <c r="A6" s="279"/>
      <c r="B6" s="279"/>
      <c r="C6" s="279"/>
      <c r="D6" s="279"/>
      <c r="E6" s="279"/>
      <c r="F6" s="279"/>
      <c r="G6" s="279"/>
    </row>
    <row r="7" spans="1:7" x14ac:dyDescent="0.25">
      <c r="A7" s="274">
        <v>1</v>
      </c>
      <c r="B7" s="138" t="s">
        <v>330</v>
      </c>
      <c r="D7" s="276">
        <v>44689400</v>
      </c>
      <c r="E7" s="279"/>
      <c r="F7" s="270"/>
    </row>
    <row r="8" spans="1:7" x14ac:dyDescent="0.25">
      <c r="A8" s="274">
        <v>2</v>
      </c>
      <c r="B8" s="138" t="s">
        <v>331</v>
      </c>
      <c r="C8" s="274" t="s">
        <v>1030</v>
      </c>
      <c r="D8" s="263">
        <f>D7*0.2675</f>
        <v>11954414.5</v>
      </c>
      <c r="E8" s="279"/>
      <c r="F8" s="279"/>
    </row>
    <row r="9" spans="1:7" x14ac:dyDescent="0.25">
      <c r="B9" s="138"/>
      <c r="C9" s="279"/>
      <c r="E9" s="279"/>
      <c r="F9" s="279"/>
    </row>
    <row r="10" spans="1:7" x14ac:dyDescent="0.25">
      <c r="A10" s="274">
        <v>3</v>
      </c>
      <c r="B10" s="138" t="s">
        <v>385</v>
      </c>
      <c r="C10" s="138" t="s">
        <v>383</v>
      </c>
      <c r="D10" s="193">
        <v>0</v>
      </c>
      <c r="E10" s="334"/>
      <c r="F10" s="279"/>
    </row>
    <row r="11" spans="1:7" x14ac:dyDescent="0.25">
      <c r="A11" s="91">
        <v>4</v>
      </c>
      <c r="B11" s="92" t="s">
        <v>384</v>
      </c>
      <c r="C11" s="125" t="s">
        <v>1021</v>
      </c>
      <c r="D11" s="193">
        <f>D10/E25</f>
        <v>0</v>
      </c>
      <c r="E11" s="334"/>
    </row>
    <row r="12" spans="1:7" x14ac:dyDescent="0.25">
      <c r="D12" s="331"/>
      <c r="E12" s="331"/>
      <c r="G12" s="93"/>
    </row>
    <row r="13" spans="1:7" x14ac:dyDescent="0.25">
      <c r="D13" s="332"/>
      <c r="E13" s="332"/>
      <c r="F13" s="259"/>
      <c r="G13" s="259"/>
    </row>
    <row r="14" spans="1:7" x14ac:dyDescent="0.25">
      <c r="B14" s="15" t="s">
        <v>236</v>
      </c>
      <c r="D14" s="131" t="s">
        <v>4</v>
      </c>
      <c r="E14" s="259"/>
      <c r="F14" s="259"/>
      <c r="G14" s="259"/>
    </row>
    <row r="15" spans="1:7" x14ac:dyDescent="0.25">
      <c r="A15" s="274">
        <v>5</v>
      </c>
      <c r="B15" s="274" t="s">
        <v>1133</v>
      </c>
      <c r="D15" s="331"/>
      <c r="E15" s="331"/>
      <c r="F15" s="259"/>
      <c r="G15" s="259"/>
    </row>
    <row r="16" spans="1:7" x14ac:dyDescent="0.25">
      <c r="A16" s="274">
        <v>6</v>
      </c>
      <c r="B16" s="274" t="s">
        <v>242</v>
      </c>
      <c r="D16" s="334" t="s">
        <v>243</v>
      </c>
      <c r="E16" s="338">
        <v>159852</v>
      </c>
      <c r="F16" s="259"/>
      <c r="G16" s="259"/>
    </row>
    <row r="17" spans="1:7" x14ac:dyDescent="0.25">
      <c r="A17" s="274">
        <v>7</v>
      </c>
      <c r="B17" s="274" t="s">
        <v>237</v>
      </c>
      <c r="D17" s="334" t="s">
        <v>238</v>
      </c>
      <c r="E17" s="338">
        <v>46712</v>
      </c>
      <c r="F17" s="259"/>
      <c r="G17" s="259"/>
    </row>
    <row r="18" spans="1:7" x14ac:dyDescent="0.25">
      <c r="A18" s="274">
        <v>8</v>
      </c>
      <c r="B18" s="274" t="s">
        <v>475</v>
      </c>
      <c r="D18" s="334" t="s">
        <v>239</v>
      </c>
      <c r="E18" s="338">
        <v>26651</v>
      </c>
      <c r="F18" s="259"/>
      <c r="G18" s="259"/>
    </row>
    <row r="19" spans="1:7" x14ac:dyDescent="0.25">
      <c r="A19" s="274">
        <v>9</v>
      </c>
      <c r="B19" s="274" t="s">
        <v>240</v>
      </c>
      <c r="D19" s="334" t="s">
        <v>241</v>
      </c>
      <c r="E19" s="348">
        <v>0</v>
      </c>
      <c r="F19" s="259"/>
      <c r="G19" s="259"/>
    </row>
    <row r="20" spans="1:7" x14ac:dyDescent="0.25">
      <c r="A20" s="274">
        <v>10</v>
      </c>
      <c r="B20" s="274" t="s">
        <v>1022</v>
      </c>
      <c r="D20" s="334" t="s">
        <v>1031</v>
      </c>
      <c r="E20" s="327">
        <f>SUM(E16:E19)</f>
        <v>233215</v>
      </c>
      <c r="F20" s="259"/>
      <c r="G20" s="259"/>
    </row>
    <row r="21" spans="1:7" x14ac:dyDescent="0.25">
      <c r="D21" s="331"/>
      <c r="E21" s="331"/>
      <c r="F21" s="259"/>
      <c r="G21" s="259"/>
    </row>
    <row r="22" spans="1:7" x14ac:dyDescent="0.25">
      <c r="A22" s="259">
        <v>11</v>
      </c>
      <c r="B22" s="259" t="s">
        <v>1023</v>
      </c>
      <c r="D22" s="129" t="s">
        <v>1027</v>
      </c>
      <c r="E22" s="248">
        <v>2.1100000000000001E-2</v>
      </c>
      <c r="F22" s="259"/>
      <c r="G22" s="259"/>
    </row>
    <row r="23" spans="1:7" x14ac:dyDescent="0.25">
      <c r="A23" s="259">
        <v>12</v>
      </c>
      <c r="B23" s="259" t="s">
        <v>1024</v>
      </c>
      <c r="D23" s="129" t="s">
        <v>1201</v>
      </c>
      <c r="E23" s="288">
        <f>E17/(1+E22)</f>
        <v>45746.743707766138</v>
      </c>
    </row>
    <row r="24" spans="1:7" ht="30" customHeight="1" x14ac:dyDescent="0.25">
      <c r="A24" s="128">
        <v>13</v>
      </c>
      <c r="B24" s="132" t="s">
        <v>1025</v>
      </c>
      <c r="D24" s="133" t="s">
        <v>1028</v>
      </c>
      <c r="E24" s="134">
        <f>E18+E23</f>
        <v>72397.743707766145</v>
      </c>
    </row>
    <row r="25" spans="1:7" x14ac:dyDescent="0.25">
      <c r="A25" s="259">
        <v>14</v>
      </c>
      <c r="B25" s="259" t="s">
        <v>1026</v>
      </c>
      <c r="D25" s="129" t="s">
        <v>1029</v>
      </c>
      <c r="E25" s="130">
        <f>E24/E20</f>
        <v>0.31043347858313636</v>
      </c>
    </row>
  </sheetData>
  <mergeCells count="4">
    <mergeCell ref="A1:F1"/>
    <mergeCell ref="A2:F2"/>
    <mergeCell ref="A4:F4"/>
    <mergeCell ref="A3:F3"/>
  </mergeCells>
  <pageMargins left="0.7" right="0.7" top="0.75" bottom="0.75" header="0.3" footer="0.3"/>
  <pageSetup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workbookViewId="0"/>
  </sheetViews>
  <sheetFormatPr defaultRowHeight="15" x14ac:dyDescent="0.25"/>
  <cols>
    <col min="2" max="2" width="109.28515625" customWidth="1"/>
    <col min="3" max="3" width="29.85546875" bestFit="1" customWidth="1"/>
  </cols>
  <sheetData>
    <row r="1" spans="1:3" x14ac:dyDescent="0.25">
      <c r="A1" s="1" t="s">
        <v>832</v>
      </c>
      <c r="C1" s="57" t="s">
        <v>868</v>
      </c>
    </row>
    <row r="3" spans="1:3" x14ac:dyDescent="0.25">
      <c r="A3">
        <v>1</v>
      </c>
      <c r="B3" t="s">
        <v>833</v>
      </c>
    </row>
    <row r="4" spans="1:3" x14ac:dyDescent="0.25">
      <c r="B4" t="s">
        <v>891</v>
      </c>
      <c r="C4" t="s">
        <v>861</v>
      </c>
    </row>
    <row r="5" spans="1:3" x14ac:dyDescent="0.25">
      <c r="B5" t="s">
        <v>892</v>
      </c>
      <c r="C5" t="s">
        <v>862</v>
      </c>
    </row>
    <row r="6" spans="1:3" x14ac:dyDescent="0.25">
      <c r="B6" t="s">
        <v>893</v>
      </c>
      <c r="C6" t="s">
        <v>863</v>
      </c>
    </row>
    <row r="7" spans="1:3" x14ac:dyDescent="0.25">
      <c r="B7" t="s">
        <v>890</v>
      </c>
      <c r="C7" t="s">
        <v>864</v>
      </c>
    </row>
    <row r="8" spans="1:3" x14ac:dyDescent="0.25">
      <c r="B8" t="s">
        <v>889</v>
      </c>
      <c r="C8" t="s">
        <v>865</v>
      </c>
    </row>
    <row r="9" spans="1:3" x14ac:dyDescent="0.25">
      <c r="B9" t="s">
        <v>888</v>
      </c>
      <c r="C9" s="56" t="s">
        <v>866</v>
      </c>
    </row>
    <row r="10" spans="1:3" x14ac:dyDescent="0.25">
      <c r="B10" t="s">
        <v>877</v>
      </c>
      <c r="C10" s="56" t="s">
        <v>887</v>
      </c>
    </row>
    <row r="11" spans="1:3" x14ac:dyDescent="0.25">
      <c r="B11" t="s">
        <v>878</v>
      </c>
      <c r="C11" s="56" t="s">
        <v>886</v>
      </c>
    </row>
    <row r="13" spans="1:3" x14ac:dyDescent="0.25">
      <c r="A13">
        <v>2</v>
      </c>
      <c r="B13" t="s">
        <v>834</v>
      </c>
    </row>
    <row r="14" spans="1:3" x14ac:dyDescent="0.25">
      <c r="B14" t="s">
        <v>894</v>
      </c>
      <c r="C14" t="s">
        <v>867</v>
      </c>
    </row>
    <row r="15" spans="1:3" x14ac:dyDescent="0.25">
      <c r="B15" t="s">
        <v>882</v>
      </c>
    </row>
    <row r="17" spans="1:3" x14ac:dyDescent="0.25">
      <c r="A17">
        <v>3</v>
      </c>
      <c r="B17" t="s">
        <v>835</v>
      </c>
    </row>
    <row r="18" spans="1:3" x14ac:dyDescent="0.25">
      <c r="B18" t="s">
        <v>876</v>
      </c>
      <c r="C18" t="s">
        <v>884</v>
      </c>
    </row>
    <row r="19" spans="1:3" x14ac:dyDescent="0.25">
      <c r="B19" t="s">
        <v>836</v>
      </c>
      <c r="C19" t="s">
        <v>885</v>
      </c>
    </row>
    <row r="21" spans="1:3" x14ac:dyDescent="0.25">
      <c r="A21">
        <v>4</v>
      </c>
      <c r="B21" t="s">
        <v>837</v>
      </c>
    </row>
    <row r="22" spans="1:3" ht="30" x14ac:dyDescent="0.25">
      <c r="B22" s="56" t="s">
        <v>838</v>
      </c>
      <c r="C22" t="s">
        <v>869</v>
      </c>
    </row>
    <row r="24" spans="1:3" x14ac:dyDescent="0.25">
      <c r="A24">
        <v>5</v>
      </c>
      <c r="B24" t="s">
        <v>839</v>
      </c>
    </row>
    <row r="25" spans="1:3" x14ac:dyDescent="0.25">
      <c r="B25" t="s">
        <v>840</v>
      </c>
      <c r="C25" t="s">
        <v>870</v>
      </c>
    </row>
    <row r="26" spans="1:3" ht="45" x14ac:dyDescent="0.25">
      <c r="B26" s="56" t="s">
        <v>915</v>
      </c>
      <c r="C26" t="s">
        <v>871</v>
      </c>
    </row>
    <row r="27" spans="1:3" x14ac:dyDescent="0.25">
      <c r="B27" t="s">
        <v>841</v>
      </c>
      <c r="C27" t="s">
        <v>883</v>
      </c>
    </row>
    <row r="29" spans="1:3" x14ac:dyDescent="0.25">
      <c r="A29">
        <v>6</v>
      </c>
      <c r="B29" t="s">
        <v>842</v>
      </c>
    </row>
    <row r="30" spans="1:3" x14ac:dyDescent="0.25">
      <c r="B30" t="s">
        <v>843</v>
      </c>
      <c r="C30" t="s">
        <v>872</v>
      </c>
    </row>
    <row r="32" spans="1:3" x14ac:dyDescent="0.25">
      <c r="A32">
        <v>7</v>
      </c>
      <c r="B32" t="s">
        <v>875</v>
      </c>
    </row>
    <row r="33" spans="1:3" x14ac:dyDescent="0.25">
      <c r="B33" t="s">
        <v>844</v>
      </c>
      <c r="C33" t="s">
        <v>873</v>
      </c>
    </row>
    <row r="34" spans="1:3" x14ac:dyDescent="0.25">
      <c r="B34" t="s">
        <v>874</v>
      </c>
    </row>
    <row r="36" spans="1:3" x14ac:dyDescent="0.25">
      <c r="A36">
        <v>8</v>
      </c>
      <c r="B36" t="s">
        <v>879</v>
      </c>
    </row>
    <row r="37" spans="1:3" x14ac:dyDescent="0.25">
      <c r="B37" s="11" t="s">
        <v>880</v>
      </c>
      <c r="C37" t="s">
        <v>881</v>
      </c>
    </row>
  </sheetData>
  <pageMargins left="0.7" right="0.7" top="0.75" bottom="0.75" header="0.3" footer="0.3"/>
  <pageSetup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zoomScale="90" zoomScaleNormal="90" workbookViewId="0">
      <selection sqref="A1:F1"/>
    </sheetView>
  </sheetViews>
  <sheetFormatPr defaultColWidth="0.7109375" defaultRowHeight="15" x14ac:dyDescent="0.25"/>
  <cols>
    <col min="1" max="1" width="50.85546875" style="6" customWidth="1"/>
    <col min="2" max="2" width="1.7109375" style="6" customWidth="1"/>
    <col min="3" max="3" width="19.85546875" style="6" customWidth="1"/>
    <col min="4" max="4" width="1.7109375" style="6" customWidth="1"/>
    <col min="5" max="5" width="13.85546875" style="6" customWidth="1"/>
    <col min="6" max="6" width="12.85546875" style="6" customWidth="1"/>
    <col min="7" max="7" width="1.7109375" style="6" customWidth="1"/>
    <col min="8" max="8" width="17.42578125" style="6" customWidth="1"/>
    <col min="9" max="9" width="15.85546875" style="201" customWidth="1"/>
    <col min="10" max="41" width="15.85546875" style="6" customWidth="1"/>
    <col min="42" max="16384" width="0.7109375" style="6"/>
  </cols>
  <sheetData>
    <row r="1" spans="1:10" x14ac:dyDescent="0.25">
      <c r="A1" s="359" t="s">
        <v>0</v>
      </c>
      <c r="B1" s="359"/>
      <c r="C1" s="359"/>
      <c r="D1" s="359"/>
      <c r="E1" s="359"/>
      <c r="F1" s="359"/>
      <c r="H1" s="151" t="s">
        <v>406</v>
      </c>
    </row>
    <row r="2" spans="1:10" x14ac:dyDescent="0.25">
      <c r="A2" s="359" t="s">
        <v>116</v>
      </c>
      <c r="B2" s="359"/>
      <c r="C2" s="359"/>
      <c r="D2" s="359"/>
      <c r="E2" s="359"/>
      <c r="F2" s="359"/>
      <c r="H2" s="151" t="s">
        <v>332</v>
      </c>
    </row>
    <row r="3" spans="1:10" x14ac:dyDescent="0.25">
      <c r="A3" s="359"/>
      <c r="B3" s="359"/>
      <c r="C3" s="359"/>
      <c r="D3" s="359"/>
      <c r="E3" s="359"/>
      <c r="F3" s="359"/>
    </row>
    <row r="4" spans="1:10" x14ac:dyDescent="0.25">
      <c r="A4" s="359" t="s">
        <v>447</v>
      </c>
      <c r="B4" s="359"/>
      <c r="C4" s="359"/>
      <c r="D4" s="359"/>
      <c r="E4" s="359"/>
      <c r="F4" s="15"/>
    </row>
    <row r="5" spans="1:10" x14ac:dyDescent="0.25">
      <c r="A5" s="359"/>
      <c r="B5" s="359"/>
      <c r="C5" s="359"/>
      <c r="D5" s="359"/>
      <c r="E5" s="359"/>
      <c r="F5" s="15"/>
    </row>
    <row r="6" spans="1:10" x14ac:dyDescent="0.25">
      <c r="F6" s="10"/>
    </row>
    <row r="7" spans="1:10" x14ac:dyDescent="0.25">
      <c r="C7" s="151" t="s">
        <v>130</v>
      </c>
      <c r="D7" s="15"/>
      <c r="E7" s="15"/>
      <c r="F7" s="15"/>
      <c r="G7" s="15"/>
      <c r="H7" s="15"/>
    </row>
    <row r="8" spans="1:10" x14ac:dyDescent="0.25">
      <c r="C8" s="226">
        <v>43100</v>
      </c>
      <c r="D8" s="15"/>
      <c r="E8" s="359" t="s">
        <v>128</v>
      </c>
      <c r="F8" s="359"/>
      <c r="G8" s="15"/>
      <c r="H8" s="15"/>
    </row>
    <row r="9" spans="1:10" x14ac:dyDescent="0.25">
      <c r="A9" s="14" t="s">
        <v>333</v>
      </c>
      <c r="B9" s="14"/>
      <c r="C9" s="152" t="s">
        <v>131</v>
      </c>
      <c r="D9" s="15"/>
      <c r="E9" s="360" t="s">
        <v>129</v>
      </c>
      <c r="F9" s="360"/>
      <c r="G9" s="15"/>
      <c r="H9" s="152" t="s">
        <v>127</v>
      </c>
    </row>
    <row r="10" spans="1:10" x14ac:dyDescent="0.25">
      <c r="A10" s="312" t="s">
        <v>415</v>
      </c>
      <c r="B10" s="90"/>
      <c r="C10" s="349">
        <f>943490978-SUM(C11:C107)</f>
        <v>646433481.74000001</v>
      </c>
      <c r="D10" s="331"/>
      <c r="E10" s="331" t="s">
        <v>138</v>
      </c>
      <c r="F10" s="330">
        <v>0</v>
      </c>
      <c r="G10" s="331"/>
      <c r="H10" s="322">
        <f t="shared" ref="H10:H74" si="0">C10*F10</f>
        <v>0</v>
      </c>
      <c r="I10" s="206"/>
      <c r="J10" s="145"/>
    </row>
    <row r="11" spans="1:10" x14ac:dyDescent="0.25">
      <c r="A11" s="312" t="s">
        <v>335</v>
      </c>
      <c r="B11" s="90"/>
      <c r="C11" s="264">
        <v>2379388</v>
      </c>
      <c r="D11" s="331"/>
      <c r="E11" s="331" t="s">
        <v>76</v>
      </c>
      <c r="F11" s="315">
        <f>+'Allocation Factors'!$H$21</f>
        <v>3.5773423890158328E-2</v>
      </c>
      <c r="G11" s="331"/>
      <c r="H11" s="322">
        <f t="shared" si="0"/>
        <v>85118.855523156046</v>
      </c>
      <c r="I11" s="206"/>
      <c r="J11" s="145"/>
    </row>
    <row r="12" spans="1:10" x14ac:dyDescent="0.25">
      <c r="A12" s="312" t="s">
        <v>349</v>
      </c>
      <c r="B12" s="90"/>
      <c r="C12" s="264">
        <v>131361</v>
      </c>
      <c r="D12" s="331"/>
      <c r="E12" s="331" t="s">
        <v>76</v>
      </c>
      <c r="F12" s="315">
        <f>+'Allocation Factors'!$H$21</f>
        <v>3.5773423890158328E-2</v>
      </c>
      <c r="G12" s="331"/>
      <c r="H12" s="322">
        <f t="shared" si="0"/>
        <v>4699.2327356350879</v>
      </c>
      <c r="I12" s="206"/>
      <c r="J12" s="145"/>
    </row>
    <row r="13" spans="1:10" x14ac:dyDescent="0.25">
      <c r="A13" s="312" t="s">
        <v>986</v>
      </c>
      <c r="B13" s="90"/>
      <c r="C13" s="264">
        <v>162880</v>
      </c>
      <c r="D13" s="331"/>
      <c r="E13" s="331" t="s">
        <v>75</v>
      </c>
      <c r="F13" s="315">
        <f>+'Allocation Factors'!$H$13</f>
        <v>0.92469611331494961</v>
      </c>
      <c r="G13" s="331"/>
      <c r="H13" s="322">
        <f t="shared" si="0"/>
        <v>150614.50293673898</v>
      </c>
      <c r="I13" s="206"/>
      <c r="J13" s="145"/>
    </row>
    <row r="14" spans="1:10" x14ac:dyDescent="0.25">
      <c r="A14" s="312" t="s">
        <v>928</v>
      </c>
      <c r="B14" s="90"/>
      <c r="C14" s="264">
        <v>0</v>
      </c>
      <c r="D14" s="331"/>
      <c r="E14" s="331" t="s">
        <v>75</v>
      </c>
      <c r="F14" s="315">
        <f>+'Allocation Factors'!$H$13</f>
        <v>0.92469611331494961</v>
      </c>
      <c r="G14" s="331"/>
      <c r="H14" s="322">
        <f t="shared" si="0"/>
        <v>0</v>
      </c>
      <c r="I14" s="206"/>
      <c r="J14" s="145"/>
    </row>
    <row r="15" spans="1:10" x14ac:dyDescent="0.25">
      <c r="A15" s="312" t="s">
        <v>1077</v>
      </c>
      <c r="B15" s="90"/>
      <c r="C15" s="264">
        <f>396723+554+20600</f>
        <v>417877</v>
      </c>
      <c r="D15" s="331"/>
      <c r="E15" s="331" t="s">
        <v>138</v>
      </c>
      <c r="F15" s="330">
        <v>0</v>
      </c>
      <c r="G15" s="331"/>
      <c r="H15" s="322">
        <f t="shared" si="0"/>
        <v>0</v>
      </c>
      <c r="I15" s="206"/>
      <c r="J15" s="145"/>
    </row>
    <row r="16" spans="1:10" x14ac:dyDescent="0.25">
      <c r="A16" s="312" t="s">
        <v>357</v>
      </c>
      <c r="B16" s="90"/>
      <c r="C16" s="264">
        <v>124033</v>
      </c>
      <c r="D16" s="331"/>
      <c r="E16" s="331" t="s">
        <v>76</v>
      </c>
      <c r="F16" s="315">
        <f>+'Allocation Factors'!$H$21</f>
        <v>3.5773423890158328E-2</v>
      </c>
      <c r="G16" s="331"/>
      <c r="H16" s="322">
        <f t="shared" si="0"/>
        <v>4437.0850853680076</v>
      </c>
      <c r="I16" s="206"/>
      <c r="J16" s="145"/>
    </row>
    <row r="17" spans="1:10" x14ac:dyDescent="0.25">
      <c r="A17" s="312" t="s">
        <v>1057</v>
      </c>
      <c r="B17" s="90"/>
      <c r="C17" s="264">
        <f>754060-3472-1581</f>
        <v>749007</v>
      </c>
      <c r="D17" s="331"/>
      <c r="E17" s="331" t="s">
        <v>138</v>
      </c>
      <c r="F17" s="330">
        <v>0</v>
      </c>
      <c r="G17" s="331"/>
      <c r="H17" s="322">
        <f t="shared" si="0"/>
        <v>0</v>
      </c>
      <c r="I17" s="206"/>
      <c r="J17" s="145"/>
    </row>
    <row r="18" spans="1:10" x14ac:dyDescent="0.25">
      <c r="A18" s="312" t="s">
        <v>974</v>
      </c>
      <c r="B18" s="90"/>
      <c r="C18" s="264">
        <v>0</v>
      </c>
      <c r="D18" s="331"/>
      <c r="E18" s="331" t="s">
        <v>138</v>
      </c>
      <c r="F18" s="330">
        <v>0</v>
      </c>
      <c r="G18" s="331"/>
      <c r="H18" s="322">
        <f t="shared" si="0"/>
        <v>0</v>
      </c>
      <c r="I18" s="206"/>
      <c r="J18" s="145"/>
    </row>
    <row r="19" spans="1:10" x14ac:dyDescent="0.25">
      <c r="A19" s="312" t="s">
        <v>341</v>
      </c>
      <c r="B19" s="90"/>
      <c r="C19" s="264">
        <v>65878</v>
      </c>
      <c r="D19" s="331"/>
      <c r="E19" s="331" t="s">
        <v>75</v>
      </c>
      <c r="F19" s="315">
        <f>+'Allocation Factors'!$H$13</f>
        <v>0.92469611331494961</v>
      </c>
      <c r="G19" s="331"/>
      <c r="H19" s="322">
        <f t="shared" si="0"/>
        <v>60917.130552962248</v>
      </c>
      <c r="I19" s="206"/>
      <c r="J19" s="145"/>
    </row>
    <row r="20" spans="1:10" x14ac:dyDescent="0.25">
      <c r="A20" s="312" t="s">
        <v>350</v>
      </c>
      <c r="B20" s="90"/>
      <c r="C20" s="264">
        <v>3193331</v>
      </c>
      <c r="D20" s="331"/>
      <c r="E20" s="331" t="s">
        <v>76</v>
      </c>
      <c r="F20" s="315">
        <f>+'Allocation Factors'!$H$21</f>
        <v>3.5773423890158328E-2</v>
      </c>
      <c r="G20" s="331"/>
      <c r="H20" s="322">
        <f t="shared" si="0"/>
        <v>114236.38348458319</v>
      </c>
      <c r="I20" s="206"/>
      <c r="J20" s="145"/>
    </row>
    <row r="21" spans="1:10" x14ac:dyDescent="0.25">
      <c r="A21" s="312" t="s">
        <v>337</v>
      </c>
      <c r="B21" s="90"/>
      <c r="C21" s="264">
        <v>5770909</v>
      </c>
      <c r="D21" s="331"/>
      <c r="E21" s="331" t="s">
        <v>76</v>
      </c>
      <c r="F21" s="315">
        <f>+'Allocation Factors'!$H$21</f>
        <v>3.5773423890158328E-2</v>
      </c>
      <c r="G21" s="331"/>
      <c r="H21" s="322">
        <f t="shared" si="0"/>
        <v>206445.17388852971</v>
      </c>
      <c r="I21" s="206"/>
      <c r="J21" s="145"/>
    </row>
    <row r="22" spans="1:10" x14ac:dyDescent="0.25">
      <c r="A22" s="312" t="s">
        <v>998</v>
      </c>
      <c r="B22" s="90"/>
      <c r="C22" s="264">
        <f>19480886+11754556</f>
        <v>31235442</v>
      </c>
      <c r="D22" s="331"/>
      <c r="E22" s="331" t="s">
        <v>76</v>
      </c>
      <c r="F22" s="315">
        <f>+'Allocation Factors'!$H$21</f>
        <v>3.5773423890158328E-2</v>
      </c>
      <c r="G22" s="331"/>
      <c r="H22" s="322">
        <f t="shared" si="0"/>
        <v>1117398.7070624549</v>
      </c>
      <c r="I22" s="206"/>
      <c r="J22" s="145"/>
    </row>
    <row r="23" spans="1:10" x14ac:dyDescent="0.25">
      <c r="A23" s="312" t="s">
        <v>359</v>
      </c>
      <c r="B23" s="90"/>
      <c r="C23" s="264">
        <v>1164009</v>
      </c>
      <c r="D23" s="331"/>
      <c r="E23" s="331" t="s">
        <v>76</v>
      </c>
      <c r="F23" s="315">
        <f>+'Allocation Factors'!$H$21</f>
        <v>3.5773423890158328E-2</v>
      </c>
      <c r="G23" s="331"/>
      <c r="H23" s="322">
        <f t="shared" si="0"/>
        <v>41640.587368959306</v>
      </c>
      <c r="I23" s="206"/>
      <c r="J23" s="145"/>
    </row>
    <row r="24" spans="1:10" x14ac:dyDescent="0.25">
      <c r="A24" s="312" t="s">
        <v>1059</v>
      </c>
      <c r="B24" s="90"/>
      <c r="C24" s="264">
        <v>804528</v>
      </c>
      <c r="D24" s="331"/>
      <c r="E24" s="331" t="s">
        <v>76</v>
      </c>
      <c r="F24" s="315">
        <f>+'Allocation Factors'!$H$21</f>
        <v>3.5773423890158328E-2</v>
      </c>
      <c r="G24" s="331"/>
      <c r="H24" s="322">
        <f t="shared" si="0"/>
        <v>28780.721175501298</v>
      </c>
      <c r="I24" s="206"/>
      <c r="J24" s="145"/>
    </row>
    <row r="25" spans="1:10" x14ac:dyDescent="0.25">
      <c r="A25" s="312" t="s">
        <v>1078</v>
      </c>
      <c r="B25" s="90"/>
      <c r="C25" s="264">
        <v>341793</v>
      </c>
      <c r="D25" s="331"/>
      <c r="E25" s="331" t="s">
        <v>138</v>
      </c>
      <c r="F25" s="330">
        <v>0</v>
      </c>
      <c r="G25" s="331"/>
      <c r="H25" s="322">
        <f t="shared" si="0"/>
        <v>0</v>
      </c>
      <c r="I25" s="206"/>
      <c r="J25" s="145"/>
    </row>
    <row r="26" spans="1:10" x14ac:dyDescent="0.25">
      <c r="A26" s="312" t="s">
        <v>1143</v>
      </c>
      <c r="B26" s="90"/>
      <c r="C26" s="264">
        <v>2153726</v>
      </c>
      <c r="D26" s="331"/>
      <c r="E26" s="331" t="s">
        <v>76</v>
      </c>
      <c r="F26" s="315">
        <f>+'Allocation Factors'!$H$21</f>
        <v>3.5773423890158328E-2</v>
      </c>
      <c r="G26" s="331"/>
      <c r="H26" s="322">
        <f t="shared" si="0"/>
        <v>77046.153141255141</v>
      </c>
      <c r="I26" s="206"/>
      <c r="J26" s="145"/>
    </row>
    <row r="27" spans="1:10" x14ac:dyDescent="0.25">
      <c r="A27" s="312" t="s">
        <v>929</v>
      </c>
      <c r="B27" s="90"/>
      <c r="C27" s="264">
        <v>67339</v>
      </c>
      <c r="D27" s="331"/>
      <c r="E27" s="331" t="s">
        <v>75</v>
      </c>
      <c r="F27" s="315">
        <f>+'Allocation Factors'!$H$13</f>
        <v>0.92469611331494961</v>
      </c>
      <c r="G27" s="331"/>
      <c r="H27" s="322">
        <f t="shared" si="0"/>
        <v>62268.111574515395</v>
      </c>
      <c r="I27" s="206"/>
      <c r="J27" s="145"/>
    </row>
    <row r="28" spans="1:10" x14ac:dyDescent="0.25">
      <c r="A28" s="312" t="s">
        <v>1264</v>
      </c>
      <c r="B28" s="90"/>
      <c r="C28" s="264">
        <f>3953556+203896.99</f>
        <v>4157452.99</v>
      </c>
      <c r="D28" s="331"/>
      <c r="E28" s="331" t="s">
        <v>76</v>
      </c>
      <c r="F28" s="315">
        <f>+'Allocation Factors'!$H$21</f>
        <v>3.5773423890158328E-2</v>
      </c>
      <c r="G28" s="331"/>
      <c r="H28" s="322">
        <f t="shared" si="0"/>
        <v>148726.32811467617</v>
      </c>
      <c r="I28" s="206"/>
      <c r="J28" s="145"/>
    </row>
    <row r="29" spans="1:10" x14ac:dyDescent="0.25">
      <c r="A29" s="312" t="s">
        <v>1265</v>
      </c>
      <c r="B29" s="90"/>
      <c r="C29" s="264">
        <f>1975254.19+214185.58</f>
        <v>2189439.77</v>
      </c>
      <c r="D29" s="331"/>
      <c r="E29" s="331" t="s">
        <v>76</v>
      </c>
      <c r="F29" s="315">
        <f>+'Allocation Factors'!$H$21</f>
        <v>3.5773423890158328E-2</v>
      </c>
      <c r="G29" s="331"/>
      <c r="H29" s="322">
        <f t="shared" si="0"/>
        <v>78323.756974180753</v>
      </c>
      <c r="I29" s="206"/>
      <c r="J29" s="145"/>
    </row>
    <row r="30" spans="1:10" x14ac:dyDescent="0.25">
      <c r="A30" s="312" t="s">
        <v>1266</v>
      </c>
      <c r="B30" s="90"/>
      <c r="C30" s="264">
        <f>11676757.06+676898.37</f>
        <v>12353655.43</v>
      </c>
      <c r="D30" s="331"/>
      <c r="E30" s="331" t="s">
        <v>76</v>
      </c>
      <c r="F30" s="315">
        <f>+'Allocation Factors'!$H$21</f>
        <v>3.5773423890158328E-2</v>
      </c>
      <c r="G30" s="331"/>
      <c r="H30" s="322">
        <f t="shared" si="0"/>
        <v>441932.55229034612</v>
      </c>
      <c r="I30" s="206"/>
      <c r="J30" s="145"/>
    </row>
    <row r="31" spans="1:10" x14ac:dyDescent="0.25">
      <c r="A31" s="312" t="s">
        <v>1267</v>
      </c>
      <c r="B31" s="90"/>
      <c r="C31" s="264">
        <f>23812053.77+1355063.77</f>
        <v>25167117.539999999</v>
      </c>
      <c r="D31" s="331"/>
      <c r="E31" s="331" t="s">
        <v>76</v>
      </c>
      <c r="F31" s="315">
        <f>+'Allocation Factors'!$H$21</f>
        <v>3.5773423890158328E-2</v>
      </c>
      <c r="G31" s="331"/>
      <c r="H31" s="322">
        <f t="shared" si="0"/>
        <v>900313.96385185863</v>
      </c>
      <c r="I31" s="206"/>
      <c r="J31" s="145"/>
    </row>
    <row r="32" spans="1:10" x14ac:dyDescent="0.25">
      <c r="A32" s="312" t="s">
        <v>1261</v>
      </c>
      <c r="B32" s="90"/>
      <c r="C32" s="264">
        <f>14909398.63+1042956.79</f>
        <v>15952355.420000002</v>
      </c>
      <c r="D32" s="331"/>
      <c r="E32" s="331" t="s">
        <v>76</v>
      </c>
      <c r="F32" s="315">
        <f>+'Allocation Factors'!$H$21</f>
        <v>3.5773423890158328E-2</v>
      </c>
      <c r="G32" s="331"/>
      <c r="H32" s="322">
        <f t="shared" si="0"/>
        <v>570670.37248612475</v>
      </c>
      <c r="I32" s="206"/>
      <c r="J32" s="145"/>
    </row>
    <row r="33" spans="1:10" x14ac:dyDescent="0.25">
      <c r="A33" s="312" t="s">
        <v>1268</v>
      </c>
      <c r="B33" s="90"/>
      <c r="C33" s="264">
        <f>1337852.15+-139671.31</f>
        <v>1198180.8399999999</v>
      </c>
      <c r="D33" s="331"/>
      <c r="E33" s="331" t="s">
        <v>76</v>
      </c>
      <c r="F33" s="315">
        <f>+'Allocation Factors'!$H$21</f>
        <v>3.5773423890158328E-2</v>
      </c>
      <c r="G33" s="331"/>
      <c r="H33" s="322">
        <f t="shared" si="0"/>
        <v>42863.03108638597</v>
      </c>
      <c r="I33" s="206"/>
      <c r="J33" s="145"/>
    </row>
    <row r="34" spans="1:10" x14ac:dyDescent="0.25">
      <c r="A34" s="312" t="s">
        <v>1269</v>
      </c>
      <c r="B34" s="90"/>
      <c r="C34" s="264">
        <f>2480633.37+192854.21</f>
        <v>2673487.58</v>
      </c>
      <c r="D34" s="331"/>
      <c r="E34" s="331" t="s">
        <v>75</v>
      </c>
      <c r="F34" s="315">
        <f>+'Allocation Factors'!$H$13</f>
        <v>0.92469611331494961</v>
      </c>
      <c r="G34" s="331"/>
      <c r="H34" s="322">
        <f t="shared" si="0"/>
        <v>2472163.5742217903</v>
      </c>
      <c r="I34" s="206"/>
      <c r="J34" s="145"/>
    </row>
    <row r="35" spans="1:10" x14ac:dyDescent="0.25">
      <c r="A35" s="312" t="s">
        <v>1270</v>
      </c>
      <c r="B35" s="90"/>
      <c r="C35" s="264">
        <f>1048513.14+125177.56</f>
        <v>1173690.7</v>
      </c>
      <c r="D35" s="331"/>
      <c r="E35" s="331" t="s">
        <v>75</v>
      </c>
      <c r="F35" s="315">
        <f>+'Allocation Factors'!$H$13</f>
        <v>0.92469611331494961</v>
      </c>
      <c r="G35" s="331"/>
      <c r="H35" s="322">
        <f t="shared" si="0"/>
        <v>1085307.2285239026</v>
      </c>
      <c r="I35" s="206"/>
      <c r="J35" s="145"/>
    </row>
    <row r="36" spans="1:10" x14ac:dyDescent="0.25">
      <c r="A36" s="312" t="s">
        <v>1271</v>
      </c>
      <c r="B36" s="90"/>
      <c r="C36" s="264">
        <f>3597972.11+356286.82</f>
        <v>3954258.9299999997</v>
      </c>
      <c r="D36" s="331"/>
      <c r="E36" s="331" t="s">
        <v>75</v>
      </c>
      <c r="F36" s="315">
        <f>+'Allocation Factors'!$H$13</f>
        <v>0.92469611331494961</v>
      </c>
      <c r="G36" s="331"/>
      <c r="H36" s="322">
        <f t="shared" si="0"/>
        <v>3656487.863611931</v>
      </c>
      <c r="I36" s="206"/>
      <c r="J36" s="145"/>
    </row>
    <row r="37" spans="1:10" x14ac:dyDescent="0.25">
      <c r="A37" s="312" t="s">
        <v>1272</v>
      </c>
      <c r="B37" s="90"/>
      <c r="C37" s="264">
        <f>2255618.51+183770.76</f>
        <v>2439389.2699999996</v>
      </c>
      <c r="D37" s="331"/>
      <c r="E37" s="331" t="s">
        <v>75</v>
      </c>
      <c r="F37" s="315">
        <f>+'Allocation Factors'!$H$13</f>
        <v>0.92469611331494961</v>
      </c>
      <c r="G37" s="331"/>
      <c r="H37" s="322">
        <f t="shared" si="0"/>
        <v>2255693.776831192</v>
      </c>
      <c r="I37" s="206"/>
      <c r="J37" s="145"/>
    </row>
    <row r="38" spans="1:10" x14ac:dyDescent="0.25">
      <c r="A38" s="312" t="s">
        <v>1273</v>
      </c>
      <c r="B38" s="90"/>
      <c r="C38" s="264">
        <f>3412514.6+260690.21</f>
        <v>3673204.81</v>
      </c>
      <c r="D38" s="331"/>
      <c r="E38" s="331" t="s">
        <v>75</v>
      </c>
      <c r="F38" s="315">
        <f>+'Allocation Factors'!$H$13</f>
        <v>0.92469611331494961</v>
      </c>
      <c r="G38" s="331"/>
      <c r="H38" s="322">
        <f t="shared" si="0"/>
        <v>3396598.211216778</v>
      </c>
      <c r="I38" s="206"/>
      <c r="J38" s="145"/>
    </row>
    <row r="39" spans="1:10" x14ac:dyDescent="0.25">
      <c r="A39" s="312" t="s">
        <v>1079</v>
      </c>
      <c r="B39" s="90"/>
      <c r="C39" s="264">
        <v>3097696</v>
      </c>
      <c r="D39" s="331"/>
      <c r="E39" s="331" t="s">
        <v>75</v>
      </c>
      <c r="F39" s="315">
        <f>+'Allocation Factors'!$H$13</f>
        <v>0.92469611331494961</v>
      </c>
      <c r="G39" s="331"/>
      <c r="H39" s="322">
        <f t="shared" si="0"/>
        <v>2864427.451431266</v>
      </c>
      <c r="I39" s="206"/>
      <c r="J39" s="145"/>
    </row>
    <row r="40" spans="1:10" x14ac:dyDescent="0.25">
      <c r="A40" s="312" t="s">
        <v>1079</v>
      </c>
      <c r="B40" s="90"/>
      <c r="C40" s="264">
        <v>360571</v>
      </c>
      <c r="D40" s="331"/>
      <c r="E40" s="331" t="s">
        <v>75</v>
      </c>
      <c r="F40" s="315">
        <f>+'Allocation Factors'!$H$13</f>
        <v>0.92469611331494961</v>
      </c>
      <c r="G40" s="331"/>
      <c r="H40" s="322">
        <f t="shared" si="0"/>
        <v>333418.6022740847</v>
      </c>
      <c r="I40" s="206"/>
      <c r="J40" s="145"/>
    </row>
    <row r="41" spans="1:10" x14ac:dyDescent="0.25">
      <c r="A41" s="312" t="s">
        <v>988</v>
      </c>
      <c r="B41" s="90"/>
      <c r="C41" s="264">
        <v>29703104</v>
      </c>
      <c r="D41" s="331"/>
      <c r="E41" s="331" t="s">
        <v>76</v>
      </c>
      <c r="F41" s="315">
        <f>+'Allocation Factors'!$H$21</f>
        <v>3.5773423890158328E-2</v>
      </c>
      <c r="G41" s="331"/>
      <c r="H41" s="322">
        <f t="shared" si="0"/>
        <v>1062581.7302454575</v>
      </c>
      <c r="I41" s="206"/>
      <c r="J41" s="145"/>
    </row>
    <row r="42" spans="1:10" x14ac:dyDescent="0.25">
      <c r="A42" s="312" t="s">
        <v>1085</v>
      </c>
      <c r="B42" s="90"/>
      <c r="C42" s="264">
        <v>776777</v>
      </c>
      <c r="D42" s="331"/>
      <c r="E42" s="331" t="s">
        <v>138</v>
      </c>
      <c r="F42" s="330">
        <v>0</v>
      </c>
      <c r="G42" s="331"/>
      <c r="H42" s="322">
        <f t="shared" si="0"/>
        <v>0</v>
      </c>
      <c r="I42" s="206"/>
      <c r="J42" s="145"/>
    </row>
    <row r="43" spans="1:10" x14ac:dyDescent="0.25">
      <c r="A43" s="312" t="s">
        <v>975</v>
      </c>
      <c r="B43" s="90"/>
      <c r="C43" s="264">
        <v>0</v>
      </c>
      <c r="D43" s="331"/>
      <c r="E43" s="331" t="s">
        <v>138</v>
      </c>
      <c r="F43" s="330">
        <v>0</v>
      </c>
      <c r="G43" s="331"/>
      <c r="H43" s="322">
        <f t="shared" si="0"/>
        <v>0</v>
      </c>
      <c r="J43" s="145"/>
    </row>
    <row r="44" spans="1:10" x14ac:dyDescent="0.25">
      <c r="A44" s="312" t="s">
        <v>975</v>
      </c>
      <c r="B44" s="90"/>
      <c r="C44" s="264">
        <v>0</v>
      </c>
      <c r="D44" s="331"/>
      <c r="E44" s="331" t="s">
        <v>138</v>
      </c>
      <c r="F44" s="330">
        <v>0</v>
      </c>
      <c r="G44" s="331"/>
      <c r="H44" s="322">
        <f t="shared" si="0"/>
        <v>0</v>
      </c>
      <c r="J44" s="145"/>
    </row>
    <row r="45" spans="1:10" x14ac:dyDescent="0.25">
      <c r="A45" s="312" t="s">
        <v>975</v>
      </c>
      <c r="B45" s="90"/>
      <c r="C45" s="264">
        <v>0</v>
      </c>
      <c r="D45" s="331"/>
      <c r="E45" s="331" t="s">
        <v>138</v>
      </c>
      <c r="F45" s="330">
        <v>0</v>
      </c>
      <c r="G45" s="331"/>
      <c r="H45" s="322">
        <f t="shared" si="0"/>
        <v>0</v>
      </c>
      <c r="J45" s="145"/>
    </row>
    <row r="46" spans="1:10" x14ac:dyDescent="0.25">
      <c r="A46" s="312" t="s">
        <v>975</v>
      </c>
      <c r="B46" s="90"/>
      <c r="C46" s="264">
        <v>0</v>
      </c>
      <c r="D46" s="331"/>
      <c r="E46" s="331" t="s">
        <v>138</v>
      </c>
      <c r="F46" s="330">
        <v>0</v>
      </c>
      <c r="G46" s="331"/>
      <c r="H46" s="322">
        <f t="shared" si="0"/>
        <v>0</v>
      </c>
      <c r="J46" s="145"/>
    </row>
    <row r="47" spans="1:10" x14ac:dyDescent="0.25">
      <c r="A47" s="312" t="s">
        <v>976</v>
      </c>
      <c r="B47" s="90"/>
      <c r="C47" s="264">
        <v>52683</v>
      </c>
      <c r="D47" s="331"/>
      <c r="E47" s="331" t="s">
        <v>138</v>
      </c>
      <c r="F47" s="330">
        <v>0</v>
      </c>
      <c r="G47" s="331"/>
      <c r="H47" s="322">
        <f t="shared" si="0"/>
        <v>0</v>
      </c>
      <c r="J47" s="145"/>
    </row>
    <row r="48" spans="1:10" x14ac:dyDescent="0.25">
      <c r="A48" s="312" t="s">
        <v>346</v>
      </c>
      <c r="B48" s="90"/>
      <c r="C48" s="264">
        <v>2777832</v>
      </c>
      <c r="D48" s="331"/>
      <c r="E48" s="331" t="s">
        <v>76</v>
      </c>
      <c r="F48" s="315">
        <f>+'Allocation Factors'!$H$21</f>
        <v>3.5773423890158328E-2</v>
      </c>
      <c r="G48" s="331"/>
      <c r="H48" s="322">
        <f t="shared" si="0"/>
        <v>99372.561631646284</v>
      </c>
      <c r="J48" s="145"/>
    </row>
    <row r="49" spans="1:10" x14ac:dyDescent="0.25">
      <c r="A49" s="312" t="s">
        <v>336</v>
      </c>
      <c r="B49" s="90"/>
      <c r="C49" s="264">
        <v>519424</v>
      </c>
      <c r="D49" s="331"/>
      <c r="E49" s="331" t="s">
        <v>76</v>
      </c>
      <c r="F49" s="315">
        <f>+'Allocation Factors'!$H$21</f>
        <v>3.5773423890158328E-2</v>
      </c>
      <c r="G49" s="334"/>
      <c r="H49" s="322">
        <f t="shared" si="0"/>
        <v>18581.574930721599</v>
      </c>
      <c r="J49" s="145"/>
    </row>
    <row r="50" spans="1:10" x14ac:dyDescent="0.25">
      <c r="A50" s="312" t="s">
        <v>352</v>
      </c>
      <c r="B50" s="90"/>
      <c r="C50" s="264">
        <v>2802756</v>
      </c>
      <c r="D50" s="331"/>
      <c r="E50" s="331" t="s">
        <v>76</v>
      </c>
      <c r="F50" s="315">
        <f>+'Allocation Factors'!$H$21</f>
        <v>3.5773423890158328E-2</v>
      </c>
      <c r="G50" s="334"/>
      <c r="H50" s="322">
        <f t="shared" si="0"/>
        <v>100264.1784486846</v>
      </c>
      <c r="J50" s="145"/>
    </row>
    <row r="51" spans="1:10" x14ac:dyDescent="0.25">
      <c r="A51" s="312" t="s">
        <v>347</v>
      </c>
      <c r="B51" s="90"/>
      <c r="C51" s="264">
        <v>339838</v>
      </c>
      <c r="D51" s="331"/>
      <c r="E51" s="331" t="s">
        <v>76</v>
      </c>
      <c r="F51" s="315">
        <f>+'Allocation Factors'!$H$21</f>
        <v>3.5773423890158328E-2</v>
      </c>
      <c r="G51" s="331"/>
      <c r="H51" s="322">
        <f t="shared" si="0"/>
        <v>12157.168827983625</v>
      </c>
      <c r="J51" s="145"/>
    </row>
    <row r="52" spans="1:10" x14ac:dyDescent="0.25">
      <c r="A52" s="312" t="s">
        <v>345</v>
      </c>
      <c r="B52" s="90"/>
      <c r="C52" s="264">
        <v>687653</v>
      </c>
      <c r="D52" s="331"/>
      <c r="E52" s="331" t="s">
        <v>76</v>
      </c>
      <c r="F52" s="315">
        <f>+'Allocation Factors'!$H$21</f>
        <v>3.5773423890158328E-2</v>
      </c>
      <c r="G52" s="331"/>
      <c r="H52" s="322">
        <f t="shared" si="0"/>
        <v>24599.702258339046</v>
      </c>
      <c r="J52" s="145"/>
    </row>
    <row r="53" spans="1:10" x14ac:dyDescent="0.25">
      <c r="A53" s="312" t="s">
        <v>355</v>
      </c>
      <c r="B53" s="90"/>
      <c r="C53" s="264">
        <v>24160263</v>
      </c>
      <c r="D53" s="331"/>
      <c r="E53" s="331" t="s">
        <v>76</v>
      </c>
      <c r="F53" s="315">
        <f>+'Allocation Factors'!$H$21</f>
        <v>3.5773423890158328E-2</v>
      </c>
      <c r="G53" s="331"/>
      <c r="H53" s="322">
        <f t="shared" si="0"/>
        <v>864295.3295967083</v>
      </c>
      <c r="J53" s="145"/>
    </row>
    <row r="54" spans="1:10" x14ac:dyDescent="0.25">
      <c r="A54" s="312" t="s">
        <v>1069</v>
      </c>
      <c r="B54" s="90"/>
      <c r="C54" s="264">
        <v>45574.04</v>
      </c>
      <c r="D54" s="331"/>
      <c r="E54" s="331" t="s">
        <v>75</v>
      </c>
      <c r="F54" s="315">
        <f>+'Allocation Factors'!$H$13</f>
        <v>0.92469611331494961</v>
      </c>
      <c r="G54" s="331"/>
      <c r="H54" s="322">
        <f t="shared" si="0"/>
        <v>42142.137656060047</v>
      </c>
      <c r="J54" s="145"/>
    </row>
    <row r="55" spans="1:10" x14ac:dyDescent="0.25">
      <c r="A55" s="312" t="s">
        <v>1262</v>
      </c>
      <c r="B55" s="90"/>
      <c r="C55" s="264">
        <v>186475.3</v>
      </c>
      <c r="D55" s="331"/>
      <c r="E55" s="331" t="s">
        <v>75</v>
      </c>
      <c r="F55" s="315">
        <f>+'Allocation Factors'!$H$13</f>
        <v>0.92469611331494961</v>
      </c>
      <c r="G55" s="331"/>
      <c r="H55" s="322">
        <f t="shared" si="0"/>
        <v>172432.9851392392</v>
      </c>
      <c r="J55" s="145"/>
    </row>
    <row r="56" spans="1:10" x14ac:dyDescent="0.25">
      <c r="A56" s="312" t="s">
        <v>367</v>
      </c>
      <c r="B56" s="90"/>
      <c r="C56" s="264">
        <v>6409</v>
      </c>
      <c r="D56" s="331"/>
      <c r="E56" s="331" t="s">
        <v>76</v>
      </c>
      <c r="F56" s="315">
        <f>+'Allocation Factors'!$H$21</f>
        <v>3.5773423890158328E-2</v>
      </c>
      <c r="G56" s="331"/>
      <c r="H56" s="322">
        <f t="shared" si="0"/>
        <v>229.27187371202473</v>
      </c>
      <c r="J56" s="145"/>
    </row>
    <row r="57" spans="1:10" x14ac:dyDescent="0.25">
      <c r="A57" s="312" t="s">
        <v>977</v>
      </c>
      <c r="B57" s="90"/>
      <c r="C57" s="264">
        <v>275739</v>
      </c>
      <c r="D57" s="331"/>
      <c r="E57" s="331" t="s">
        <v>138</v>
      </c>
      <c r="F57" s="330">
        <v>0</v>
      </c>
      <c r="G57" s="331"/>
      <c r="H57" s="322">
        <f t="shared" si="0"/>
        <v>0</v>
      </c>
      <c r="J57" s="145"/>
    </row>
    <row r="58" spans="1:10" x14ac:dyDescent="0.25">
      <c r="A58" s="312" t="s">
        <v>1080</v>
      </c>
      <c r="B58" s="90"/>
      <c r="C58" s="264">
        <v>0</v>
      </c>
      <c r="D58" s="331"/>
      <c r="E58" s="331" t="s">
        <v>75</v>
      </c>
      <c r="F58" s="315">
        <f>+'Allocation Factors'!$H$13</f>
        <v>0.92469611331494961</v>
      </c>
      <c r="G58" s="331"/>
      <c r="H58" s="322">
        <f t="shared" si="0"/>
        <v>0</v>
      </c>
      <c r="J58" s="145"/>
    </row>
    <row r="59" spans="1:10" x14ac:dyDescent="0.25">
      <c r="A59" s="312" t="s">
        <v>999</v>
      </c>
      <c r="B59" s="90"/>
      <c r="C59" s="264">
        <v>128641</v>
      </c>
      <c r="D59" s="331"/>
      <c r="E59" s="331" t="s">
        <v>138</v>
      </c>
      <c r="F59" s="330">
        <v>0</v>
      </c>
      <c r="G59" s="331"/>
      <c r="H59" s="322">
        <f t="shared" si="0"/>
        <v>0</v>
      </c>
      <c r="J59" s="195"/>
    </row>
    <row r="60" spans="1:10" x14ac:dyDescent="0.25">
      <c r="A60" s="312" t="s">
        <v>1000</v>
      </c>
      <c r="B60" s="90"/>
      <c r="C60" s="264">
        <v>19971</v>
      </c>
      <c r="D60" s="331"/>
      <c r="E60" s="331" t="s">
        <v>138</v>
      </c>
      <c r="F60" s="330">
        <v>0</v>
      </c>
      <c r="G60" s="331"/>
      <c r="H60" s="322">
        <f t="shared" si="0"/>
        <v>0</v>
      </c>
      <c r="J60" s="195"/>
    </row>
    <row r="61" spans="1:10" x14ac:dyDescent="0.25">
      <c r="A61" s="312" t="s">
        <v>365</v>
      </c>
      <c r="B61" s="90"/>
      <c r="C61" s="264">
        <v>138209</v>
      </c>
      <c r="D61" s="331"/>
      <c r="E61" s="331" t="s">
        <v>76</v>
      </c>
      <c r="F61" s="315">
        <f>+'Allocation Factors'!$H$21</f>
        <v>3.5773423890158328E-2</v>
      </c>
      <c r="G61" s="331"/>
      <c r="H61" s="322">
        <f t="shared" si="0"/>
        <v>4944.2091424348919</v>
      </c>
      <c r="I61" s="234"/>
      <c r="J61" s="195"/>
    </row>
    <row r="62" spans="1:10" x14ac:dyDescent="0.25">
      <c r="A62" s="312" t="s">
        <v>366</v>
      </c>
      <c r="B62" s="90"/>
      <c r="C62" s="264">
        <v>64516</v>
      </c>
      <c r="D62" s="331"/>
      <c r="E62" s="331" t="s">
        <v>76</v>
      </c>
      <c r="F62" s="315">
        <f>+'Allocation Factors'!$H$21</f>
        <v>3.5773423890158328E-2</v>
      </c>
      <c r="G62" s="331"/>
      <c r="H62" s="322">
        <f t="shared" si="0"/>
        <v>2307.9582156974548</v>
      </c>
      <c r="J62" s="195"/>
    </row>
    <row r="63" spans="1:10" x14ac:dyDescent="0.25">
      <c r="A63" s="312" t="s">
        <v>1072</v>
      </c>
      <c r="B63" s="90"/>
      <c r="C63" s="264">
        <v>136865</v>
      </c>
      <c r="D63" s="331"/>
      <c r="E63" s="331" t="s">
        <v>76</v>
      </c>
      <c r="F63" s="315">
        <f>+'Allocation Factors'!$H$21</f>
        <v>3.5773423890158328E-2</v>
      </c>
      <c r="G63" s="331"/>
      <c r="H63" s="322">
        <f t="shared" si="0"/>
        <v>4896.1296607265194</v>
      </c>
      <c r="J63" s="195"/>
    </row>
    <row r="64" spans="1:10" x14ac:dyDescent="0.25">
      <c r="A64" s="312" t="s">
        <v>978</v>
      </c>
      <c r="B64" s="90"/>
      <c r="C64" s="264">
        <f>98442+895</f>
        <v>99337</v>
      </c>
      <c r="D64" s="331"/>
      <c r="E64" s="331" t="s">
        <v>76</v>
      </c>
      <c r="F64" s="315">
        <f>+'Allocation Factors'!$H$21</f>
        <v>3.5773423890158328E-2</v>
      </c>
      <c r="G64" s="331"/>
      <c r="H64" s="322">
        <f t="shared" si="0"/>
        <v>3553.6246089766578</v>
      </c>
      <c r="I64" s="206"/>
      <c r="J64" s="195"/>
    </row>
    <row r="65" spans="1:10" x14ac:dyDescent="0.25">
      <c r="A65" s="312" t="s">
        <v>339</v>
      </c>
      <c r="B65" s="90"/>
      <c r="C65" s="264">
        <v>97838</v>
      </c>
      <c r="D65" s="331"/>
      <c r="E65" s="331" t="s">
        <v>75</v>
      </c>
      <c r="F65" s="315">
        <f>+'Allocation Factors'!$H$13</f>
        <v>0.92469611331494961</v>
      </c>
      <c r="G65" s="331"/>
      <c r="H65" s="322">
        <f t="shared" si="0"/>
        <v>90470.418334508038</v>
      </c>
      <c r="J65" s="195"/>
    </row>
    <row r="66" spans="1:10" s="262" customFormat="1" x14ac:dyDescent="0.25">
      <c r="A66" s="312" t="s">
        <v>1263</v>
      </c>
      <c r="B66" s="90"/>
      <c r="C66" s="264">
        <v>685334.06</v>
      </c>
      <c r="D66" s="331"/>
      <c r="E66" s="331" t="s">
        <v>75</v>
      </c>
      <c r="F66" s="315">
        <f>+'Allocation Factors'!$H$13</f>
        <v>0.92469611331494961</v>
      </c>
      <c r="G66" s="331"/>
      <c r="H66" s="322">
        <f t="shared" ref="H66" si="1">C66*F66</f>
        <v>633725.74160435458</v>
      </c>
      <c r="I66" s="260"/>
      <c r="J66" s="261"/>
    </row>
    <row r="67" spans="1:10" x14ac:dyDescent="0.25">
      <c r="A67" s="312" t="s">
        <v>1081</v>
      </c>
      <c r="B67" s="331"/>
      <c r="C67" s="264">
        <v>118736</v>
      </c>
      <c r="D67" s="318"/>
      <c r="E67" s="331" t="s">
        <v>75</v>
      </c>
      <c r="F67" s="315">
        <f>+'Allocation Factors'!$H$13</f>
        <v>0.92469611331494961</v>
      </c>
      <c r="G67" s="331"/>
      <c r="H67" s="322">
        <f t="shared" si="0"/>
        <v>109794.71771056385</v>
      </c>
      <c r="J67" s="195"/>
    </row>
    <row r="68" spans="1:10" x14ac:dyDescent="0.25">
      <c r="A68" s="312" t="s">
        <v>1240</v>
      </c>
      <c r="B68" s="331"/>
      <c r="C68" s="264">
        <v>421388</v>
      </c>
      <c r="D68" s="318"/>
      <c r="E68" s="331" t="s">
        <v>75</v>
      </c>
      <c r="F68" s="315">
        <f>+'Allocation Factors'!$H$13</f>
        <v>0.92469611331494961</v>
      </c>
      <c r="G68" s="331"/>
      <c r="H68" s="322">
        <f t="shared" si="0"/>
        <v>389655.84579756</v>
      </c>
      <c r="J68" s="195"/>
    </row>
    <row r="69" spans="1:10" x14ac:dyDescent="0.25">
      <c r="A69" s="312" t="s">
        <v>343</v>
      </c>
      <c r="B69" s="331"/>
      <c r="C69" s="264">
        <f>139333+4369735</f>
        <v>4509068</v>
      </c>
      <c r="D69" s="331"/>
      <c r="E69" s="331" t="s">
        <v>76</v>
      </c>
      <c r="F69" s="315">
        <f>+'Allocation Factors'!$H$21</f>
        <v>3.5773423890158328E-2</v>
      </c>
      <c r="G69" s="331"/>
      <c r="H69" s="322">
        <f t="shared" si="0"/>
        <v>161304.80091354842</v>
      </c>
      <c r="J69" s="195"/>
    </row>
    <row r="70" spans="1:10" x14ac:dyDescent="0.25">
      <c r="A70" s="312" t="s">
        <v>344</v>
      </c>
      <c r="B70" s="331"/>
      <c r="C70" s="264">
        <v>5261230</v>
      </c>
      <c r="D70" s="331"/>
      <c r="E70" s="331" t="s">
        <v>76</v>
      </c>
      <c r="F70" s="315">
        <f>+'Allocation Factors'!$H$21</f>
        <v>3.5773423890158328E-2</v>
      </c>
      <c r="G70" s="318"/>
      <c r="H70" s="322">
        <f t="shared" si="0"/>
        <v>188212.21097361771</v>
      </c>
      <c r="J70" s="195"/>
    </row>
    <row r="71" spans="1:10" x14ac:dyDescent="0.25">
      <c r="A71" s="312" t="s">
        <v>356</v>
      </c>
      <c r="B71" s="331"/>
      <c r="C71" s="264">
        <v>6456989</v>
      </c>
      <c r="D71" s="331"/>
      <c r="E71" s="331" t="s">
        <v>76</v>
      </c>
      <c r="F71" s="315">
        <f>+'Allocation Factors'!$H$21</f>
        <v>3.5773423890158328E-2</v>
      </c>
      <c r="G71" s="331"/>
      <c r="H71" s="322">
        <f t="shared" si="0"/>
        <v>230988.60455108952</v>
      </c>
      <c r="J71" s="195"/>
    </row>
    <row r="72" spans="1:10" x14ac:dyDescent="0.25">
      <c r="A72" s="312" t="s">
        <v>351</v>
      </c>
      <c r="B72" s="331"/>
      <c r="C72" s="264">
        <v>162193</v>
      </c>
      <c r="D72" s="331"/>
      <c r="E72" s="331" t="s">
        <v>76</v>
      </c>
      <c r="F72" s="315">
        <f>+'Allocation Factors'!$H$21</f>
        <v>3.5773423890158328E-2</v>
      </c>
      <c r="G72" s="331"/>
      <c r="H72" s="322">
        <f t="shared" si="0"/>
        <v>5802.1989410164497</v>
      </c>
      <c r="J72" s="195"/>
    </row>
    <row r="73" spans="1:10" x14ac:dyDescent="0.25">
      <c r="A73" s="312" t="s">
        <v>354</v>
      </c>
      <c r="B73" s="331"/>
      <c r="C73" s="264">
        <v>4808127</v>
      </c>
      <c r="D73" s="331"/>
      <c r="E73" s="331" t="s">
        <v>76</v>
      </c>
      <c r="F73" s="315">
        <f>+'Allocation Factors'!$H$21</f>
        <v>3.5773423890158328E-2</v>
      </c>
      <c r="G73" s="331"/>
      <c r="H73" s="322">
        <f t="shared" si="0"/>
        <v>172003.1652887153</v>
      </c>
      <c r="J73" s="195"/>
    </row>
    <row r="74" spans="1:10" x14ac:dyDescent="0.25">
      <c r="A74" s="312" t="s">
        <v>931</v>
      </c>
      <c r="B74" s="331"/>
      <c r="C74" s="264">
        <v>0</v>
      </c>
      <c r="D74" s="318"/>
      <c r="E74" s="331" t="s">
        <v>76</v>
      </c>
      <c r="F74" s="315">
        <f>+'Allocation Factors'!$H$21</f>
        <v>3.5773423890158328E-2</v>
      </c>
      <c r="G74" s="318"/>
      <c r="H74" s="322">
        <f t="shared" si="0"/>
        <v>0</v>
      </c>
      <c r="J74" s="195"/>
    </row>
    <row r="75" spans="1:10" x14ac:dyDescent="0.25">
      <c r="A75" s="312" t="s">
        <v>1130</v>
      </c>
      <c r="B75" s="331"/>
      <c r="C75" s="264">
        <f>120718+242546-60-120+102+51</f>
        <v>363237</v>
      </c>
      <c r="D75" s="318"/>
      <c r="E75" s="331" t="s">
        <v>387</v>
      </c>
      <c r="F75" s="330">
        <v>0</v>
      </c>
      <c r="G75" s="318"/>
      <c r="H75" s="322">
        <f t="shared" ref="H75:H107" si="2">C75*F75</f>
        <v>0</v>
      </c>
      <c r="J75" s="195"/>
    </row>
    <row r="76" spans="1:10" x14ac:dyDescent="0.25">
      <c r="A76" s="312" t="s">
        <v>363</v>
      </c>
      <c r="B76" s="331"/>
      <c r="C76" s="264">
        <v>24204028</v>
      </c>
      <c r="D76" s="318"/>
      <c r="E76" s="331" t="s">
        <v>76</v>
      </c>
      <c r="F76" s="315">
        <f>+'Allocation Factors'!$H$21</f>
        <v>3.5773423890158328E-2</v>
      </c>
      <c r="G76" s="318"/>
      <c r="H76" s="322">
        <f t="shared" si="2"/>
        <v>865860.95349326113</v>
      </c>
      <c r="J76" s="195"/>
    </row>
    <row r="77" spans="1:10" x14ac:dyDescent="0.25">
      <c r="A77" s="312" t="s">
        <v>364</v>
      </c>
      <c r="B77" s="331"/>
      <c r="C77" s="264">
        <v>16415836</v>
      </c>
      <c r="D77" s="318"/>
      <c r="E77" s="331" t="s">
        <v>76</v>
      </c>
      <c r="F77" s="315">
        <f>+'Allocation Factors'!$H$21</f>
        <v>3.5773423890158328E-2</v>
      </c>
      <c r="G77" s="318"/>
      <c r="H77" s="322">
        <f t="shared" si="2"/>
        <v>587250.6597393211</v>
      </c>
      <c r="J77" s="195"/>
    </row>
    <row r="78" spans="1:10" x14ac:dyDescent="0.25">
      <c r="A78" s="312" t="s">
        <v>360</v>
      </c>
      <c r="B78" s="331"/>
      <c r="C78" s="264">
        <v>19660119</v>
      </c>
      <c r="D78" s="318"/>
      <c r="E78" s="331" t="s">
        <v>76</v>
      </c>
      <c r="F78" s="315">
        <f>+'Allocation Factors'!$H$21</f>
        <v>3.5773423890158328E-2</v>
      </c>
      <c r="G78" s="318"/>
      <c r="H78" s="322">
        <f t="shared" si="2"/>
        <v>703309.77071795566</v>
      </c>
      <c r="I78" s="234"/>
      <c r="J78" s="195"/>
    </row>
    <row r="79" spans="1:10" x14ac:dyDescent="0.25">
      <c r="A79" s="312" t="s">
        <v>340</v>
      </c>
      <c r="B79" s="331"/>
      <c r="C79" s="264">
        <v>183726</v>
      </c>
      <c r="D79" s="318"/>
      <c r="E79" s="331" t="s">
        <v>75</v>
      </c>
      <c r="F79" s="315">
        <f>+'Allocation Factors'!$H$13</f>
        <v>0.92469611331494961</v>
      </c>
      <c r="G79" s="318"/>
      <c r="H79" s="322">
        <f t="shared" si="2"/>
        <v>169890.71811490244</v>
      </c>
      <c r="J79" s="195"/>
    </row>
    <row r="80" spans="1:10" x14ac:dyDescent="0.25">
      <c r="A80" s="312" t="s">
        <v>1197</v>
      </c>
      <c r="B80" s="331"/>
      <c r="C80" s="264">
        <v>41340</v>
      </c>
      <c r="D80" s="318"/>
      <c r="E80" s="331" t="s">
        <v>75</v>
      </c>
      <c r="F80" s="315">
        <f>+'Allocation Factors'!$H$13</f>
        <v>0.92469611331494961</v>
      </c>
      <c r="G80" s="318"/>
      <c r="H80" s="322">
        <f t="shared" si="2"/>
        <v>38226.937324440019</v>
      </c>
      <c r="J80" s="145"/>
    </row>
    <row r="81" spans="1:10" x14ac:dyDescent="0.25">
      <c r="A81" s="312" t="s">
        <v>1082</v>
      </c>
      <c r="B81" s="331"/>
      <c r="C81" s="264">
        <v>216927</v>
      </c>
      <c r="D81" s="318"/>
      <c r="E81" s="331" t="s">
        <v>138</v>
      </c>
      <c r="F81" s="330">
        <v>0</v>
      </c>
      <c r="G81" s="318"/>
      <c r="H81" s="322">
        <f t="shared" si="2"/>
        <v>0</v>
      </c>
      <c r="J81" s="145"/>
    </row>
    <row r="82" spans="1:10" x14ac:dyDescent="0.25">
      <c r="A82" s="312" t="s">
        <v>932</v>
      </c>
      <c r="B82" s="331"/>
      <c r="C82" s="264">
        <v>239366</v>
      </c>
      <c r="D82" s="318"/>
      <c r="E82" s="331" t="s">
        <v>75</v>
      </c>
      <c r="F82" s="315">
        <f>+'Allocation Factors'!$H$13</f>
        <v>0.92469611331494961</v>
      </c>
      <c r="G82" s="318"/>
      <c r="H82" s="322">
        <f t="shared" si="2"/>
        <v>221340.80985974622</v>
      </c>
      <c r="J82" s="145"/>
    </row>
    <row r="83" spans="1:10" x14ac:dyDescent="0.25">
      <c r="A83" s="312" t="s">
        <v>1001</v>
      </c>
      <c r="B83" s="331"/>
      <c r="C83" s="264">
        <v>0</v>
      </c>
      <c r="D83" s="318"/>
      <c r="E83" s="331" t="s">
        <v>138</v>
      </c>
      <c r="F83" s="330">
        <v>0</v>
      </c>
      <c r="G83" s="318"/>
      <c r="H83" s="322">
        <f t="shared" si="2"/>
        <v>0</v>
      </c>
      <c r="J83" s="145"/>
    </row>
    <row r="84" spans="1:10" x14ac:dyDescent="0.25">
      <c r="A84" s="312" t="s">
        <v>1241</v>
      </c>
      <c r="B84" s="331"/>
      <c r="C84" s="264">
        <f>2826692.37+96238.72+20529.53</f>
        <v>2943460.62</v>
      </c>
      <c r="D84" s="318"/>
      <c r="E84" s="331" t="s">
        <v>76</v>
      </c>
      <c r="F84" s="315">
        <f>+'Allocation Factors'!$H$21</f>
        <v>3.5773423890158328E-2</v>
      </c>
      <c r="G84" s="318"/>
      <c r="H84" s="322">
        <f t="shared" si="2"/>
        <v>105297.66446324825</v>
      </c>
      <c r="J84" s="145"/>
    </row>
    <row r="85" spans="1:10" x14ac:dyDescent="0.25">
      <c r="A85" s="312" t="s">
        <v>933</v>
      </c>
      <c r="B85" s="331"/>
      <c r="C85" s="264">
        <v>0</v>
      </c>
      <c r="D85" s="318"/>
      <c r="E85" s="331" t="s">
        <v>75</v>
      </c>
      <c r="F85" s="315">
        <f>+'Allocation Factors'!$H$13</f>
        <v>0.92469611331494961</v>
      </c>
      <c r="G85" s="318"/>
      <c r="H85" s="322">
        <f t="shared" si="2"/>
        <v>0</v>
      </c>
      <c r="J85" s="145"/>
    </row>
    <row r="86" spans="1:10" x14ac:dyDescent="0.25">
      <c r="A86" s="312" t="s">
        <v>1002</v>
      </c>
      <c r="B86" s="331"/>
      <c r="C86" s="264">
        <f>20944+17859</f>
        <v>38803</v>
      </c>
      <c r="D86" s="318"/>
      <c r="E86" s="331" t="s">
        <v>75</v>
      </c>
      <c r="F86" s="315">
        <f>+'Allocation Factors'!$H$13</f>
        <v>0.92469611331494961</v>
      </c>
      <c r="G86" s="318"/>
      <c r="H86" s="322">
        <f t="shared" si="2"/>
        <v>35880.983284959992</v>
      </c>
      <c r="J86" s="145"/>
    </row>
    <row r="87" spans="1:10" x14ac:dyDescent="0.25">
      <c r="A87" s="312" t="s">
        <v>1002</v>
      </c>
      <c r="B87" s="331"/>
      <c r="C87" s="264">
        <f>20944+17859</f>
        <v>38803</v>
      </c>
      <c r="D87" s="318"/>
      <c r="E87" s="331" t="s">
        <v>75</v>
      </c>
      <c r="F87" s="315">
        <f>+'Allocation Factors'!$H$13</f>
        <v>0.92469611331494961</v>
      </c>
      <c r="G87" s="318"/>
      <c r="H87" s="322">
        <f t="shared" si="2"/>
        <v>35880.983284959992</v>
      </c>
      <c r="J87" s="145"/>
    </row>
    <row r="88" spans="1:10" x14ac:dyDescent="0.25">
      <c r="A88" s="312" t="s">
        <v>1074</v>
      </c>
      <c r="B88" s="331"/>
      <c r="C88" s="264">
        <f>305209.54+104911</f>
        <v>410120.54</v>
      </c>
      <c r="D88" s="318"/>
      <c r="E88" s="331" t="s">
        <v>75</v>
      </c>
      <c r="F88" s="315">
        <f>+'Allocation Factors'!$H$13</f>
        <v>0.92469611331494961</v>
      </c>
      <c r="G88" s="318"/>
      <c r="H88" s="322">
        <f t="shared" si="2"/>
        <v>379236.86932862829</v>
      </c>
      <c r="J88" s="145"/>
    </row>
    <row r="89" spans="1:10" x14ac:dyDescent="0.25">
      <c r="A89" s="312" t="s">
        <v>1003</v>
      </c>
      <c r="B89" s="331"/>
      <c r="C89" s="264">
        <v>96043</v>
      </c>
      <c r="D89" s="318"/>
      <c r="E89" s="331" t="s">
        <v>75</v>
      </c>
      <c r="F89" s="315">
        <f>+'Allocation Factors'!$H$13</f>
        <v>0.92469611331494961</v>
      </c>
      <c r="G89" s="318"/>
      <c r="H89" s="322">
        <f t="shared" si="2"/>
        <v>88810.588811107707</v>
      </c>
      <c r="J89" s="145"/>
    </row>
    <row r="90" spans="1:10" x14ac:dyDescent="0.25">
      <c r="A90" s="312" t="s">
        <v>1083</v>
      </c>
      <c r="B90" s="331"/>
      <c r="C90" s="264">
        <v>82402</v>
      </c>
      <c r="D90" s="331"/>
      <c r="E90" s="331" t="s">
        <v>387</v>
      </c>
      <c r="F90" s="330">
        <v>0</v>
      </c>
      <c r="G90" s="331"/>
      <c r="H90" s="322">
        <f t="shared" si="2"/>
        <v>0</v>
      </c>
    </row>
    <row r="91" spans="1:10" x14ac:dyDescent="0.25">
      <c r="A91" s="312" t="s">
        <v>334</v>
      </c>
      <c r="B91" s="331"/>
      <c r="C91" s="264">
        <v>2678789</v>
      </c>
      <c r="D91" s="331"/>
      <c r="E91" s="331" t="s">
        <v>387</v>
      </c>
      <c r="F91" s="330">
        <v>0</v>
      </c>
      <c r="G91" s="331"/>
      <c r="H91" s="322">
        <f t="shared" si="2"/>
        <v>0</v>
      </c>
    </row>
    <row r="92" spans="1:10" s="274" customFormat="1" x14ac:dyDescent="0.25">
      <c r="A92" s="312" t="s">
        <v>361</v>
      </c>
      <c r="B92" s="331"/>
      <c r="C92" s="264">
        <v>234112</v>
      </c>
      <c r="D92" s="331"/>
      <c r="E92" s="331" t="s">
        <v>76</v>
      </c>
      <c r="F92" s="315">
        <f>+'Allocation Factors'!$H$21</f>
        <v>3.5773423890158328E-2</v>
      </c>
      <c r="G92" s="331"/>
      <c r="H92" s="322">
        <f t="shared" si="2"/>
        <v>8374.9878137727464</v>
      </c>
      <c r="I92" s="267"/>
    </row>
    <row r="93" spans="1:10" s="274" customFormat="1" x14ac:dyDescent="0.25">
      <c r="A93" s="312" t="s">
        <v>1131</v>
      </c>
      <c r="B93" s="331"/>
      <c r="C93" s="264">
        <f>313563+1394</f>
        <v>314957</v>
      </c>
      <c r="D93" s="331"/>
      <c r="E93" s="331" t="s">
        <v>387</v>
      </c>
      <c r="F93" s="330">
        <v>0</v>
      </c>
      <c r="G93" s="331"/>
      <c r="H93" s="322">
        <f t="shared" si="2"/>
        <v>0</v>
      </c>
      <c r="I93" s="267"/>
    </row>
    <row r="94" spans="1:10" s="274" customFormat="1" x14ac:dyDescent="0.25">
      <c r="A94" s="312" t="s">
        <v>1075</v>
      </c>
      <c r="B94" s="331"/>
      <c r="C94" s="264">
        <v>2351597</v>
      </c>
      <c r="D94" s="331"/>
      <c r="E94" s="331" t="s">
        <v>75</v>
      </c>
      <c r="F94" s="315">
        <f>+'Allocation Factors'!$H$13</f>
        <v>0.92469611331494961</v>
      </c>
      <c r="G94" s="331"/>
      <c r="H94" s="322">
        <f t="shared" si="2"/>
        <v>2174512.6059830957</v>
      </c>
      <c r="I94" s="267"/>
    </row>
    <row r="95" spans="1:10" s="321" customFormat="1" x14ac:dyDescent="0.25">
      <c r="A95" s="312" t="s">
        <v>1076</v>
      </c>
      <c r="B95" s="331"/>
      <c r="C95" s="264">
        <v>1988310</v>
      </c>
      <c r="D95" s="331"/>
      <c r="E95" s="331" t="s">
        <v>138</v>
      </c>
      <c r="F95" s="330">
        <v>0</v>
      </c>
      <c r="G95" s="331"/>
      <c r="H95" s="322">
        <f t="shared" si="2"/>
        <v>0</v>
      </c>
      <c r="I95" s="320"/>
    </row>
    <row r="96" spans="1:10" s="321" customFormat="1" x14ac:dyDescent="0.25">
      <c r="A96" s="312" t="s">
        <v>342</v>
      </c>
      <c r="B96" s="331"/>
      <c r="C96" s="264">
        <v>4366834</v>
      </c>
      <c r="D96" s="331"/>
      <c r="E96" s="331" t="s">
        <v>75</v>
      </c>
      <c r="F96" s="315">
        <f>+'Allocation Factors'!$H$13</f>
        <v>0.92469611331494961</v>
      </c>
      <c r="G96" s="331"/>
      <c r="H96" s="322">
        <f t="shared" si="2"/>
        <v>4037994.4272915749</v>
      </c>
      <c r="I96" s="320"/>
    </row>
    <row r="97" spans="1:9" s="321" customFormat="1" x14ac:dyDescent="0.25">
      <c r="A97" s="312" t="s">
        <v>1242</v>
      </c>
      <c r="B97" s="331"/>
      <c r="C97" s="264">
        <v>182091.42</v>
      </c>
      <c r="D97" s="331"/>
      <c r="E97" s="331" t="s">
        <v>76</v>
      </c>
      <c r="F97" s="315">
        <f>+'Allocation Factors'!$H$21</f>
        <v>3.5773423890158328E-2</v>
      </c>
      <c r="G97" s="331"/>
      <c r="H97" s="322">
        <f t="shared" si="2"/>
        <v>6514.0335544208547</v>
      </c>
      <c r="I97" s="320"/>
    </row>
    <row r="98" spans="1:9" s="321" customFormat="1" x14ac:dyDescent="0.25">
      <c r="A98" s="312" t="s">
        <v>353</v>
      </c>
      <c r="B98" s="331"/>
      <c r="C98" s="264">
        <v>1485273</v>
      </c>
      <c r="D98" s="331"/>
      <c r="E98" s="331" t="s">
        <v>76</v>
      </c>
      <c r="F98" s="315">
        <f>+'Allocation Factors'!$H$21</f>
        <v>3.5773423890158328E-2</v>
      </c>
      <c r="G98" s="331"/>
      <c r="H98" s="322">
        <f t="shared" si="2"/>
        <v>53133.30062160713</v>
      </c>
      <c r="I98" s="320"/>
    </row>
    <row r="99" spans="1:9" s="321" customFormat="1" x14ac:dyDescent="0.25">
      <c r="A99" s="312" t="s">
        <v>1084</v>
      </c>
      <c r="B99" s="331"/>
      <c r="C99" s="264">
        <v>2417514</v>
      </c>
      <c r="D99" s="331"/>
      <c r="E99" s="331" t="s">
        <v>75</v>
      </c>
      <c r="F99" s="315">
        <f>+'Allocation Factors'!$H$13</f>
        <v>0.92469611331494961</v>
      </c>
      <c r="G99" s="331"/>
      <c r="H99" s="322">
        <f t="shared" si="2"/>
        <v>2235465.799684477</v>
      </c>
      <c r="I99" s="320"/>
    </row>
    <row r="100" spans="1:9" s="321" customFormat="1" x14ac:dyDescent="0.25">
      <c r="A100" s="312" t="s">
        <v>968</v>
      </c>
      <c r="B100" s="331"/>
      <c r="C100" s="264">
        <v>275000</v>
      </c>
      <c r="D100" s="331"/>
      <c r="E100" s="331" t="s">
        <v>75</v>
      </c>
      <c r="F100" s="315">
        <f>+'Allocation Factors'!$H$13</f>
        <v>0.92469611331494961</v>
      </c>
      <c r="G100" s="331"/>
      <c r="H100" s="322">
        <f t="shared" si="2"/>
        <v>254291.43116161114</v>
      </c>
      <c r="I100" s="320"/>
    </row>
    <row r="101" spans="1:9" s="321" customFormat="1" x14ac:dyDescent="0.25">
      <c r="A101" s="312" t="s">
        <v>1144</v>
      </c>
      <c r="B101" s="331"/>
      <c r="C101" s="264">
        <v>344998</v>
      </c>
      <c r="D101" s="331"/>
      <c r="E101" s="331" t="s">
        <v>75</v>
      </c>
      <c r="F101" s="315">
        <f>+'Allocation Factors'!$H$13</f>
        <v>0.92469611331494961</v>
      </c>
      <c r="G101" s="331"/>
      <c r="H101" s="322">
        <f t="shared" si="2"/>
        <v>319018.30970143096</v>
      </c>
      <c r="I101" s="320"/>
    </row>
    <row r="102" spans="1:9" s="321" customFormat="1" x14ac:dyDescent="0.25">
      <c r="A102" s="312" t="s">
        <v>936</v>
      </c>
      <c r="B102" s="331"/>
      <c r="C102" s="264">
        <v>499868</v>
      </c>
      <c r="D102" s="331"/>
      <c r="E102" s="331" t="s">
        <v>75</v>
      </c>
      <c r="F102" s="315">
        <f>+'Allocation Factors'!$H$13</f>
        <v>0.92469611331494961</v>
      </c>
      <c r="G102" s="331"/>
      <c r="H102" s="322">
        <f t="shared" si="2"/>
        <v>462225.9967705172</v>
      </c>
      <c r="I102" s="320"/>
    </row>
    <row r="103" spans="1:9" s="321" customFormat="1" x14ac:dyDescent="0.25">
      <c r="A103" s="312" t="s">
        <v>937</v>
      </c>
      <c r="B103" s="331"/>
      <c r="C103" s="264">
        <v>266759</v>
      </c>
      <c r="D103" s="331"/>
      <c r="E103" s="331" t="s">
        <v>75</v>
      </c>
      <c r="F103" s="315">
        <f>+'Allocation Factors'!$H$13</f>
        <v>0.92469611331494961</v>
      </c>
      <c r="G103" s="331"/>
      <c r="H103" s="322">
        <f t="shared" si="2"/>
        <v>246671.01049178265</v>
      </c>
      <c r="I103" s="320"/>
    </row>
    <row r="104" spans="1:9" s="321" customFormat="1" x14ac:dyDescent="0.25">
      <c r="A104" s="312" t="s">
        <v>338</v>
      </c>
      <c r="B104" s="331"/>
      <c r="C104" s="264">
        <v>0</v>
      </c>
      <c r="D104" s="331"/>
      <c r="E104" s="331" t="s">
        <v>75</v>
      </c>
      <c r="F104" s="315">
        <f>+'Allocation Factors'!$H$13</f>
        <v>0.92469611331494961</v>
      </c>
      <c r="G104" s="331"/>
      <c r="H104" s="322">
        <f t="shared" si="2"/>
        <v>0</v>
      </c>
      <c r="I104" s="320"/>
    </row>
    <row r="105" spans="1:9" s="321" customFormat="1" x14ac:dyDescent="0.25">
      <c r="A105" s="312" t="s">
        <v>358</v>
      </c>
      <c r="B105" s="331"/>
      <c r="C105" s="264">
        <v>0</v>
      </c>
      <c r="D105" s="331"/>
      <c r="E105" s="331" t="s">
        <v>76</v>
      </c>
      <c r="F105" s="315">
        <f>+'Allocation Factors'!$H$21</f>
        <v>3.5773423890158328E-2</v>
      </c>
      <c r="G105" s="331"/>
      <c r="H105" s="322">
        <f t="shared" si="2"/>
        <v>0</v>
      </c>
      <c r="I105" s="320"/>
    </row>
    <row r="106" spans="1:9" s="321" customFormat="1" x14ac:dyDescent="0.25">
      <c r="A106" s="312" t="s">
        <v>362</v>
      </c>
      <c r="B106" s="331"/>
      <c r="C106" s="264">
        <v>602837</v>
      </c>
      <c r="D106" s="331"/>
      <c r="E106" s="331" t="s">
        <v>138</v>
      </c>
      <c r="F106" s="330">
        <v>0</v>
      </c>
      <c r="G106" s="331"/>
      <c r="H106" s="322">
        <f t="shared" si="2"/>
        <v>0</v>
      </c>
      <c r="I106" s="320"/>
    </row>
    <row r="107" spans="1:9" s="321" customFormat="1" x14ac:dyDescent="0.25">
      <c r="A107" s="312" t="s">
        <v>348</v>
      </c>
      <c r="B107" s="331"/>
      <c r="C107" s="264">
        <v>1519375</v>
      </c>
      <c r="D107" s="331"/>
      <c r="E107" s="331" t="s">
        <v>76</v>
      </c>
      <c r="F107" s="315">
        <f>+'Allocation Factors'!$H$21</f>
        <v>3.5773423890158328E-2</v>
      </c>
      <c r="G107" s="331"/>
      <c r="H107" s="322">
        <f t="shared" si="2"/>
        <v>54353.245923109309</v>
      </c>
      <c r="I107" s="320"/>
    </row>
    <row r="108" spans="1:9" s="274" customFormat="1" x14ac:dyDescent="0.25">
      <c r="A108" s="271"/>
      <c r="C108" s="264"/>
      <c r="F108" s="273"/>
      <c r="H108" s="268"/>
      <c r="I108" s="267"/>
    </row>
    <row r="109" spans="1:9" x14ac:dyDescent="0.25">
      <c r="A109" s="229" t="s">
        <v>389</v>
      </c>
      <c r="C109" s="227">
        <f>SUM(C10:C107)</f>
        <v>943490977.99999964</v>
      </c>
      <c r="H109" s="60">
        <f>SUM(H10:H107)</f>
        <v>37678387.711215459</v>
      </c>
    </row>
  </sheetData>
  <sortState ref="A10:J73">
    <sortCondition ref="A10:A73"/>
  </sortState>
  <mergeCells count="7">
    <mergeCell ref="A2:F2"/>
    <mergeCell ref="A1:F1"/>
    <mergeCell ref="E9:F9"/>
    <mergeCell ref="A4:E4"/>
    <mergeCell ref="A5:E5"/>
    <mergeCell ref="E8:F8"/>
    <mergeCell ref="A3:F3"/>
  </mergeCells>
  <pageMargins left="0.7" right="0.7" top="0.75" bottom="0.75" header="0.3" footer="0.3"/>
  <pageSetup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zoomScale="80" zoomScaleNormal="80" workbookViewId="0">
      <selection sqref="A1:G1"/>
    </sheetView>
  </sheetViews>
  <sheetFormatPr defaultColWidth="0.7109375" defaultRowHeight="15" x14ac:dyDescent="0.25"/>
  <cols>
    <col min="1" max="1" width="66.28515625" style="6" customWidth="1"/>
    <col min="2" max="2" width="1.7109375" style="6" customWidth="1"/>
    <col min="3" max="3" width="23.42578125" style="6" customWidth="1"/>
    <col min="4" max="4" width="1.7109375" style="6" customWidth="1"/>
    <col min="5" max="5" width="13.42578125" style="6" customWidth="1"/>
    <col min="6" max="6" width="10.42578125" style="6" bestFit="1" customWidth="1"/>
    <col min="7" max="7" width="2.5703125" style="6" customWidth="1"/>
    <col min="8" max="8" width="18.42578125" style="6" bestFit="1" customWidth="1"/>
    <col min="9" max="9" width="20.140625" style="6" customWidth="1"/>
    <col min="10" max="10" width="4.28515625" style="6" customWidth="1"/>
    <col min="11" max="11" width="10.5703125" style="6" customWidth="1"/>
    <col min="12" max="7260" width="10.7109375" style="6" customWidth="1"/>
    <col min="7261" max="16384" width="0.7109375" style="6"/>
  </cols>
  <sheetData>
    <row r="1" spans="1:11" x14ac:dyDescent="0.25">
      <c r="A1" s="359" t="s">
        <v>0</v>
      </c>
      <c r="B1" s="359"/>
      <c r="C1" s="359"/>
      <c r="D1" s="359"/>
      <c r="E1" s="359"/>
      <c r="F1" s="359"/>
      <c r="G1" s="359"/>
      <c r="H1" s="151" t="s">
        <v>406</v>
      </c>
    </row>
    <row r="2" spans="1:11" x14ac:dyDescent="0.25">
      <c r="A2" s="359" t="s">
        <v>116</v>
      </c>
      <c r="B2" s="359"/>
      <c r="C2" s="359"/>
      <c r="D2" s="359"/>
      <c r="E2" s="359"/>
      <c r="F2" s="359"/>
      <c r="G2" s="359"/>
      <c r="H2" s="151" t="s">
        <v>368</v>
      </c>
    </row>
    <row r="3" spans="1:11" x14ac:dyDescent="0.25">
      <c r="A3" s="359"/>
      <c r="B3" s="359"/>
      <c r="C3" s="359"/>
      <c r="D3" s="359"/>
      <c r="E3" s="359"/>
      <c r="F3" s="359"/>
      <c r="G3" s="359"/>
      <c r="H3" s="151"/>
    </row>
    <row r="4" spans="1:11" x14ac:dyDescent="0.25">
      <c r="A4" s="359" t="s">
        <v>382</v>
      </c>
      <c r="B4" s="359"/>
      <c r="C4" s="359"/>
      <c r="D4" s="359"/>
      <c r="E4" s="359"/>
      <c r="F4" s="359"/>
      <c r="G4" s="359"/>
      <c r="H4" s="151"/>
    </row>
    <row r="7" spans="1:11" x14ac:dyDescent="0.25">
      <c r="C7" s="151" t="s">
        <v>130</v>
      </c>
      <c r="D7" s="15"/>
      <c r="E7" s="15"/>
      <c r="F7" s="15"/>
      <c r="G7" s="15"/>
      <c r="H7" s="15"/>
    </row>
    <row r="8" spans="1:11" x14ac:dyDescent="0.25">
      <c r="C8" s="226">
        <v>43100</v>
      </c>
      <c r="D8" s="15"/>
      <c r="E8" s="359" t="s">
        <v>128</v>
      </c>
      <c r="F8" s="359"/>
      <c r="G8" s="15"/>
      <c r="H8" s="15"/>
    </row>
    <row r="9" spans="1:11" x14ac:dyDescent="0.25">
      <c r="A9" s="22" t="s">
        <v>333</v>
      </c>
      <c r="B9" s="14"/>
      <c r="C9" s="152" t="s">
        <v>131</v>
      </c>
      <c r="D9" s="15"/>
      <c r="E9" s="360" t="s">
        <v>129</v>
      </c>
      <c r="F9" s="360"/>
      <c r="G9" s="15"/>
      <c r="H9" s="152" t="s">
        <v>127</v>
      </c>
    </row>
    <row r="10" spans="1:11" x14ac:dyDescent="0.25">
      <c r="A10" s="259" t="s">
        <v>415</v>
      </c>
      <c r="B10" s="331"/>
      <c r="C10" s="263">
        <f>550145243-SUM(C11:C105)</f>
        <v>325238675.74000001</v>
      </c>
      <c r="D10" s="331"/>
      <c r="E10" s="331" t="s">
        <v>138</v>
      </c>
      <c r="F10" s="330">
        <v>0</v>
      </c>
      <c r="G10" s="331"/>
      <c r="H10" s="322">
        <f t="shared" ref="H10:H74" si="0">C10*F10</f>
        <v>0</v>
      </c>
      <c r="I10" s="9"/>
      <c r="K10" s="8"/>
    </row>
    <row r="11" spans="1:11" x14ac:dyDescent="0.25">
      <c r="A11" s="259" t="s">
        <v>335</v>
      </c>
      <c r="B11" s="331"/>
      <c r="C11" s="324">
        <v>2379388</v>
      </c>
      <c r="D11" s="331"/>
      <c r="E11" s="331" t="s">
        <v>76</v>
      </c>
      <c r="F11" s="315">
        <f>+'Allocation Factors'!$H$21</f>
        <v>3.5773423890158328E-2</v>
      </c>
      <c r="G11" s="331"/>
      <c r="H11" s="322">
        <f t="shared" si="0"/>
        <v>85118.855523156046</v>
      </c>
      <c r="I11" s="9"/>
      <c r="K11" s="8"/>
    </row>
    <row r="12" spans="1:11" x14ac:dyDescent="0.25">
      <c r="A12" s="259" t="s">
        <v>349</v>
      </c>
      <c r="B12" s="331"/>
      <c r="C12" s="324">
        <v>131361.35</v>
      </c>
      <c r="D12" s="331"/>
      <c r="E12" s="331" t="s">
        <v>76</v>
      </c>
      <c r="F12" s="315">
        <f>+'Allocation Factors'!$H$21</f>
        <v>3.5773423890158328E-2</v>
      </c>
      <c r="G12" s="331"/>
      <c r="H12" s="322">
        <f t="shared" si="0"/>
        <v>4699.24525633345</v>
      </c>
      <c r="I12" s="5"/>
      <c r="K12" s="8"/>
    </row>
    <row r="13" spans="1:11" x14ac:dyDescent="0.25">
      <c r="A13" s="259" t="s">
        <v>1067</v>
      </c>
      <c r="B13" s="331"/>
      <c r="C13" s="324">
        <v>162880</v>
      </c>
      <c r="D13" s="331"/>
      <c r="E13" s="331" t="s">
        <v>75</v>
      </c>
      <c r="F13" s="315">
        <f>+'Allocation Factors'!$H$13</f>
        <v>0.92469611331494961</v>
      </c>
      <c r="G13" s="331"/>
      <c r="H13" s="322">
        <f t="shared" si="0"/>
        <v>150614.50293673898</v>
      </c>
      <c r="I13" s="9"/>
    </row>
    <row r="14" spans="1:11" x14ac:dyDescent="0.25">
      <c r="A14" s="259" t="s">
        <v>928</v>
      </c>
      <c r="B14" s="331"/>
      <c r="C14" s="324">
        <v>0</v>
      </c>
      <c r="D14" s="331"/>
      <c r="E14" s="331" t="s">
        <v>75</v>
      </c>
      <c r="F14" s="315">
        <f>+'Allocation Factors'!$H$13</f>
        <v>0.92469611331494961</v>
      </c>
      <c r="G14" s="331"/>
      <c r="H14" s="322">
        <f t="shared" si="0"/>
        <v>0</v>
      </c>
      <c r="I14" s="9"/>
    </row>
    <row r="15" spans="1:11" x14ac:dyDescent="0.25">
      <c r="A15" s="259" t="s">
        <v>1068</v>
      </c>
      <c r="B15" s="331"/>
      <c r="C15" s="324">
        <f>396723+554+20600</f>
        <v>417877</v>
      </c>
      <c r="D15" s="331"/>
      <c r="E15" s="331" t="s">
        <v>138</v>
      </c>
      <c r="F15" s="330">
        <v>0</v>
      </c>
      <c r="G15" s="331"/>
      <c r="H15" s="322">
        <f t="shared" si="0"/>
        <v>0</v>
      </c>
      <c r="I15" s="9"/>
    </row>
    <row r="16" spans="1:11" x14ac:dyDescent="0.25">
      <c r="A16" s="259" t="s">
        <v>357</v>
      </c>
      <c r="B16" s="331"/>
      <c r="C16" s="324">
        <v>124033.27</v>
      </c>
      <c r="D16" s="331"/>
      <c r="E16" s="331" t="s">
        <v>76</v>
      </c>
      <c r="F16" s="315">
        <f>+'Allocation Factors'!$H$21</f>
        <v>3.5773423890158328E-2</v>
      </c>
      <c r="G16" s="331"/>
      <c r="H16" s="322">
        <f t="shared" si="0"/>
        <v>4437.0947441924582</v>
      </c>
      <c r="I16" s="9"/>
    </row>
    <row r="17" spans="1:9" x14ac:dyDescent="0.25">
      <c r="A17" s="259" t="s">
        <v>1057</v>
      </c>
      <c r="B17" s="331"/>
      <c r="C17" s="324">
        <f>754060.3-3472.31-1580.85</f>
        <v>749007.14</v>
      </c>
      <c r="D17" s="331"/>
      <c r="E17" s="331" t="s">
        <v>138</v>
      </c>
      <c r="F17" s="330">
        <v>0</v>
      </c>
      <c r="G17" s="331"/>
      <c r="H17" s="322">
        <f t="shared" si="0"/>
        <v>0</v>
      </c>
      <c r="I17" s="9"/>
    </row>
    <row r="18" spans="1:9" x14ac:dyDescent="0.25">
      <c r="A18" s="259" t="s">
        <v>974</v>
      </c>
      <c r="B18" s="331"/>
      <c r="C18" s="324">
        <v>0</v>
      </c>
      <c r="D18" s="331"/>
      <c r="E18" s="331" t="s">
        <v>138</v>
      </c>
      <c r="F18" s="330">
        <v>0</v>
      </c>
      <c r="G18" s="331"/>
      <c r="H18" s="322">
        <f t="shared" si="0"/>
        <v>0</v>
      </c>
      <c r="I18" s="5"/>
    </row>
    <row r="19" spans="1:9" x14ac:dyDescent="0.25">
      <c r="A19" s="259" t="s">
        <v>341</v>
      </c>
      <c r="B19" s="331"/>
      <c r="C19" s="324">
        <v>65878.41</v>
      </c>
      <c r="D19" s="331"/>
      <c r="E19" s="331" t="s">
        <v>75</v>
      </c>
      <c r="F19" s="315">
        <f>+'Allocation Factors'!$H$13</f>
        <v>0.92469611331494961</v>
      </c>
      <c r="G19" s="331"/>
      <c r="H19" s="322">
        <f t="shared" si="0"/>
        <v>60917.509678368711</v>
      </c>
      <c r="I19" s="9"/>
    </row>
    <row r="20" spans="1:9" x14ac:dyDescent="0.25">
      <c r="A20" s="259" t="s">
        <v>350</v>
      </c>
      <c r="B20" s="331"/>
      <c r="C20" s="324">
        <v>3193331</v>
      </c>
      <c r="D20" s="331"/>
      <c r="E20" s="331" t="s">
        <v>76</v>
      </c>
      <c r="F20" s="315">
        <f>+'Allocation Factors'!$H$21</f>
        <v>3.5773423890158328E-2</v>
      </c>
      <c r="G20" s="331"/>
      <c r="H20" s="322">
        <f t="shared" si="0"/>
        <v>114236.38348458319</v>
      </c>
      <c r="I20" s="9"/>
    </row>
    <row r="21" spans="1:9" x14ac:dyDescent="0.25">
      <c r="A21" s="259" t="s">
        <v>337</v>
      </c>
      <c r="B21" s="331"/>
      <c r="C21" s="324">
        <v>5770909</v>
      </c>
      <c r="D21" s="331"/>
      <c r="E21" s="331" t="s">
        <v>76</v>
      </c>
      <c r="F21" s="315">
        <f>+'Allocation Factors'!$H$21</f>
        <v>3.5773423890158328E-2</v>
      </c>
      <c r="G21" s="331"/>
      <c r="H21" s="322">
        <f t="shared" si="0"/>
        <v>206445.17388852971</v>
      </c>
      <c r="I21" s="9"/>
    </row>
    <row r="22" spans="1:9" x14ac:dyDescent="0.25">
      <c r="A22" s="259" t="s">
        <v>998</v>
      </c>
      <c r="B22" s="331"/>
      <c r="C22" s="324">
        <f>19480886+11754556</f>
        <v>31235442</v>
      </c>
      <c r="D22" s="331"/>
      <c r="E22" s="331" t="s">
        <v>76</v>
      </c>
      <c r="F22" s="315">
        <f>+'Allocation Factors'!$H$21</f>
        <v>3.5773423890158328E-2</v>
      </c>
      <c r="G22" s="331"/>
      <c r="H22" s="322">
        <f t="shared" si="0"/>
        <v>1117398.7070624549</v>
      </c>
      <c r="I22" s="9"/>
    </row>
    <row r="23" spans="1:9" x14ac:dyDescent="0.25">
      <c r="A23" s="259" t="s">
        <v>359</v>
      </c>
      <c r="B23" s="331"/>
      <c r="C23" s="324">
        <v>1164009</v>
      </c>
      <c r="D23" s="331"/>
      <c r="E23" s="331" t="s">
        <v>76</v>
      </c>
      <c r="F23" s="315">
        <f>+'Allocation Factors'!$H$21</f>
        <v>3.5773423890158328E-2</v>
      </c>
      <c r="G23" s="331"/>
      <c r="H23" s="322">
        <f t="shared" si="0"/>
        <v>41640.587368959306</v>
      </c>
      <c r="I23" s="9"/>
    </row>
    <row r="24" spans="1:9" x14ac:dyDescent="0.25">
      <c r="A24" s="259" t="s">
        <v>1059</v>
      </c>
      <c r="B24" s="331"/>
      <c r="C24" s="324">
        <v>804528.31</v>
      </c>
      <c r="D24" s="331"/>
      <c r="E24" s="331" t="s">
        <v>76</v>
      </c>
      <c r="F24" s="315">
        <f>+'Allocation Factors'!$H$21</f>
        <v>3.5773423890158328E-2</v>
      </c>
      <c r="G24" s="331"/>
      <c r="H24" s="322">
        <f t="shared" si="0"/>
        <v>28780.732265262708</v>
      </c>
      <c r="I24" s="9"/>
    </row>
    <row r="25" spans="1:9" x14ac:dyDescent="0.25">
      <c r="A25" s="312" t="s">
        <v>1243</v>
      </c>
      <c r="B25" s="331"/>
      <c r="C25" s="324">
        <v>341792.63</v>
      </c>
      <c r="D25" s="331"/>
      <c r="E25" s="331" t="s">
        <v>138</v>
      </c>
      <c r="F25" s="330">
        <v>0</v>
      </c>
      <c r="G25" s="331"/>
      <c r="H25" s="322">
        <f t="shared" si="0"/>
        <v>0</v>
      </c>
      <c r="I25" s="9"/>
    </row>
    <row r="26" spans="1:9" x14ac:dyDescent="0.25">
      <c r="A26" s="312" t="s">
        <v>1143</v>
      </c>
      <c r="B26" s="331"/>
      <c r="C26" s="324">
        <f>874.31+388.74+1401675.7+321304.9</f>
        <v>1724243.65</v>
      </c>
      <c r="D26" s="331"/>
      <c r="E26" s="331" t="s">
        <v>76</v>
      </c>
      <c r="F26" s="315">
        <f>+'Allocation Factors'!$H$21</f>
        <v>3.5773423890158328E-2</v>
      </c>
      <c r="G26" s="331"/>
      <c r="H26" s="322">
        <f t="shared" si="0"/>
        <v>61682.098981363793</v>
      </c>
      <c r="I26" s="9"/>
    </row>
    <row r="27" spans="1:9" x14ac:dyDescent="0.25">
      <c r="A27" s="312" t="s">
        <v>929</v>
      </c>
      <c r="B27" s="331"/>
      <c r="C27" s="324">
        <v>67338.559999999998</v>
      </c>
      <c r="D27" s="331"/>
      <c r="E27" s="331" t="s">
        <v>75</v>
      </c>
      <c r="F27" s="315">
        <f>+'Allocation Factors'!$H$13</f>
        <v>0.92469611331494961</v>
      </c>
      <c r="G27" s="331"/>
      <c r="H27" s="322">
        <f t="shared" si="0"/>
        <v>62267.70470822553</v>
      </c>
      <c r="I27" s="9"/>
    </row>
    <row r="28" spans="1:9" x14ac:dyDescent="0.25">
      <c r="A28" s="312" t="s">
        <v>1261</v>
      </c>
      <c r="B28" s="331"/>
      <c r="C28" s="324">
        <f>1006467.17+37901.45</f>
        <v>1044368.62</v>
      </c>
      <c r="D28" s="331"/>
      <c r="E28" s="331" t="s">
        <v>76</v>
      </c>
      <c r="F28" s="315">
        <f>+'Allocation Factors'!$H$21</f>
        <v>3.5773423890158328E-2</v>
      </c>
      <c r="G28" s="331"/>
      <c r="H28" s="322">
        <f t="shared" si="0"/>
        <v>37360.641340839684</v>
      </c>
      <c r="I28" s="9"/>
    </row>
    <row r="29" spans="1:9" x14ac:dyDescent="0.25">
      <c r="A29" s="312" t="s">
        <v>1079</v>
      </c>
      <c r="B29" s="331"/>
      <c r="C29" s="324">
        <v>2593700.0299999998</v>
      </c>
      <c r="D29" s="331"/>
      <c r="E29" s="331" t="s">
        <v>75</v>
      </c>
      <c r="F29" s="315">
        <f>+'Allocation Factors'!$H$13</f>
        <v>0.92469611331494961</v>
      </c>
      <c r="G29" s="331"/>
      <c r="H29" s="322">
        <f t="shared" si="0"/>
        <v>2398384.3368458678</v>
      </c>
      <c r="I29" s="9"/>
    </row>
    <row r="30" spans="1:9" x14ac:dyDescent="0.25">
      <c r="A30" s="259" t="s">
        <v>1079</v>
      </c>
      <c r="B30" s="331"/>
      <c r="C30" s="324">
        <v>0</v>
      </c>
      <c r="D30" s="331"/>
      <c r="E30" s="331" t="s">
        <v>75</v>
      </c>
      <c r="F30" s="315">
        <f>+'Allocation Factors'!$H$13</f>
        <v>0.92469611331494961</v>
      </c>
      <c r="G30" s="331"/>
      <c r="H30" s="322">
        <f t="shared" si="0"/>
        <v>0</v>
      </c>
      <c r="I30" s="9"/>
    </row>
    <row r="31" spans="1:9" x14ac:dyDescent="0.25">
      <c r="A31" s="259" t="s">
        <v>988</v>
      </c>
      <c r="B31" s="331"/>
      <c r="C31" s="324">
        <v>29703103.73</v>
      </c>
      <c r="D31" s="331"/>
      <c r="E31" s="331" t="s">
        <v>76</v>
      </c>
      <c r="F31" s="315">
        <f>+'Allocation Factors'!$H$21</f>
        <v>3.5773423890158328E-2</v>
      </c>
      <c r="G31" s="331"/>
      <c r="H31" s="322">
        <f t="shared" si="0"/>
        <v>1062581.7205866328</v>
      </c>
      <c r="I31" s="9"/>
    </row>
    <row r="32" spans="1:9" x14ac:dyDescent="0.25">
      <c r="A32" s="259" t="s">
        <v>979</v>
      </c>
      <c r="B32" s="331"/>
      <c r="C32" s="324">
        <v>776776.57</v>
      </c>
      <c r="D32" s="331"/>
      <c r="E32" s="331" t="s">
        <v>138</v>
      </c>
      <c r="F32" s="330">
        <v>0</v>
      </c>
      <c r="G32" s="331"/>
      <c r="H32" s="322">
        <f t="shared" si="0"/>
        <v>0</v>
      </c>
      <c r="I32" s="9"/>
    </row>
    <row r="33" spans="1:9" x14ac:dyDescent="0.25">
      <c r="A33" s="259" t="s">
        <v>979</v>
      </c>
      <c r="B33" s="331"/>
      <c r="C33" s="324">
        <v>0</v>
      </c>
      <c r="D33" s="331"/>
      <c r="E33" s="331" t="s">
        <v>138</v>
      </c>
      <c r="F33" s="330">
        <v>0</v>
      </c>
      <c r="G33" s="331"/>
      <c r="H33" s="322">
        <f t="shared" si="0"/>
        <v>0</v>
      </c>
      <c r="I33" s="9"/>
    </row>
    <row r="34" spans="1:9" x14ac:dyDescent="0.25">
      <c r="A34" s="259" t="s">
        <v>979</v>
      </c>
      <c r="B34" s="331"/>
      <c r="C34" s="324">
        <v>0</v>
      </c>
      <c r="D34" s="331"/>
      <c r="E34" s="331" t="s">
        <v>138</v>
      </c>
      <c r="F34" s="330">
        <v>0</v>
      </c>
      <c r="G34" s="331"/>
      <c r="H34" s="322">
        <f t="shared" si="0"/>
        <v>0</v>
      </c>
      <c r="I34" s="9"/>
    </row>
    <row r="35" spans="1:9" x14ac:dyDescent="0.25">
      <c r="A35" s="259" t="s">
        <v>979</v>
      </c>
      <c r="B35" s="331"/>
      <c r="C35" s="324">
        <v>0</v>
      </c>
      <c r="D35" s="331"/>
      <c r="E35" s="331" t="s">
        <v>138</v>
      </c>
      <c r="F35" s="330">
        <v>0</v>
      </c>
      <c r="G35" s="331"/>
      <c r="H35" s="322">
        <f t="shared" si="0"/>
        <v>0</v>
      </c>
      <c r="I35" s="9"/>
    </row>
    <row r="36" spans="1:9" x14ac:dyDescent="0.25">
      <c r="A36" s="259" t="s">
        <v>979</v>
      </c>
      <c r="B36" s="331"/>
      <c r="C36" s="324">
        <v>0</v>
      </c>
      <c r="D36" s="331"/>
      <c r="E36" s="331" t="s">
        <v>138</v>
      </c>
      <c r="F36" s="330">
        <v>0</v>
      </c>
      <c r="G36" s="331"/>
      <c r="H36" s="322">
        <f t="shared" si="0"/>
        <v>0</v>
      </c>
      <c r="I36" s="9"/>
    </row>
    <row r="37" spans="1:9" x14ac:dyDescent="0.25">
      <c r="A37" s="259" t="s">
        <v>980</v>
      </c>
      <c r="B37" s="331"/>
      <c r="C37" s="324">
        <v>0</v>
      </c>
      <c r="D37" s="331"/>
      <c r="E37" s="331" t="s">
        <v>138</v>
      </c>
      <c r="F37" s="330">
        <v>0</v>
      </c>
      <c r="G37" s="331"/>
      <c r="H37" s="322">
        <f t="shared" si="0"/>
        <v>0</v>
      </c>
      <c r="I37" s="5"/>
    </row>
    <row r="38" spans="1:9" x14ac:dyDescent="0.25">
      <c r="A38" s="259" t="s">
        <v>980</v>
      </c>
      <c r="B38" s="331"/>
      <c r="C38" s="324">
        <v>0</v>
      </c>
      <c r="D38" s="331"/>
      <c r="E38" s="331" t="s">
        <v>138</v>
      </c>
      <c r="F38" s="330">
        <v>0</v>
      </c>
      <c r="G38" s="331"/>
      <c r="H38" s="322">
        <f t="shared" si="0"/>
        <v>0</v>
      </c>
      <c r="I38" s="5"/>
    </row>
    <row r="39" spans="1:9" x14ac:dyDescent="0.25">
      <c r="A39" s="259" t="s">
        <v>980</v>
      </c>
      <c r="B39" s="331"/>
      <c r="C39" s="324">
        <v>0</v>
      </c>
      <c r="D39" s="331"/>
      <c r="E39" s="331" t="s">
        <v>138</v>
      </c>
      <c r="F39" s="330">
        <v>0</v>
      </c>
      <c r="G39" s="331"/>
      <c r="H39" s="322">
        <f t="shared" si="0"/>
        <v>0</v>
      </c>
      <c r="I39" s="5"/>
    </row>
    <row r="40" spans="1:9" x14ac:dyDescent="0.25">
      <c r="A40" s="259" t="s">
        <v>981</v>
      </c>
      <c r="B40" s="331"/>
      <c r="C40" s="324">
        <v>52683.37</v>
      </c>
      <c r="D40" s="334"/>
      <c r="E40" s="331" t="s">
        <v>138</v>
      </c>
      <c r="F40" s="330">
        <v>0</v>
      </c>
      <c r="G40" s="331"/>
      <c r="H40" s="322">
        <f t="shared" si="0"/>
        <v>0</v>
      </c>
      <c r="I40" s="9"/>
    </row>
    <row r="41" spans="1:9" x14ac:dyDescent="0.25">
      <c r="A41" s="259" t="s">
        <v>982</v>
      </c>
      <c r="B41" s="331"/>
      <c r="C41" s="324">
        <v>0</v>
      </c>
      <c r="D41" s="331"/>
      <c r="E41" s="331" t="s">
        <v>138</v>
      </c>
      <c r="F41" s="330">
        <v>0</v>
      </c>
      <c r="G41" s="331"/>
      <c r="H41" s="322">
        <f t="shared" si="0"/>
        <v>0</v>
      </c>
      <c r="I41" s="9"/>
    </row>
    <row r="42" spans="1:9" x14ac:dyDescent="0.25">
      <c r="A42" s="259" t="s">
        <v>982</v>
      </c>
      <c r="B42" s="331"/>
      <c r="C42" s="324">
        <v>0</v>
      </c>
      <c r="D42" s="331"/>
      <c r="E42" s="331" t="s">
        <v>138</v>
      </c>
      <c r="F42" s="330">
        <v>0</v>
      </c>
      <c r="G42" s="331"/>
      <c r="H42" s="322">
        <f t="shared" si="0"/>
        <v>0</v>
      </c>
      <c r="I42" s="12"/>
    </row>
    <row r="43" spans="1:9" x14ac:dyDescent="0.25">
      <c r="A43" s="259" t="s">
        <v>982</v>
      </c>
      <c r="B43" s="331"/>
      <c r="C43" s="324">
        <v>0</v>
      </c>
      <c r="D43" s="331"/>
      <c r="E43" s="331" t="s">
        <v>138</v>
      </c>
      <c r="F43" s="330">
        <v>0</v>
      </c>
      <c r="G43" s="331"/>
      <c r="H43" s="322">
        <f t="shared" si="0"/>
        <v>0</v>
      </c>
      <c r="I43" s="9"/>
    </row>
    <row r="44" spans="1:9" x14ac:dyDescent="0.25">
      <c r="A44" s="259" t="s">
        <v>982</v>
      </c>
      <c r="B44" s="331"/>
      <c r="C44" s="324">
        <v>0</v>
      </c>
      <c r="D44" s="331"/>
      <c r="E44" s="331" t="s">
        <v>138</v>
      </c>
      <c r="F44" s="330">
        <v>0</v>
      </c>
      <c r="G44" s="331"/>
      <c r="H44" s="322">
        <f t="shared" si="0"/>
        <v>0</v>
      </c>
      <c r="I44" s="9"/>
    </row>
    <row r="45" spans="1:9" x14ac:dyDescent="0.25">
      <c r="A45" s="259" t="s">
        <v>346</v>
      </c>
      <c r="B45" s="331"/>
      <c r="C45" s="324">
        <v>2777832</v>
      </c>
      <c r="D45" s="331"/>
      <c r="E45" s="331" t="s">
        <v>76</v>
      </c>
      <c r="F45" s="315">
        <f>+'Allocation Factors'!$H$21</f>
        <v>3.5773423890158328E-2</v>
      </c>
      <c r="G45" s="331"/>
      <c r="H45" s="322">
        <f t="shared" si="0"/>
        <v>99372.561631646284</v>
      </c>
      <c r="I45" s="9"/>
    </row>
    <row r="46" spans="1:9" x14ac:dyDescent="0.25">
      <c r="A46" s="259" t="s">
        <v>336</v>
      </c>
      <c r="B46" s="331"/>
      <c r="C46" s="324">
        <v>519424</v>
      </c>
      <c r="D46" s="331"/>
      <c r="E46" s="331" t="s">
        <v>76</v>
      </c>
      <c r="F46" s="315">
        <f>+'Allocation Factors'!$H$21</f>
        <v>3.5773423890158328E-2</v>
      </c>
      <c r="G46" s="331"/>
      <c r="H46" s="322">
        <f t="shared" si="0"/>
        <v>18581.574930721599</v>
      </c>
      <c r="I46" s="9"/>
    </row>
    <row r="47" spans="1:9" x14ac:dyDescent="0.25">
      <c r="A47" s="259" t="s">
        <v>352</v>
      </c>
      <c r="B47" s="331"/>
      <c r="C47" s="324">
        <v>2802756</v>
      </c>
      <c r="D47" s="331"/>
      <c r="E47" s="331" t="s">
        <v>76</v>
      </c>
      <c r="F47" s="315">
        <f>+'Allocation Factors'!$H$21</f>
        <v>3.5773423890158328E-2</v>
      </c>
      <c r="G47" s="331"/>
      <c r="H47" s="322">
        <f t="shared" si="0"/>
        <v>100264.1784486846</v>
      </c>
      <c r="I47" s="9"/>
    </row>
    <row r="48" spans="1:9" x14ac:dyDescent="0.25">
      <c r="A48" s="259" t="s">
        <v>347</v>
      </c>
      <c r="B48" s="331"/>
      <c r="C48" s="324">
        <v>339838</v>
      </c>
      <c r="D48" s="331"/>
      <c r="E48" s="331" t="s">
        <v>76</v>
      </c>
      <c r="F48" s="315">
        <f>+'Allocation Factors'!$H$21</f>
        <v>3.5773423890158328E-2</v>
      </c>
      <c r="G48" s="331"/>
      <c r="H48" s="322">
        <f t="shared" si="0"/>
        <v>12157.168827983625</v>
      </c>
      <c r="I48" s="9"/>
    </row>
    <row r="49" spans="1:9" x14ac:dyDescent="0.25">
      <c r="A49" s="259" t="s">
        <v>345</v>
      </c>
      <c r="B49" s="331"/>
      <c r="C49" s="324">
        <v>687653</v>
      </c>
      <c r="D49" s="318"/>
      <c r="E49" s="331" t="s">
        <v>76</v>
      </c>
      <c r="F49" s="315">
        <f>+'Allocation Factors'!$H$21</f>
        <v>3.5773423890158328E-2</v>
      </c>
      <c r="G49" s="318"/>
      <c r="H49" s="322">
        <f t="shared" si="0"/>
        <v>24599.702258339046</v>
      </c>
    </row>
    <row r="50" spans="1:9" x14ac:dyDescent="0.25">
      <c r="A50" s="259" t="s">
        <v>355</v>
      </c>
      <c r="B50" s="331"/>
      <c r="C50" s="324">
        <v>24160263</v>
      </c>
      <c r="D50" s="331"/>
      <c r="E50" s="331" t="s">
        <v>76</v>
      </c>
      <c r="F50" s="315">
        <f>+'Allocation Factors'!$H$21</f>
        <v>3.5773423890158328E-2</v>
      </c>
      <c r="G50" s="331"/>
      <c r="H50" s="322">
        <f t="shared" si="0"/>
        <v>864295.3295967083</v>
      </c>
      <c r="I50" s="9"/>
    </row>
    <row r="51" spans="1:9" x14ac:dyDescent="0.25">
      <c r="A51" s="259" t="s">
        <v>1069</v>
      </c>
      <c r="B51" s="331"/>
      <c r="C51" s="324">
        <v>45574.04</v>
      </c>
      <c r="D51" s="331"/>
      <c r="E51" s="331" t="s">
        <v>75</v>
      </c>
      <c r="F51" s="315">
        <f>+'Allocation Factors'!$H$13</f>
        <v>0.92469611331494961</v>
      </c>
      <c r="G51" s="331"/>
      <c r="H51" s="322">
        <f t="shared" si="0"/>
        <v>42142.137656060047</v>
      </c>
      <c r="I51" s="9"/>
    </row>
    <row r="52" spans="1:9" x14ac:dyDescent="0.25">
      <c r="A52" s="312" t="s">
        <v>1262</v>
      </c>
      <c r="B52" s="331"/>
      <c r="C52" s="324">
        <v>21740.95</v>
      </c>
      <c r="D52" s="331"/>
      <c r="E52" s="331" t="s">
        <v>75</v>
      </c>
      <c r="F52" s="315">
        <f>+'Allocation Factors'!$H$13</f>
        <v>0.92469611331494961</v>
      </c>
      <c r="G52" s="331"/>
      <c r="H52" s="322">
        <f t="shared" si="0"/>
        <v>20103.771964774653</v>
      </c>
      <c r="I52" s="9"/>
    </row>
    <row r="53" spans="1:9" x14ac:dyDescent="0.25">
      <c r="A53" s="259" t="s">
        <v>367</v>
      </c>
      <c r="B53" s="331"/>
      <c r="C53" s="324">
        <v>5342.02</v>
      </c>
      <c r="D53" s="331"/>
      <c r="E53" s="331" t="s">
        <v>76</v>
      </c>
      <c r="F53" s="315">
        <f>+'Allocation Factors'!$H$21</f>
        <v>3.5773423890158328E-2</v>
      </c>
      <c r="G53" s="331"/>
      <c r="H53" s="322">
        <f t="shared" si="0"/>
        <v>191.1023458897036</v>
      </c>
      <c r="I53" s="9"/>
    </row>
    <row r="54" spans="1:9" x14ac:dyDescent="0.25">
      <c r="A54" s="259" t="s">
        <v>1004</v>
      </c>
      <c r="B54" s="331"/>
      <c r="C54" s="324">
        <v>275739</v>
      </c>
      <c r="D54" s="331"/>
      <c r="E54" s="331" t="s">
        <v>138</v>
      </c>
      <c r="F54" s="330">
        <v>0</v>
      </c>
      <c r="G54" s="331"/>
      <c r="H54" s="322">
        <f t="shared" si="0"/>
        <v>0</v>
      </c>
      <c r="I54" s="9"/>
    </row>
    <row r="55" spans="1:9" x14ac:dyDescent="0.25">
      <c r="A55" s="259" t="s">
        <v>1071</v>
      </c>
      <c r="B55" s="331"/>
      <c r="C55" s="324">
        <v>128640.81</v>
      </c>
      <c r="D55" s="331"/>
      <c r="E55" s="331" t="s">
        <v>138</v>
      </c>
      <c r="F55" s="330">
        <v>0</v>
      </c>
      <c r="G55" s="331"/>
      <c r="H55" s="322">
        <f t="shared" si="0"/>
        <v>0</v>
      </c>
    </row>
    <row r="56" spans="1:9" x14ac:dyDescent="0.25">
      <c r="A56" s="259" t="s">
        <v>1000</v>
      </c>
      <c r="B56" s="331"/>
      <c r="C56" s="324">
        <v>19971</v>
      </c>
      <c r="D56" s="331"/>
      <c r="E56" s="331" t="s">
        <v>138</v>
      </c>
      <c r="F56" s="330">
        <v>0</v>
      </c>
      <c r="G56" s="331"/>
      <c r="H56" s="322">
        <f t="shared" si="0"/>
        <v>0</v>
      </c>
    </row>
    <row r="57" spans="1:9" x14ac:dyDescent="0.25">
      <c r="A57" s="259" t="s">
        <v>365</v>
      </c>
      <c r="B57" s="331"/>
      <c r="C57" s="324">
        <v>138209</v>
      </c>
      <c r="D57" s="331"/>
      <c r="E57" s="331" t="s">
        <v>76</v>
      </c>
      <c r="F57" s="315">
        <f>+'Allocation Factors'!$H$21</f>
        <v>3.5773423890158328E-2</v>
      </c>
      <c r="G57" s="331"/>
      <c r="H57" s="322">
        <f t="shared" si="0"/>
        <v>4944.2091424348919</v>
      </c>
    </row>
    <row r="58" spans="1:9" x14ac:dyDescent="0.25">
      <c r="A58" s="259" t="s">
        <v>366</v>
      </c>
      <c r="B58" s="331"/>
      <c r="C58" s="324">
        <v>64516</v>
      </c>
      <c r="D58" s="331"/>
      <c r="E58" s="331" t="s">
        <v>76</v>
      </c>
      <c r="F58" s="315">
        <f>+'Allocation Factors'!$H$21</f>
        <v>3.5773423890158328E-2</v>
      </c>
      <c r="G58" s="331"/>
      <c r="H58" s="322">
        <f t="shared" si="0"/>
        <v>2307.9582156974548</v>
      </c>
      <c r="I58" s="9"/>
    </row>
    <row r="59" spans="1:9" x14ac:dyDescent="0.25">
      <c r="A59" s="259" t="s">
        <v>1072</v>
      </c>
      <c r="B59" s="331"/>
      <c r="C59" s="324">
        <v>136865</v>
      </c>
      <c r="D59" s="331"/>
      <c r="E59" s="331" t="s">
        <v>76</v>
      </c>
      <c r="F59" s="315">
        <f>+'Allocation Factors'!$H$21</f>
        <v>3.5773423890158328E-2</v>
      </c>
      <c r="G59" s="331"/>
      <c r="H59" s="322">
        <f t="shared" si="0"/>
        <v>4896.1296607265194</v>
      </c>
    </row>
    <row r="60" spans="1:9" x14ac:dyDescent="0.25">
      <c r="A60" s="259" t="s">
        <v>978</v>
      </c>
      <c r="B60" s="331"/>
      <c r="C60" s="324">
        <v>99337</v>
      </c>
      <c r="D60" s="331"/>
      <c r="E60" s="331" t="s">
        <v>76</v>
      </c>
      <c r="F60" s="315">
        <f>+'Allocation Factors'!$H$21</f>
        <v>3.5773423890158328E-2</v>
      </c>
      <c r="G60" s="331"/>
      <c r="H60" s="322">
        <f t="shared" si="0"/>
        <v>3553.6246089766578</v>
      </c>
    </row>
    <row r="61" spans="1:9" x14ac:dyDescent="0.25">
      <c r="A61" s="259" t="s">
        <v>339</v>
      </c>
      <c r="B61" s="331"/>
      <c r="C61" s="324">
        <v>97838</v>
      </c>
      <c r="D61" s="331"/>
      <c r="E61" s="331" t="s">
        <v>75</v>
      </c>
      <c r="F61" s="315">
        <f>+'Allocation Factors'!$H$13</f>
        <v>0.92469611331494961</v>
      </c>
      <c r="G61" s="331"/>
      <c r="H61" s="322">
        <f t="shared" si="0"/>
        <v>90470.418334508038</v>
      </c>
      <c r="I61" s="9"/>
    </row>
    <row r="62" spans="1:9" x14ac:dyDescent="0.25">
      <c r="A62" s="312" t="s">
        <v>1263</v>
      </c>
      <c r="B62" s="331"/>
      <c r="C62" s="324">
        <v>685334.06</v>
      </c>
      <c r="D62" s="331"/>
      <c r="E62" s="331" t="s">
        <v>75</v>
      </c>
      <c r="F62" s="315">
        <f>+'Allocation Factors'!$H$13</f>
        <v>0.92469611331494961</v>
      </c>
      <c r="G62" s="331"/>
      <c r="H62" s="322">
        <f t="shared" si="0"/>
        <v>633725.74160435458</v>
      </c>
      <c r="I62" s="9"/>
    </row>
    <row r="63" spans="1:9" x14ac:dyDescent="0.25">
      <c r="A63" s="259" t="s">
        <v>1073</v>
      </c>
      <c r="B63" s="331"/>
      <c r="C63" s="324">
        <v>118735.98</v>
      </c>
      <c r="D63" s="331"/>
      <c r="E63" s="331" t="s">
        <v>75</v>
      </c>
      <c r="F63" s="315">
        <f>+'Allocation Factors'!$H$13</f>
        <v>0.92469611331494961</v>
      </c>
      <c r="G63" s="331"/>
      <c r="H63" s="322">
        <f t="shared" si="0"/>
        <v>109794.69921664159</v>
      </c>
      <c r="I63" s="9"/>
    </row>
    <row r="64" spans="1:9" x14ac:dyDescent="0.25">
      <c r="A64" s="259" t="s">
        <v>1240</v>
      </c>
      <c r="B64" s="331"/>
      <c r="C64" s="324">
        <v>224740.47</v>
      </c>
      <c r="D64" s="331"/>
      <c r="E64" s="331" t="s">
        <v>75</v>
      </c>
      <c r="F64" s="315">
        <f>+'Allocation Factors'!$H$13</f>
        <v>0.92469611331494961</v>
      </c>
      <c r="G64" s="331"/>
      <c r="H64" s="322">
        <f t="shared" si="0"/>
        <v>207816.63911357505</v>
      </c>
      <c r="I64" s="9"/>
    </row>
    <row r="65" spans="1:11" x14ac:dyDescent="0.25">
      <c r="A65" s="259" t="s">
        <v>343</v>
      </c>
      <c r="B65" s="331"/>
      <c r="C65" s="324">
        <f>139333+4369735</f>
        <v>4509068</v>
      </c>
      <c r="D65" s="331"/>
      <c r="E65" s="331" t="s">
        <v>76</v>
      </c>
      <c r="F65" s="315">
        <f>+'Allocation Factors'!$H$21</f>
        <v>3.5773423890158328E-2</v>
      </c>
      <c r="G65" s="331"/>
      <c r="H65" s="322">
        <f t="shared" si="0"/>
        <v>161304.80091354842</v>
      </c>
    </row>
    <row r="66" spans="1:11" x14ac:dyDescent="0.25">
      <c r="A66" s="259" t="s">
        <v>344</v>
      </c>
      <c r="B66" s="331"/>
      <c r="C66" s="324">
        <v>5261230</v>
      </c>
      <c r="D66" s="331"/>
      <c r="E66" s="331" t="s">
        <v>76</v>
      </c>
      <c r="F66" s="315">
        <f>+'Allocation Factors'!$H$21</f>
        <v>3.5773423890158328E-2</v>
      </c>
      <c r="G66" s="331"/>
      <c r="H66" s="322">
        <f t="shared" si="0"/>
        <v>188212.21097361771</v>
      </c>
      <c r="K66" s="196"/>
    </row>
    <row r="67" spans="1:11" x14ac:dyDescent="0.25">
      <c r="A67" s="259" t="s">
        <v>356</v>
      </c>
      <c r="B67" s="331"/>
      <c r="C67" s="324">
        <v>6456989</v>
      </c>
      <c r="D67" s="331"/>
      <c r="E67" s="331" t="s">
        <v>76</v>
      </c>
      <c r="F67" s="315">
        <f>+'Allocation Factors'!$H$21</f>
        <v>3.5773423890158328E-2</v>
      </c>
      <c r="G67" s="331"/>
      <c r="H67" s="322">
        <f t="shared" si="0"/>
        <v>230988.60455108952</v>
      </c>
      <c r="I67" s="209"/>
    </row>
    <row r="68" spans="1:11" x14ac:dyDescent="0.25">
      <c r="A68" s="259" t="s">
        <v>351</v>
      </c>
      <c r="B68" s="331"/>
      <c r="C68" s="324">
        <v>162193</v>
      </c>
      <c r="D68" s="331"/>
      <c r="E68" s="331" t="s">
        <v>76</v>
      </c>
      <c r="F68" s="315">
        <f>+'Allocation Factors'!$H$21</f>
        <v>3.5773423890158328E-2</v>
      </c>
      <c r="G68" s="331"/>
      <c r="H68" s="322">
        <f t="shared" si="0"/>
        <v>5802.1989410164497</v>
      </c>
      <c r="I68" s="201"/>
    </row>
    <row r="69" spans="1:11" x14ac:dyDescent="0.25">
      <c r="A69" s="259" t="s">
        <v>354</v>
      </c>
      <c r="B69" s="331"/>
      <c r="C69" s="324">
        <v>4808127</v>
      </c>
      <c r="D69" s="331"/>
      <c r="E69" s="331" t="s">
        <v>76</v>
      </c>
      <c r="F69" s="315">
        <f>+'Allocation Factors'!$H$21</f>
        <v>3.5773423890158328E-2</v>
      </c>
      <c r="G69" s="331"/>
      <c r="H69" s="322">
        <f t="shared" si="0"/>
        <v>172003.1652887153</v>
      </c>
      <c r="I69" s="201"/>
    </row>
    <row r="70" spans="1:11" x14ac:dyDescent="0.25">
      <c r="A70" s="259" t="s">
        <v>931</v>
      </c>
      <c r="B70" s="331"/>
      <c r="C70" s="324">
        <v>0</v>
      </c>
      <c r="D70" s="331"/>
      <c r="E70" s="331" t="s">
        <v>76</v>
      </c>
      <c r="F70" s="315">
        <f>+'Allocation Factors'!$H$21</f>
        <v>3.5773423890158328E-2</v>
      </c>
      <c r="G70" s="331"/>
      <c r="H70" s="322">
        <f t="shared" si="0"/>
        <v>0</v>
      </c>
      <c r="I70" s="201"/>
    </row>
    <row r="71" spans="1:11" x14ac:dyDescent="0.25">
      <c r="A71" s="259" t="s">
        <v>1130</v>
      </c>
      <c r="B71" s="331"/>
      <c r="C71" s="324">
        <f>106818.25+214619.44+-52.59-105.68+90.17+44.91</f>
        <v>321414.49999999994</v>
      </c>
      <c r="D71" s="331"/>
      <c r="E71" s="331" t="s">
        <v>387</v>
      </c>
      <c r="F71" s="330">
        <v>0</v>
      </c>
      <c r="G71" s="331"/>
      <c r="H71" s="322">
        <f t="shared" si="0"/>
        <v>0</v>
      </c>
      <c r="I71" s="201"/>
    </row>
    <row r="72" spans="1:11" s="266" customFormat="1" x14ac:dyDescent="0.25">
      <c r="A72" s="259" t="s">
        <v>363</v>
      </c>
      <c r="B72" s="331"/>
      <c r="C72" s="324">
        <v>24204028</v>
      </c>
      <c r="D72" s="331"/>
      <c r="E72" s="331" t="s">
        <v>76</v>
      </c>
      <c r="F72" s="315">
        <f>+'Allocation Factors'!$H$21</f>
        <v>3.5773423890158328E-2</v>
      </c>
      <c r="G72" s="331"/>
      <c r="H72" s="322">
        <f t="shared" ref="H72" si="1">C72*F72</f>
        <v>865860.95349326113</v>
      </c>
      <c r="I72" s="265"/>
    </row>
    <row r="73" spans="1:11" x14ac:dyDescent="0.25">
      <c r="A73" s="259" t="s">
        <v>364</v>
      </c>
      <c r="B73" s="331"/>
      <c r="C73" s="324">
        <v>16415836</v>
      </c>
      <c r="D73" s="331"/>
      <c r="E73" s="331" t="s">
        <v>76</v>
      </c>
      <c r="F73" s="315">
        <f>+'Allocation Factors'!$H$21</f>
        <v>3.5773423890158328E-2</v>
      </c>
      <c r="G73" s="331"/>
      <c r="H73" s="322">
        <f t="shared" si="0"/>
        <v>587250.6597393211</v>
      </c>
      <c r="I73" s="207"/>
    </row>
    <row r="74" spans="1:11" x14ac:dyDescent="0.25">
      <c r="A74" s="259" t="s">
        <v>360</v>
      </c>
      <c r="B74" s="331"/>
      <c r="C74" s="324">
        <v>19660119</v>
      </c>
      <c r="D74" s="331"/>
      <c r="E74" s="331" t="s">
        <v>76</v>
      </c>
      <c r="F74" s="315">
        <f>+'Allocation Factors'!$H$21</f>
        <v>3.5773423890158328E-2</v>
      </c>
      <c r="G74" s="331"/>
      <c r="H74" s="322">
        <f t="shared" si="0"/>
        <v>703309.77071795566</v>
      </c>
      <c r="I74" s="201"/>
    </row>
    <row r="75" spans="1:11" x14ac:dyDescent="0.25">
      <c r="A75" s="259" t="s">
        <v>340</v>
      </c>
      <c r="B75" s="331"/>
      <c r="C75" s="324">
        <v>183725.69</v>
      </c>
      <c r="D75" s="331"/>
      <c r="E75" s="331" t="s">
        <v>75</v>
      </c>
      <c r="F75" s="315">
        <f>+'Allocation Factors'!$H$13</f>
        <v>0.92469611331494961</v>
      </c>
      <c r="G75" s="331"/>
      <c r="H75" s="322">
        <f t="shared" ref="H75:H105" si="2">C75*F75</f>
        <v>169890.43145910732</v>
      </c>
      <c r="I75" s="201"/>
    </row>
    <row r="76" spans="1:11" x14ac:dyDescent="0.25">
      <c r="A76" s="259" t="s">
        <v>1197</v>
      </c>
      <c r="B76" s="331"/>
      <c r="C76" s="324">
        <v>17914</v>
      </c>
      <c r="D76" s="331"/>
      <c r="E76" s="331" t="s">
        <v>75</v>
      </c>
      <c r="F76" s="315">
        <f>+'Allocation Factors'!$H$13</f>
        <v>0.92469611331494961</v>
      </c>
      <c r="G76" s="331"/>
      <c r="H76" s="322">
        <f t="shared" si="2"/>
        <v>16565.006173924008</v>
      </c>
      <c r="I76" s="201"/>
    </row>
    <row r="77" spans="1:11" x14ac:dyDescent="0.25">
      <c r="A77" s="259" t="s">
        <v>1064</v>
      </c>
      <c r="B77" s="331"/>
      <c r="C77" s="324">
        <v>216927</v>
      </c>
      <c r="D77" s="331"/>
      <c r="E77" s="331" t="s">
        <v>138</v>
      </c>
      <c r="F77" s="330">
        <v>0</v>
      </c>
      <c r="G77" s="331"/>
      <c r="H77" s="322">
        <f t="shared" si="2"/>
        <v>0</v>
      </c>
      <c r="I77" s="201"/>
    </row>
    <row r="78" spans="1:11" x14ac:dyDescent="0.25">
      <c r="A78" s="259" t="s">
        <v>932</v>
      </c>
      <c r="B78" s="331"/>
      <c r="C78" s="324">
        <v>239366</v>
      </c>
      <c r="D78" s="331"/>
      <c r="E78" s="331" t="s">
        <v>75</v>
      </c>
      <c r="F78" s="315">
        <f>+'Allocation Factors'!$H$13</f>
        <v>0.92469611331494961</v>
      </c>
      <c r="G78" s="331"/>
      <c r="H78" s="322">
        <f t="shared" si="2"/>
        <v>221340.80985974622</v>
      </c>
      <c r="I78" s="201"/>
    </row>
    <row r="79" spans="1:11" x14ac:dyDescent="0.25">
      <c r="A79" s="259" t="s">
        <v>1001</v>
      </c>
      <c r="B79" s="331"/>
      <c r="C79" s="324">
        <v>0</v>
      </c>
      <c r="D79" s="331"/>
      <c r="E79" s="331" t="s">
        <v>138</v>
      </c>
      <c r="F79" s="330">
        <v>0</v>
      </c>
      <c r="G79" s="331"/>
      <c r="H79" s="322">
        <f t="shared" si="2"/>
        <v>0</v>
      </c>
      <c r="I79" s="201"/>
    </row>
    <row r="80" spans="1:11" x14ac:dyDescent="0.25">
      <c r="A80" s="259" t="s">
        <v>1241</v>
      </c>
      <c r="B80" s="331"/>
      <c r="C80" s="324">
        <f>611616.57+3418.74+20851.74</f>
        <v>635887.04999999993</v>
      </c>
      <c r="D80" s="331"/>
      <c r="E80" s="331" t="s">
        <v>76</v>
      </c>
      <c r="F80" s="315">
        <f>+'Allocation Factors'!$H$21</f>
        <v>3.5773423890158328E-2</v>
      </c>
      <c r="G80" s="331"/>
      <c r="H80" s="322">
        <f t="shared" si="2"/>
        <v>22747.856985912302</v>
      </c>
      <c r="I80" s="201"/>
    </row>
    <row r="81" spans="1:11" x14ac:dyDescent="0.25">
      <c r="A81" s="259" t="s">
        <v>933</v>
      </c>
      <c r="B81" s="331"/>
      <c r="C81" s="324">
        <v>0</v>
      </c>
      <c r="D81" s="331"/>
      <c r="E81" s="331" t="s">
        <v>75</v>
      </c>
      <c r="F81" s="315">
        <f>+'Allocation Factors'!$H$13</f>
        <v>0.92469611331494961</v>
      </c>
      <c r="G81" s="331"/>
      <c r="H81" s="322">
        <f t="shared" si="2"/>
        <v>0</v>
      </c>
      <c r="I81" s="201"/>
    </row>
    <row r="82" spans="1:11" x14ac:dyDescent="0.25">
      <c r="A82" s="259" t="s">
        <v>1002</v>
      </c>
      <c r="B82" s="331"/>
      <c r="C82" s="324">
        <f>20944.31+17859.37</f>
        <v>38803.68</v>
      </c>
      <c r="D82" s="318"/>
      <c r="E82" s="331" t="s">
        <v>75</v>
      </c>
      <c r="F82" s="315">
        <f>+'Allocation Factors'!$H$13</f>
        <v>0.92469611331494961</v>
      </c>
      <c r="G82" s="318"/>
      <c r="H82" s="322">
        <f t="shared" si="2"/>
        <v>35881.612078317041</v>
      </c>
      <c r="I82" s="201"/>
    </row>
    <row r="83" spans="1:11" x14ac:dyDescent="0.25">
      <c r="A83" s="259" t="s">
        <v>1002</v>
      </c>
      <c r="B83" s="331"/>
      <c r="C83" s="324">
        <f>20944.3+17859.37</f>
        <v>38803.67</v>
      </c>
      <c r="D83" s="318"/>
      <c r="E83" s="331" t="s">
        <v>75</v>
      </c>
      <c r="F83" s="315">
        <f>+'Allocation Factors'!$H$13</f>
        <v>0.92469611331494961</v>
      </c>
      <c r="G83" s="318"/>
      <c r="H83" s="322">
        <f t="shared" si="2"/>
        <v>35881.602831355907</v>
      </c>
      <c r="K83" s="196"/>
    </row>
    <row r="84" spans="1:11" x14ac:dyDescent="0.25">
      <c r="A84" s="259" t="s">
        <v>1074</v>
      </c>
      <c r="B84" s="331"/>
      <c r="C84" s="324">
        <f>305209.54+104911</f>
        <v>410120.54</v>
      </c>
      <c r="D84" s="318"/>
      <c r="E84" s="331" t="s">
        <v>75</v>
      </c>
      <c r="F84" s="315">
        <f>+'Allocation Factors'!$H$13</f>
        <v>0.92469611331494961</v>
      </c>
      <c r="G84" s="318"/>
      <c r="H84" s="322">
        <f t="shared" si="2"/>
        <v>379236.86932862829</v>
      </c>
      <c r="I84" s="209"/>
    </row>
    <row r="85" spans="1:11" x14ac:dyDescent="0.25">
      <c r="A85" s="259" t="s">
        <v>1003</v>
      </c>
      <c r="B85" s="331"/>
      <c r="C85" s="324">
        <v>96042.64</v>
      </c>
      <c r="D85" s="318"/>
      <c r="E85" s="331" t="s">
        <v>75</v>
      </c>
      <c r="F85" s="315">
        <f>+'Allocation Factors'!$H$13</f>
        <v>0.92469611331494961</v>
      </c>
      <c r="G85" s="318"/>
      <c r="H85" s="322">
        <f t="shared" si="2"/>
        <v>88810.255920506912</v>
      </c>
    </row>
    <row r="86" spans="1:11" x14ac:dyDescent="0.25">
      <c r="A86" s="259" t="s">
        <v>934</v>
      </c>
      <c r="B86" s="331"/>
      <c r="C86" s="324">
        <v>82401.759999999995</v>
      </c>
      <c r="D86" s="318"/>
      <c r="E86" s="331" t="s">
        <v>387</v>
      </c>
      <c r="F86" s="330">
        <v>0</v>
      </c>
      <c r="G86" s="318"/>
      <c r="H86" s="322">
        <f t="shared" si="2"/>
        <v>0</v>
      </c>
    </row>
    <row r="87" spans="1:11" x14ac:dyDescent="0.25">
      <c r="A87" s="259" t="s">
        <v>334</v>
      </c>
      <c r="B87" s="331"/>
      <c r="C87" s="324">
        <v>2678789</v>
      </c>
      <c r="D87" s="318"/>
      <c r="E87" s="331" t="s">
        <v>387</v>
      </c>
      <c r="F87" s="330">
        <v>0</v>
      </c>
      <c r="G87" s="318"/>
      <c r="H87" s="322">
        <f t="shared" si="2"/>
        <v>0</v>
      </c>
    </row>
    <row r="88" spans="1:11" x14ac:dyDescent="0.25">
      <c r="A88" s="259" t="s">
        <v>361</v>
      </c>
      <c r="B88" s="331"/>
      <c r="C88" s="324">
        <v>234112.3</v>
      </c>
      <c r="D88" s="318"/>
      <c r="E88" s="331" t="s">
        <v>76</v>
      </c>
      <c r="F88" s="315">
        <f>+'Allocation Factors'!$H$21</f>
        <v>3.5773423890158328E-2</v>
      </c>
      <c r="G88" s="318"/>
      <c r="H88" s="322">
        <f t="shared" si="2"/>
        <v>8374.9985457999137</v>
      </c>
    </row>
    <row r="89" spans="1:11" x14ac:dyDescent="0.25">
      <c r="A89" s="259" t="s">
        <v>1134</v>
      </c>
      <c r="B89" s="331"/>
      <c r="C89" s="324">
        <f>313563.14+1393.84</f>
        <v>314956.98000000004</v>
      </c>
      <c r="D89" s="318"/>
      <c r="E89" s="331" t="s">
        <v>387</v>
      </c>
      <c r="F89" s="330">
        <v>0</v>
      </c>
      <c r="G89" s="318"/>
      <c r="H89" s="322">
        <f t="shared" si="2"/>
        <v>0</v>
      </c>
    </row>
    <row r="90" spans="1:11" x14ac:dyDescent="0.25">
      <c r="A90" s="259" t="s">
        <v>1135</v>
      </c>
      <c r="B90" s="331"/>
      <c r="C90" s="324">
        <v>2351596.8199999998</v>
      </c>
      <c r="D90" s="318"/>
      <c r="E90" s="331" t="s">
        <v>75</v>
      </c>
      <c r="F90" s="315">
        <f>+'Allocation Factors'!$H$13</f>
        <v>0.92469611331494961</v>
      </c>
      <c r="G90" s="318"/>
      <c r="H90" s="322">
        <f t="shared" si="2"/>
        <v>2174512.4395377948</v>
      </c>
    </row>
    <row r="91" spans="1:11" x14ac:dyDescent="0.25">
      <c r="A91" s="259" t="s">
        <v>1076</v>
      </c>
      <c r="B91" s="331"/>
      <c r="C91" s="324">
        <v>1988310</v>
      </c>
      <c r="D91" s="318"/>
      <c r="E91" s="331" t="s">
        <v>138</v>
      </c>
      <c r="F91" s="330">
        <v>0</v>
      </c>
      <c r="G91" s="318"/>
      <c r="H91" s="322">
        <f t="shared" si="2"/>
        <v>0</v>
      </c>
    </row>
    <row r="92" spans="1:11" x14ac:dyDescent="0.25">
      <c r="A92" s="259" t="s">
        <v>342</v>
      </c>
      <c r="B92" s="331"/>
      <c r="C92" s="324">
        <v>4366834</v>
      </c>
      <c r="D92" s="318"/>
      <c r="E92" s="331" t="s">
        <v>75</v>
      </c>
      <c r="F92" s="315">
        <f>+'Allocation Factors'!$H$13</f>
        <v>0.92469611331494961</v>
      </c>
      <c r="G92" s="318"/>
      <c r="H92" s="322">
        <f t="shared" si="2"/>
        <v>4037994.4272915749</v>
      </c>
    </row>
    <row r="93" spans="1:11" x14ac:dyDescent="0.25">
      <c r="A93" s="259" t="s">
        <v>1070</v>
      </c>
      <c r="B93" s="331"/>
      <c r="C93" s="324">
        <v>0</v>
      </c>
      <c r="D93" s="318"/>
      <c r="E93" s="331" t="s">
        <v>75</v>
      </c>
      <c r="F93" s="315">
        <f>+'Allocation Factors'!$H$13</f>
        <v>0.92469611331494961</v>
      </c>
      <c r="G93" s="318"/>
      <c r="H93" s="322">
        <f t="shared" si="2"/>
        <v>0</v>
      </c>
    </row>
    <row r="94" spans="1:11" x14ac:dyDescent="0.25">
      <c r="A94" s="259" t="s">
        <v>1242</v>
      </c>
      <c r="B94" s="331"/>
      <c r="C94" s="324">
        <v>39466.839999999997</v>
      </c>
      <c r="D94" s="318"/>
      <c r="E94" s="331" t="s">
        <v>76</v>
      </c>
      <c r="F94" s="315">
        <f>+'Allocation Factors'!$H$21</f>
        <v>3.5773423890158328E-2</v>
      </c>
      <c r="G94" s="318"/>
      <c r="H94" s="322">
        <f t="shared" si="2"/>
        <v>1411.8639969250562</v>
      </c>
    </row>
    <row r="95" spans="1:11" x14ac:dyDescent="0.25">
      <c r="A95" s="259" t="s">
        <v>353</v>
      </c>
      <c r="B95" s="331"/>
      <c r="C95" s="324">
        <v>1485273</v>
      </c>
      <c r="D95" s="318"/>
      <c r="E95" s="331" t="s">
        <v>76</v>
      </c>
      <c r="F95" s="315">
        <f>+'Allocation Factors'!$H$21</f>
        <v>3.5773423890158328E-2</v>
      </c>
      <c r="G95" s="318"/>
      <c r="H95" s="322">
        <f t="shared" si="2"/>
        <v>53133.30062160713</v>
      </c>
    </row>
    <row r="96" spans="1:11" x14ac:dyDescent="0.25">
      <c r="A96" s="259" t="s">
        <v>935</v>
      </c>
      <c r="B96" s="331"/>
      <c r="C96" s="324">
        <v>2417513.5299999998</v>
      </c>
      <c r="D96" s="318"/>
      <c r="E96" s="331" t="s">
        <v>75</v>
      </c>
      <c r="F96" s="315">
        <f>+'Allocation Factors'!$H$13</f>
        <v>0.92469611331494961</v>
      </c>
      <c r="G96" s="318"/>
      <c r="H96" s="322">
        <f t="shared" si="2"/>
        <v>2235465.3650773037</v>
      </c>
    </row>
    <row r="97" spans="1:8" x14ac:dyDescent="0.25">
      <c r="A97" s="259" t="s">
        <v>968</v>
      </c>
      <c r="B97" s="331"/>
      <c r="C97" s="324">
        <v>275000</v>
      </c>
      <c r="D97" s="318"/>
      <c r="E97" s="331" t="s">
        <v>75</v>
      </c>
      <c r="F97" s="315">
        <f>+'Allocation Factors'!$H$13</f>
        <v>0.92469611331494961</v>
      </c>
      <c r="G97" s="318"/>
      <c r="H97" s="322">
        <f t="shared" si="2"/>
        <v>254291.43116161114</v>
      </c>
    </row>
    <row r="98" spans="1:8" x14ac:dyDescent="0.25">
      <c r="A98" s="259" t="s">
        <v>1144</v>
      </c>
      <c r="B98" s="331"/>
      <c r="C98" s="324">
        <v>258749.47</v>
      </c>
      <c r="D98" s="331"/>
      <c r="E98" s="331" t="s">
        <v>75</v>
      </c>
      <c r="F98" s="315">
        <f>+'Allocation Factors'!$H$13</f>
        <v>0.92469611331494961</v>
      </c>
      <c r="G98" s="331"/>
      <c r="H98" s="322">
        <f t="shared" si="2"/>
        <v>239264.62923130314</v>
      </c>
    </row>
    <row r="99" spans="1:8" s="228" customFormat="1" x14ac:dyDescent="0.25">
      <c r="A99" s="259" t="s">
        <v>936</v>
      </c>
      <c r="B99" s="331"/>
      <c r="C99" s="324">
        <v>499868.33</v>
      </c>
      <c r="D99" s="331"/>
      <c r="E99" s="331" t="s">
        <v>75</v>
      </c>
      <c r="F99" s="315">
        <f>+'Allocation Factors'!$H$13</f>
        <v>0.92469611331494961</v>
      </c>
      <c r="G99" s="331"/>
      <c r="H99" s="322">
        <f t="shared" si="2"/>
        <v>462226.30192023463</v>
      </c>
    </row>
    <row r="100" spans="1:8" s="274" customFormat="1" x14ac:dyDescent="0.25">
      <c r="A100" s="259" t="s">
        <v>937</v>
      </c>
      <c r="B100" s="331"/>
      <c r="C100" s="324">
        <v>266758.71000000002</v>
      </c>
      <c r="D100" s="331"/>
      <c r="E100" s="331" t="s">
        <v>75</v>
      </c>
      <c r="F100" s="315">
        <f>+'Allocation Factors'!$H$13</f>
        <v>0.92469611331494961</v>
      </c>
      <c r="G100" s="331"/>
      <c r="H100" s="322">
        <f t="shared" si="2"/>
        <v>246670.74232990979</v>
      </c>
    </row>
    <row r="101" spans="1:8" s="274" customFormat="1" x14ac:dyDescent="0.25">
      <c r="A101" s="259" t="s">
        <v>338</v>
      </c>
      <c r="B101" s="331"/>
      <c r="C101" s="324">
        <v>0</v>
      </c>
      <c r="D101" s="331"/>
      <c r="E101" s="331" t="s">
        <v>75</v>
      </c>
      <c r="F101" s="315">
        <f>+'Allocation Factors'!$H$13</f>
        <v>0.92469611331494961</v>
      </c>
      <c r="G101" s="331"/>
      <c r="H101" s="322">
        <f t="shared" si="2"/>
        <v>0</v>
      </c>
    </row>
    <row r="102" spans="1:8" s="274" customFormat="1" x14ac:dyDescent="0.25">
      <c r="A102" s="259" t="s">
        <v>358</v>
      </c>
      <c r="B102" s="331"/>
      <c r="C102" s="324">
        <v>0</v>
      </c>
      <c r="D102" s="331"/>
      <c r="E102" s="331" t="s">
        <v>76</v>
      </c>
      <c r="F102" s="315">
        <f>+'Allocation Factors'!$H$21</f>
        <v>3.5773423890158328E-2</v>
      </c>
      <c r="G102" s="331"/>
      <c r="H102" s="322">
        <f t="shared" si="2"/>
        <v>0</v>
      </c>
    </row>
    <row r="103" spans="1:8" s="316" customFormat="1" x14ac:dyDescent="0.25">
      <c r="A103" s="259" t="s">
        <v>362</v>
      </c>
      <c r="B103" s="331"/>
      <c r="C103" s="324">
        <v>602837</v>
      </c>
      <c r="D103" s="331"/>
      <c r="E103" s="331" t="s">
        <v>138</v>
      </c>
      <c r="F103" s="330">
        <v>0</v>
      </c>
      <c r="G103" s="331"/>
      <c r="H103" s="322">
        <f t="shared" si="2"/>
        <v>0</v>
      </c>
    </row>
    <row r="104" spans="1:8" s="316" customFormat="1" x14ac:dyDescent="0.25">
      <c r="A104" s="259" t="s">
        <v>348</v>
      </c>
      <c r="B104" s="331"/>
      <c r="C104" s="324">
        <v>1519375</v>
      </c>
      <c r="D104" s="331"/>
      <c r="E104" s="331" t="s">
        <v>76</v>
      </c>
      <c r="F104" s="315">
        <f>+'Allocation Factors'!$H$21</f>
        <v>3.5773423890158328E-2</v>
      </c>
      <c r="G104" s="331"/>
      <c r="H104" s="322">
        <f t="shared" si="2"/>
        <v>54353.245923109309</v>
      </c>
    </row>
    <row r="105" spans="1:8" s="316" customFormat="1" x14ac:dyDescent="0.25">
      <c r="A105" s="259" t="s">
        <v>938</v>
      </c>
      <c r="B105" s="331"/>
      <c r="C105" s="324">
        <v>5995128.7800000003</v>
      </c>
      <c r="D105" s="331"/>
      <c r="E105" s="331" t="s">
        <v>76</v>
      </c>
      <c r="F105" s="315">
        <f>+'Allocation Factors'!$H$21</f>
        <v>3.5773423890158328E-2</v>
      </c>
      <c r="G105" s="331"/>
      <c r="H105" s="322">
        <f t="shared" si="2"/>
        <v>214466.28312302777</v>
      </c>
    </row>
    <row r="106" spans="1:8" s="231" customFormat="1" x14ac:dyDescent="0.25">
      <c r="A106" s="232"/>
      <c r="C106" s="233"/>
      <c r="F106" s="319"/>
      <c r="H106" s="230"/>
    </row>
    <row r="107" spans="1:8" x14ac:dyDescent="0.25">
      <c r="A107" s="151" t="s">
        <v>913</v>
      </c>
      <c r="B107" s="153"/>
      <c r="C107" s="60">
        <f>SUM(C10:C105)</f>
        <v>550145243.00000012</v>
      </c>
      <c r="D107" s="13"/>
      <c r="E107" s="13"/>
      <c r="F107" s="318"/>
      <c r="G107" s="13"/>
      <c r="H107" s="60">
        <f>SUM(H10:H105)</f>
        <v>21543034.080245461</v>
      </c>
    </row>
  </sheetData>
  <sortState ref="A10:K81">
    <sortCondition ref="A10:A81"/>
  </sortState>
  <mergeCells count="6">
    <mergeCell ref="E8:F8"/>
    <mergeCell ref="E9:F9"/>
    <mergeCell ref="A1:G1"/>
    <mergeCell ref="A2:G2"/>
    <mergeCell ref="A4:G4"/>
    <mergeCell ref="A3:G3"/>
  </mergeCells>
  <pageMargins left="0.7" right="0.7" top="0.75" bottom="0.75" header="0.3" footer="0.3"/>
  <pageSetup scale="4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7"/>
  <sheetViews>
    <sheetView zoomScale="80" zoomScaleNormal="80" workbookViewId="0">
      <selection sqref="A1:G1"/>
    </sheetView>
  </sheetViews>
  <sheetFormatPr defaultColWidth="0.7109375" defaultRowHeight="15" x14ac:dyDescent="0.25"/>
  <cols>
    <col min="1" max="1" width="58.140625" style="6" customWidth="1"/>
    <col min="2" max="2" width="1.7109375" style="6" customWidth="1"/>
    <col min="3" max="3" width="16.42578125" style="6" bestFit="1" customWidth="1"/>
    <col min="4" max="4" width="1.7109375" style="6" customWidth="1"/>
    <col min="5" max="5" width="14" style="6" bestFit="1" customWidth="1"/>
    <col min="6" max="6" width="13.42578125" style="6" customWidth="1"/>
    <col min="7" max="7" width="1.7109375" style="6" customWidth="1"/>
    <col min="8" max="8" width="18.42578125" style="6" bestFit="1" customWidth="1"/>
    <col min="9" max="9" width="12.140625" style="201" bestFit="1" customWidth="1"/>
    <col min="10" max="10" width="14" style="201" customWidth="1"/>
    <col min="11" max="552" width="12.7109375" style="6" customWidth="1"/>
    <col min="553" max="16384" width="0.7109375" style="6"/>
  </cols>
  <sheetData>
    <row r="1" spans="1:10" x14ac:dyDescent="0.25">
      <c r="A1" s="359" t="s">
        <v>0</v>
      </c>
      <c r="B1" s="359"/>
      <c r="C1" s="359"/>
      <c r="D1" s="359"/>
      <c r="E1" s="359"/>
      <c r="F1" s="359"/>
      <c r="G1" s="359"/>
      <c r="H1" s="151" t="s">
        <v>406</v>
      </c>
    </row>
    <row r="2" spans="1:10" x14ac:dyDescent="0.25">
      <c r="A2" s="359" t="s">
        <v>116</v>
      </c>
      <c r="B2" s="359"/>
      <c r="C2" s="359"/>
      <c r="D2" s="359"/>
      <c r="E2" s="359"/>
      <c r="F2" s="359"/>
      <c r="G2" s="359"/>
      <c r="H2" s="151" t="s">
        <v>380</v>
      </c>
    </row>
    <row r="3" spans="1:10" x14ac:dyDescent="0.25">
      <c r="A3" s="359"/>
      <c r="B3" s="359"/>
      <c r="C3" s="359"/>
      <c r="D3" s="359"/>
      <c r="E3" s="359"/>
      <c r="F3" s="359"/>
      <c r="G3" s="359"/>
      <c r="H3" s="151"/>
    </row>
    <row r="4" spans="1:10" x14ac:dyDescent="0.25">
      <c r="A4" s="359" t="s">
        <v>381</v>
      </c>
      <c r="B4" s="359"/>
      <c r="C4" s="359"/>
      <c r="D4" s="359"/>
      <c r="E4" s="359"/>
      <c r="F4" s="359"/>
      <c r="G4" s="359"/>
      <c r="H4" s="26"/>
    </row>
    <row r="5" spans="1:10" x14ac:dyDescent="0.25">
      <c r="A5" s="361"/>
      <c r="B5" s="361"/>
      <c r="C5" s="361"/>
      <c r="D5" s="361"/>
      <c r="E5" s="361"/>
      <c r="F5" s="361"/>
      <c r="G5" s="361"/>
      <c r="H5" s="361"/>
    </row>
    <row r="7" spans="1:10" x14ac:dyDescent="0.25">
      <c r="C7" s="151" t="s">
        <v>130</v>
      </c>
      <c r="D7" s="15"/>
      <c r="E7" s="15"/>
      <c r="F7" s="15"/>
      <c r="G7" s="15"/>
      <c r="H7" s="15"/>
    </row>
    <row r="8" spans="1:10" x14ac:dyDescent="0.25">
      <c r="C8" s="226">
        <v>43100</v>
      </c>
      <c r="D8" s="15"/>
      <c r="E8" s="359" t="s">
        <v>128</v>
      </c>
      <c r="F8" s="359"/>
      <c r="G8" s="15"/>
      <c r="H8" s="15"/>
    </row>
    <row r="9" spans="1:10" x14ac:dyDescent="0.25">
      <c r="A9" s="22" t="s">
        <v>333</v>
      </c>
      <c r="B9" s="14"/>
      <c r="C9" s="152" t="s">
        <v>131</v>
      </c>
      <c r="D9" s="15"/>
      <c r="E9" s="360" t="s">
        <v>129</v>
      </c>
      <c r="F9" s="360"/>
      <c r="G9" s="15"/>
      <c r="H9" s="152" t="s">
        <v>127</v>
      </c>
    </row>
    <row r="10" spans="1:10" x14ac:dyDescent="0.25">
      <c r="A10" s="312" t="s">
        <v>415</v>
      </c>
      <c r="B10" s="312"/>
      <c r="C10" s="251">
        <f>52622957-SUM(C11:C115)</f>
        <v>48871237.920000002</v>
      </c>
      <c r="D10" s="331"/>
      <c r="E10" s="331" t="s">
        <v>138</v>
      </c>
      <c r="F10" s="317">
        <v>0</v>
      </c>
      <c r="H10" s="5">
        <f t="shared" ref="H10:H73" si="0">$C10*F10</f>
        <v>0</v>
      </c>
      <c r="I10" s="146"/>
      <c r="J10" s="208"/>
    </row>
    <row r="11" spans="1:10" x14ac:dyDescent="0.25">
      <c r="A11" s="259" t="s">
        <v>335</v>
      </c>
      <c r="B11" s="312"/>
      <c r="C11" s="328">
        <v>0</v>
      </c>
      <c r="D11" s="331"/>
      <c r="E11" s="331" t="s">
        <v>76</v>
      </c>
      <c r="F11" s="315">
        <f>+'Allocation Factors'!$H$21</f>
        <v>3.5773423890158328E-2</v>
      </c>
      <c r="H11" s="5">
        <f t="shared" si="0"/>
        <v>0</v>
      </c>
      <c r="I11" s="146"/>
      <c r="J11" s="208"/>
    </row>
    <row r="12" spans="1:10" x14ac:dyDescent="0.25">
      <c r="A12" s="312" t="s">
        <v>349</v>
      </c>
      <c r="B12" s="312"/>
      <c r="C12" s="328">
        <v>0</v>
      </c>
      <c r="D12" s="331"/>
      <c r="E12" s="331" t="s">
        <v>76</v>
      </c>
      <c r="F12" s="315">
        <f>+'Allocation Factors'!$H$21</f>
        <v>3.5773423890158328E-2</v>
      </c>
      <c r="H12" s="5">
        <f t="shared" si="0"/>
        <v>0</v>
      </c>
      <c r="I12" s="146"/>
      <c r="J12" s="208"/>
    </row>
    <row r="13" spans="1:10" x14ac:dyDescent="0.25">
      <c r="A13" s="312" t="s">
        <v>1054</v>
      </c>
      <c r="B13" s="312"/>
      <c r="C13" s="328">
        <v>0</v>
      </c>
      <c r="D13" s="331"/>
      <c r="E13" s="331" t="s">
        <v>75</v>
      </c>
      <c r="F13" s="315">
        <f>+'Allocation Factors'!$H$13</f>
        <v>0.92469611331494961</v>
      </c>
      <c r="H13" s="5">
        <f t="shared" si="0"/>
        <v>0</v>
      </c>
      <c r="I13" s="146"/>
      <c r="J13" s="208"/>
    </row>
    <row r="14" spans="1:10" x14ac:dyDescent="0.25">
      <c r="A14" s="312" t="s">
        <v>1010</v>
      </c>
      <c r="B14" s="312"/>
      <c r="C14" s="328">
        <v>0</v>
      </c>
      <c r="D14" s="331"/>
      <c r="E14" s="331" t="s">
        <v>75</v>
      </c>
      <c r="F14" s="315">
        <f>+'Allocation Factors'!$H$13</f>
        <v>0.92469611331494961</v>
      </c>
      <c r="H14" s="5">
        <f t="shared" si="0"/>
        <v>0</v>
      </c>
      <c r="I14" s="146"/>
      <c r="J14" s="208"/>
    </row>
    <row r="15" spans="1:10" x14ac:dyDescent="0.25">
      <c r="A15" s="312" t="s">
        <v>1055</v>
      </c>
      <c r="B15" s="312"/>
      <c r="C15" s="328">
        <v>0</v>
      </c>
      <c r="D15" s="331"/>
      <c r="E15" s="331" t="s">
        <v>138</v>
      </c>
      <c r="F15" s="317">
        <v>0</v>
      </c>
      <c r="H15" s="5">
        <f t="shared" si="0"/>
        <v>0</v>
      </c>
      <c r="J15" s="208"/>
    </row>
    <row r="16" spans="1:10" x14ac:dyDescent="0.25">
      <c r="A16" s="312" t="s">
        <v>1056</v>
      </c>
      <c r="B16" s="312"/>
      <c r="C16" s="328">
        <v>0</v>
      </c>
      <c r="D16" s="331"/>
      <c r="E16" s="331" t="s">
        <v>138</v>
      </c>
      <c r="F16" s="317">
        <v>0</v>
      </c>
      <c r="H16" s="5">
        <f t="shared" si="0"/>
        <v>0</v>
      </c>
      <c r="J16" s="208"/>
    </row>
    <row r="17" spans="1:10" x14ac:dyDescent="0.25">
      <c r="A17" s="312" t="s">
        <v>357</v>
      </c>
      <c r="B17" s="312"/>
      <c r="C17" s="328">
        <v>0</v>
      </c>
      <c r="D17" s="331"/>
      <c r="E17" s="331" t="s">
        <v>76</v>
      </c>
      <c r="F17" s="315">
        <f>+'Allocation Factors'!$H$21</f>
        <v>3.5773423890158328E-2</v>
      </c>
      <c r="H17" s="5">
        <f t="shared" si="0"/>
        <v>0</v>
      </c>
      <c r="J17" s="208"/>
    </row>
    <row r="18" spans="1:10" x14ac:dyDescent="0.25">
      <c r="A18" s="312" t="s">
        <v>1057</v>
      </c>
      <c r="B18" s="312"/>
      <c r="C18" s="328">
        <f>138244.42-636.63-289.8</f>
        <v>137317.99000000002</v>
      </c>
      <c r="D18" s="331"/>
      <c r="E18" s="331" t="s">
        <v>138</v>
      </c>
      <c r="F18" s="317">
        <v>0</v>
      </c>
      <c r="H18" s="5">
        <f t="shared" si="0"/>
        <v>0</v>
      </c>
      <c r="J18" s="208"/>
    </row>
    <row r="19" spans="1:10" x14ac:dyDescent="0.25">
      <c r="A19" s="312" t="s">
        <v>1058</v>
      </c>
      <c r="B19" s="312"/>
      <c r="C19" s="328">
        <v>0</v>
      </c>
      <c r="D19" s="331"/>
      <c r="E19" s="331" t="s">
        <v>138</v>
      </c>
      <c r="F19" s="317">
        <v>0</v>
      </c>
      <c r="H19" s="5">
        <f t="shared" si="0"/>
        <v>0</v>
      </c>
      <c r="J19" s="208"/>
    </row>
    <row r="20" spans="1:10" x14ac:dyDescent="0.25">
      <c r="A20" s="312" t="s">
        <v>341</v>
      </c>
      <c r="B20" s="312"/>
      <c r="C20" s="328">
        <v>0</v>
      </c>
      <c r="D20" s="331"/>
      <c r="E20" s="331" t="s">
        <v>75</v>
      </c>
      <c r="F20" s="315">
        <f>+'Allocation Factors'!$H$13</f>
        <v>0.92469611331494961</v>
      </c>
      <c r="H20" s="5">
        <f t="shared" si="0"/>
        <v>0</v>
      </c>
      <c r="J20" s="208"/>
    </row>
    <row r="21" spans="1:10" x14ac:dyDescent="0.25">
      <c r="A21" s="312" t="s">
        <v>350</v>
      </c>
      <c r="B21" s="312"/>
      <c r="C21" s="328">
        <v>0</v>
      </c>
      <c r="D21" s="331"/>
      <c r="E21" s="331" t="s">
        <v>76</v>
      </c>
      <c r="F21" s="315">
        <f>+'Allocation Factors'!$H$21</f>
        <v>3.5773423890158328E-2</v>
      </c>
      <c r="H21" s="5">
        <f t="shared" si="0"/>
        <v>0</v>
      </c>
      <c r="J21" s="208"/>
    </row>
    <row r="22" spans="1:10" x14ac:dyDescent="0.25">
      <c r="A22" s="312" t="s">
        <v>337</v>
      </c>
      <c r="B22" s="312"/>
      <c r="C22" s="328">
        <v>0</v>
      </c>
      <c r="D22" s="331"/>
      <c r="E22" s="331" t="s">
        <v>76</v>
      </c>
      <c r="F22" s="315">
        <f>+'Allocation Factors'!$H$21</f>
        <v>3.5773423890158328E-2</v>
      </c>
      <c r="H22" s="5">
        <f t="shared" si="0"/>
        <v>0</v>
      </c>
      <c r="J22" s="208"/>
    </row>
    <row r="23" spans="1:10" x14ac:dyDescent="0.25">
      <c r="A23" s="312" t="s">
        <v>987</v>
      </c>
      <c r="B23" s="312"/>
      <c r="C23" s="328">
        <v>0</v>
      </c>
      <c r="D23" s="331"/>
      <c r="E23" s="331" t="s">
        <v>76</v>
      </c>
      <c r="F23" s="315">
        <f>+'Allocation Factors'!$H$21</f>
        <v>3.5773423890158328E-2</v>
      </c>
      <c r="H23" s="5">
        <f t="shared" si="0"/>
        <v>0</v>
      </c>
      <c r="J23" s="208"/>
    </row>
    <row r="24" spans="1:10" x14ac:dyDescent="0.25">
      <c r="A24" s="312" t="s">
        <v>1009</v>
      </c>
      <c r="B24" s="312"/>
      <c r="C24" s="328">
        <v>0</v>
      </c>
      <c r="D24" s="331"/>
      <c r="E24" s="331" t="s">
        <v>76</v>
      </c>
      <c r="F24" s="315">
        <f>+'Allocation Factors'!$H$21</f>
        <v>3.5773423890158328E-2</v>
      </c>
      <c r="H24" s="5">
        <f t="shared" si="0"/>
        <v>0</v>
      </c>
      <c r="J24" s="208"/>
    </row>
    <row r="25" spans="1:10" x14ac:dyDescent="0.25">
      <c r="A25" s="312" t="s">
        <v>359</v>
      </c>
      <c r="B25" s="312"/>
      <c r="C25" s="328">
        <v>0</v>
      </c>
      <c r="D25" s="331"/>
      <c r="E25" s="331" t="s">
        <v>76</v>
      </c>
      <c r="F25" s="315">
        <f>+'Allocation Factors'!$H$21</f>
        <v>3.5773423890158328E-2</v>
      </c>
      <c r="H25" s="5">
        <f t="shared" si="0"/>
        <v>0</v>
      </c>
      <c r="J25" s="208"/>
    </row>
    <row r="26" spans="1:10" x14ac:dyDescent="0.25">
      <c r="A26" s="312" t="s">
        <v>1059</v>
      </c>
      <c r="B26" s="312"/>
      <c r="C26" s="328">
        <v>120679.24</v>
      </c>
      <c r="D26" s="331"/>
      <c r="E26" s="331" t="s">
        <v>76</v>
      </c>
      <c r="F26" s="315">
        <f>+'Allocation Factors'!$H$21</f>
        <v>3.5773423890158328E-2</v>
      </c>
      <c r="H26" s="5">
        <f t="shared" si="0"/>
        <v>4317.1096072621503</v>
      </c>
      <c r="J26" s="208"/>
    </row>
    <row r="27" spans="1:10" x14ac:dyDescent="0.25">
      <c r="A27" s="312" t="s">
        <v>1060</v>
      </c>
      <c r="B27" s="312"/>
      <c r="C27" s="328">
        <v>34208</v>
      </c>
      <c r="D27" s="331"/>
      <c r="E27" s="331" t="s">
        <v>138</v>
      </c>
      <c r="F27" s="317">
        <v>0</v>
      </c>
      <c r="H27" s="5">
        <f t="shared" si="0"/>
        <v>0</v>
      </c>
      <c r="J27" s="208"/>
    </row>
    <row r="28" spans="1:10" x14ac:dyDescent="0.25">
      <c r="A28" s="312" t="s">
        <v>1145</v>
      </c>
      <c r="B28" s="312"/>
      <c r="C28" s="328">
        <v>432009</v>
      </c>
      <c r="D28" s="331"/>
      <c r="E28" s="331" t="s">
        <v>76</v>
      </c>
      <c r="F28" s="315">
        <f>+'Allocation Factors'!$H$21</f>
        <v>3.5773423890158328E-2</v>
      </c>
      <c r="H28" s="5">
        <f t="shared" si="0"/>
        <v>15454.441081363409</v>
      </c>
      <c r="J28" s="208"/>
    </row>
    <row r="29" spans="1:10" x14ac:dyDescent="0.25">
      <c r="A29" s="312" t="s">
        <v>929</v>
      </c>
      <c r="B29" s="312"/>
      <c r="C29" s="328">
        <v>0</v>
      </c>
      <c r="D29" s="331"/>
      <c r="E29" s="331" t="s">
        <v>75</v>
      </c>
      <c r="F29" s="315">
        <f>+'Allocation Factors'!$H$13</f>
        <v>0.92469611331494961</v>
      </c>
      <c r="G29" s="7"/>
      <c r="H29" s="5">
        <f t="shared" si="0"/>
        <v>0</v>
      </c>
      <c r="J29" s="208"/>
    </row>
    <row r="30" spans="1:10" x14ac:dyDescent="0.25">
      <c r="A30" s="312" t="s">
        <v>929</v>
      </c>
      <c r="B30" s="312"/>
      <c r="C30" s="328">
        <v>0</v>
      </c>
      <c r="D30" s="331"/>
      <c r="E30" s="331" t="s">
        <v>75</v>
      </c>
      <c r="F30" s="315">
        <f>+'Allocation Factors'!$H$13</f>
        <v>0.92469611331494961</v>
      </c>
      <c r="H30" s="5">
        <f t="shared" si="0"/>
        <v>0</v>
      </c>
      <c r="J30" s="208"/>
    </row>
    <row r="31" spans="1:10" x14ac:dyDescent="0.25">
      <c r="A31" s="312" t="s">
        <v>1261</v>
      </c>
      <c r="B31" s="312"/>
      <c r="C31" s="328">
        <v>1044369</v>
      </c>
      <c r="D31" s="331"/>
      <c r="E31" s="331" t="s">
        <v>76</v>
      </c>
      <c r="F31" s="315">
        <f>+'Allocation Factors'!$H$21</f>
        <v>3.5773423890158328E-2</v>
      </c>
      <c r="H31" s="5">
        <f t="shared" si="0"/>
        <v>37360.654934740764</v>
      </c>
      <c r="J31" s="208"/>
    </row>
    <row r="32" spans="1:10" x14ac:dyDescent="0.25">
      <c r="A32" s="312" t="s">
        <v>1092</v>
      </c>
      <c r="B32" s="312"/>
      <c r="C32" s="328">
        <v>115544</v>
      </c>
      <c r="D32" s="331"/>
      <c r="E32" s="331" t="s">
        <v>75</v>
      </c>
      <c r="F32" s="315">
        <f>+'Allocation Factors'!$H$13</f>
        <v>0.92469611331494961</v>
      </c>
      <c r="H32" s="5">
        <f t="shared" si="0"/>
        <v>106843.08771686254</v>
      </c>
      <c r="J32" s="208"/>
    </row>
    <row r="33" spans="1:10" x14ac:dyDescent="0.25">
      <c r="A33" s="312" t="s">
        <v>1128</v>
      </c>
      <c r="B33" s="312"/>
      <c r="C33" s="328">
        <v>0</v>
      </c>
      <c r="D33" s="331"/>
      <c r="E33" s="331" t="s">
        <v>76</v>
      </c>
      <c r="F33" s="315">
        <f>+'Allocation Factors'!$H$21</f>
        <v>3.5773423890158328E-2</v>
      </c>
      <c r="H33" s="5">
        <f t="shared" si="0"/>
        <v>0</v>
      </c>
      <c r="J33" s="208"/>
    </row>
    <row r="34" spans="1:10" x14ac:dyDescent="0.25">
      <c r="A34" s="312" t="s">
        <v>1061</v>
      </c>
      <c r="B34" s="312"/>
      <c r="C34" s="328">
        <v>0</v>
      </c>
      <c r="D34" s="331"/>
      <c r="E34" s="331" t="s">
        <v>76</v>
      </c>
      <c r="F34" s="315">
        <f>+'Allocation Factors'!$H$21</f>
        <v>3.5773423890158328E-2</v>
      </c>
      <c r="H34" s="5">
        <f t="shared" si="0"/>
        <v>0</v>
      </c>
      <c r="J34" s="208"/>
    </row>
    <row r="35" spans="1:10" x14ac:dyDescent="0.25">
      <c r="A35" s="312" t="s">
        <v>979</v>
      </c>
      <c r="B35" s="312"/>
      <c r="C35" s="328">
        <v>0</v>
      </c>
      <c r="D35" s="331"/>
      <c r="E35" s="331" t="s">
        <v>138</v>
      </c>
      <c r="F35" s="317">
        <v>0</v>
      </c>
      <c r="H35" s="5">
        <f t="shared" si="0"/>
        <v>0</v>
      </c>
      <c r="J35" s="208"/>
    </row>
    <row r="36" spans="1:10" x14ac:dyDescent="0.25">
      <c r="A36" s="312" t="s">
        <v>1244</v>
      </c>
      <c r="B36" s="312"/>
      <c r="C36" s="328">
        <v>0</v>
      </c>
      <c r="D36" s="331"/>
      <c r="E36" s="331" t="s">
        <v>138</v>
      </c>
      <c r="F36" s="317">
        <v>0</v>
      </c>
      <c r="H36" s="5">
        <f t="shared" si="0"/>
        <v>0</v>
      </c>
      <c r="J36" s="208"/>
    </row>
    <row r="37" spans="1:10" x14ac:dyDescent="0.25">
      <c r="A37" s="312" t="s">
        <v>979</v>
      </c>
      <c r="B37" s="312"/>
      <c r="C37" s="328">
        <v>0</v>
      </c>
      <c r="D37" s="331"/>
      <c r="E37" s="331" t="s">
        <v>138</v>
      </c>
      <c r="F37" s="317">
        <v>0</v>
      </c>
      <c r="H37" s="5">
        <f t="shared" si="0"/>
        <v>0</v>
      </c>
      <c r="J37" s="208"/>
    </row>
    <row r="38" spans="1:10" x14ac:dyDescent="0.25">
      <c r="A38" s="312" t="s">
        <v>979</v>
      </c>
      <c r="B38" s="312"/>
      <c r="C38" s="328">
        <v>0</v>
      </c>
      <c r="D38" s="331"/>
      <c r="E38" s="331" t="s">
        <v>138</v>
      </c>
      <c r="F38" s="317">
        <v>0</v>
      </c>
      <c r="H38" s="5">
        <f t="shared" si="0"/>
        <v>0</v>
      </c>
      <c r="J38" s="208"/>
    </row>
    <row r="39" spans="1:10" x14ac:dyDescent="0.25">
      <c r="A39" s="312" t="s">
        <v>979</v>
      </c>
      <c r="B39" s="312"/>
      <c r="C39" s="328">
        <v>0</v>
      </c>
      <c r="D39" s="331"/>
      <c r="E39" s="331" t="s">
        <v>138</v>
      </c>
      <c r="F39" s="317">
        <v>0</v>
      </c>
      <c r="H39" s="5">
        <f t="shared" si="0"/>
        <v>0</v>
      </c>
      <c r="J39" s="208"/>
    </row>
    <row r="40" spans="1:10" x14ac:dyDescent="0.25">
      <c r="A40" s="312" t="s">
        <v>980</v>
      </c>
      <c r="B40" s="312"/>
      <c r="C40" s="328">
        <v>0</v>
      </c>
      <c r="D40" s="331"/>
      <c r="E40" s="331" t="s">
        <v>138</v>
      </c>
      <c r="F40" s="317">
        <v>0</v>
      </c>
      <c r="H40" s="5">
        <f t="shared" si="0"/>
        <v>0</v>
      </c>
      <c r="J40" s="208"/>
    </row>
    <row r="41" spans="1:10" x14ac:dyDescent="0.25">
      <c r="A41" s="312" t="s">
        <v>980</v>
      </c>
      <c r="B41" s="312"/>
      <c r="C41" s="328">
        <v>0</v>
      </c>
      <c r="D41" s="331"/>
      <c r="E41" s="331" t="s">
        <v>138</v>
      </c>
      <c r="F41" s="317">
        <v>0</v>
      </c>
      <c r="H41" s="5">
        <f t="shared" si="0"/>
        <v>0</v>
      </c>
      <c r="J41" s="208"/>
    </row>
    <row r="42" spans="1:10" x14ac:dyDescent="0.25">
      <c r="A42" s="312" t="s">
        <v>980</v>
      </c>
      <c r="B42" s="312"/>
      <c r="C42" s="328">
        <v>0</v>
      </c>
      <c r="D42" s="331"/>
      <c r="E42" s="331" t="s">
        <v>138</v>
      </c>
      <c r="F42" s="317">
        <v>0</v>
      </c>
      <c r="H42" s="5">
        <f t="shared" si="0"/>
        <v>0</v>
      </c>
      <c r="J42" s="208"/>
    </row>
    <row r="43" spans="1:10" x14ac:dyDescent="0.25">
      <c r="A43" s="312" t="s">
        <v>981</v>
      </c>
      <c r="B43" s="312"/>
      <c r="C43" s="328">
        <v>52683</v>
      </c>
      <c r="D43" s="331"/>
      <c r="E43" s="331" t="s">
        <v>138</v>
      </c>
      <c r="F43" s="317">
        <v>0</v>
      </c>
      <c r="H43" s="5">
        <f t="shared" si="0"/>
        <v>0</v>
      </c>
      <c r="J43" s="208"/>
    </row>
    <row r="44" spans="1:10" x14ac:dyDescent="0.25">
      <c r="A44" s="312" t="s">
        <v>982</v>
      </c>
      <c r="B44" s="312"/>
      <c r="C44" s="328">
        <v>0</v>
      </c>
      <c r="D44" s="331"/>
      <c r="E44" s="331" t="s">
        <v>138</v>
      </c>
      <c r="F44" s="317">
        <v>0</v>
      </c>
      <c r="H44" s="5">
        <f t="shared" si="0"/>
        <v>0</v>
      </c>
      <c r="J44" s="208"/>
    </row>
    <row r="45" spans="1:10" x14ac:dyDescent="0.25">
      <c r="A45" s="312" t="s">
        <v>982</v>
      </c>
      <c r="B45" s="312"/>
      <c r="C45" s="328">
        <v>0</v>
      </c>
      <c r="D45" s="331"/>
      <c r="E45" s="331" t="s">
        <v>138</v>
      </c>
      <c r="F45" s="317">
        <v>0</v>
      </c>
      <c r="H45" s="5">
        <f t="shared" si="0"/>
        <v>0</v>
      </c>
      <c r="J45" s="208"/>
    </row>
    <row r="46" spans="1:10" x14ac:dyDescent="0.25">
      <c r="A46" s="312" t="s">
        <v>982</v>
      </c>
      <c r="B46" s="312"/>
      <c r="C46" s="328">
        <v>0</v>
      </c>
      <c r="D46" s="331"/>
      <c r="E46" s="331" t="s">
        <v>138</v>
      </c>
      <c r="F46" s="317">
        <v>0</v>
      </c>
      <c r="H46" s="5">
        <f t="shared" si="0"/>
        <v>0</v>
      </c>
      <c r="J46" s="208"/>
    </row>
    <row r="47" spans="1:10" x14ac:dyDescent="0.25">
      <c r="A47" s="312" t="s">
        <v>982</v>
      </c>
      <c r="B47" s="312"/>
      <c r="C47" s="328">
        <v>0</v>
      </c>
      <c r="D47" s="331"/>
      <c r="E47" s="331" t="s">
        <v>138</v>
      </c>
      <c r="F47" s="317">
        <v>0</v>
      </c>
      <c r="H47" s="5">
        <f t="shared" si="0"/>
        <v>0</v>
      </c>
      <c r="J47" s="208"/>
    </row>
    <row r="48" spans="1:10" x14ac:dyDescent="0.25">
      <c r="A48" s="312" t="s">
        <v>346</v>
      </c>
      <c r="B48" s="312"/>
      <c r="C48" s="328">
        <v>0</v>
      </c>
      <c r="D48" s="331"/>
      <c r="E48" s="331" t="s">
        <v>76</v>
      </c>
      <c r="F48" s="315">
        <f>+'Allocation Factors'!$H$21</f>
        <v>3.5773423890158328E-2</v>
      </c>
      <c r="H48" s="5">
        <f t="shared" si="0"/>
        <v>0</v>
      </c>
      <c r="J48" s="208"/>
    </row>
    <row r="49" spans="1:10" x14ac:dyDescent="0.25">
      <c r="A49" s="312" t="s">
        <v>336</v>
      </c>
      <c r="B49" s="312"/>
      <c r="C49" s="328">
        <v>0</v>
      </c>
      <c r="D49" s="331"/>
      <c r="E49" s="331" t="s">
        <v>76</v>
      </c>
      <c r="F49" s="315">
        <f>+'Allocation Factors'!$H$21</f>
        <v>3.5773423890158328E-2</v>
      </c>
      <c r="H49" s="5">
        <f t="shared" si="0"/>
        <v>0</v>
      </c>
      <c r="J49" s="208"/>
    </row>
    <row r="50" spans="1:10" x14ac:dyDescent="0.25">
      <c r="A50" s="312" t="s">
        <v>352</v>
      </c>
      <c r="B50" s="312"/>
      <c r="C50" s="328">
        <v>0</v>
      </c>
      <c r="D50" s="331"/>
      <c r="E50" s="331" t="s">
        <v>76</v>
      </c>
      <c r="F50" s="315">
        <f>+'Allocation Factors'!$H$21</f>
        <v>3.5773423890158328E-2</v>
      </c>
      <c r="H50" s="5">
        <f t="shared" si="0"/>
        <v>0</v>
      </c>
      <c r="J50" s="208"/>
    </row>
    <row r="51" spans="1:10" x14ac:dyDescent="0.25">
      <c r="A51" s="312" t="s">
        <v>347</v>
      </c>
      <c r="B51" s="312"/>
      <c r="C51" s="328">
        <v>0</v>
      </c>
      <c r="D51" s="331"/>
      <c r="E51" s="331" t="s">
        <v>76</v>
      </c>
      <c r="F51" s="315">
        <f>+'Allocation Factors'!$H$21</f>
        <v>3.5773423890158328E-2</v>
      </c>
      <c r="H51" s="5">
        <f t="shared" si="0"/>
        <v>0</v>
      </c>
      <c r="J51" s="208"/>
    </row>
    <row r="52" spans="1:10" x14ac:dyDescent="0.25">
      <c r="A52" s="312" t="s">
        <v>345</v>
      </c>
      <c r="B52" s="312"/>
      <c r="C52" s="328">
        <v>0</v>
      </c>
      <c r="D52" s="331"/>
      <c r="E52" s="331" t="s">
        <v>76</v>
      </c>
      <c r="F52" s="315">
        <f>+'Allocation Factors'!$H$21</f>
        <v>3.5773423890158328E-2</v>
      </c>
      <c r="H52" s="5">
        <f t="shared" si="0"/>
        <v>0</v>
      </c>
      <c r="J52" s="208"/>
    </row>
    <row r="53" spans="1:10" x14ac:dyDescent="0.25">
      <c r="A53" s="312" t="s">
        <v>355</v>
      </c>
      <c r="B53" s="312"/>
      <c r="C53" s="328">
        <v>0</v>
      </c>
      <c r="D53" s="331"/>
      <c r="E53" s="331" t="s">
        <v>76</v>
      </c>
      <c r="F53" s="315">
        <f>+'Allocation Factors'!$H$21</f>
        <v>3.5773423890158328E-2</v>
      </c>
      <c r="H53" s="5">
        <f t="shared" si="0"/>
        <v>0</v>
      </c>
      <c r="J53" s="208"/>
    </row>
    <row r="54" spans="1:10" x14ac:dyDescent="0.25">
      <c r="A54" s="312" t="s">
        <v>930</v>
      </c>
      <c r="B54" s="312"/>
      <c r="C54" s="328">
        <v>0</v>
      </c>
      <c r="D54" s="331"/>
      <c r="E54" s="331" t="s">
        <v>75</v>
      </c>
      <c r="F54" s="315">
        <f>+'Allocation Factors'!$H$13</f>
        <v>0.92469611331494961</v>
      </c>
      <c r="H54" s="5">
        <f t="shared" si="0"/>
        <v>0</v>
      </c>
      <c r="J54" s="208"/>
    </row>
    <row r="55" spans="1:10" x14ac:dyDescent="0.25">
      <c r="A55" s="312" t="s">
        <v>1069</v>
      </c>
      <c r="B55" s="312"/>
      <c r="C55" s="328">
        <v>0</v>
      </c>
      <c r="D55" s="331"/>
      <c r="E55" s="331" t="s">
        <v>75</v>
      </c>
      <c r="F55" s="315">
        <f>+'Allocation Factors'!$H$13</f>
        <v>0.92469611331494961</v>
      </c>
      <c r="H55" s="5">
        <f t="shared" si="0"/>
        <v>0</v>
      </c>
      <c r="J55" s="208"/>
    </row>
    <row r="56" spans="1:10" x14ac:dyDescent="0.25">
      <c r="A56" s="312" t="s">
        <v>1262</v>
      </c>
      <c r="B56" s="312"/>
      <c r="C56" s="328">
        <v>21741</v>
      </c>
      <c r="D56" s="331"/>
      <c r="E56" s="331" t="s">
        <v>75</v>
      </c>
      <c r="F56" s="315">
        <f>+'Allocation Factors'!$H$13</f>
        <v>0.92469611331494961</v>
      </c>
      <c r="H56" s="5">
        <f t="shared" si="0"/>
        <v>20103.818199580321</v>
      </c>
      <c r="J56" s="208"/>
    </row>
    <row r="57" spans="1:10" x14ac:dyDescent="0.25">
      <c r="A57" s="312" t="s">
        <v>367</v>
      </c>
      <c r="B57" s="312"/>
      <c r="C57" s="328">
        <v>60.12</v>
      </c>
      <c r="D57" s="331"/>
      <c r="E57" s="331" t="s">
        <v>76</v>
      </c>
      <c r="F57" s="315">
        <f>+'Allocation Factors'!$H$21</f>
        <v>3.5773423890158328E-2</v>
      </c>
      <c r="H57" s="5">
        <f t="shared" si="0"/>
        <v>2.1506982442763185</v>
      </c>
      <c r="J57" s="208"/>
    </row>
    <row r="58" spans="1:10" x14ac:dyDescent="0.25">
      <c r="A58" s="312" t="s">
        <v>1004</v>
      </c>
      <c r="B58" s="312"/>
      <c r="C58" s="328">
        <v>0</v>
      </c>
      <c r="D58" s="331"/>
      <c r="E58" s="331" t="s">
        <v>138</v>
      </c>
      <c r="F58" s="317">
        <v>0</v>
      </c>
      <c r="H58" s="5">
        <f t="shared" si="0"/>
        <v>0</v>
      </c>
      <c r="J58" s="208"/>
    </row>
    <row r="59" spans="1:10" x14ac:dyDescent="0.25">
      <c r="A59" s="312" t="s">
        <v>1000</v>
      </c>
      <c r="B59" s="312"/>
      <c r="C59" s="328">
        <v>0</v>
      </c>
      <c r="D59" s="331"/>
      <c r="E59" s="331" t="s">
        <v>138</v>
      </c>
      <c r="F59" s="317">
        <v>0</v>
      </c>
      <c r="H59" s="5">
        <f t="shared" si="0"/>
        <v>0</v>
      </c>
      <c r="J59" s="208"/>
    </row>
    <row r="60" spans="1:10" x14ac:dyDescent="0.25">
      <c r="A60" s="312" t="s">
        <v>1005</v>
      </c>
      <c r="B60" s="312"/>
      <c r="C60" s="328">
        <v>0</v>
      </c>
      <c r="D60" s="331"/>
      <c r="E60" s="331" t="s">
        <v>75</v>
      </c>
      <c r="F60" s="315">
        <f>+'Allocation Factors'!$H$13</f>
        <v>0.92469611331494961</v>
      </c>
      <c r="H60" s="5">
        <f t="shared" si="0"/>
        <v>0</v>
      </c>
      <c r="J60" s="208"/>
    </row>
    <row r="61" spans="1:10" x14ac:dyDescent="0.25">
      <c r="A61" s="312" t="s">
        <v>1006</v>
      </c>
      <c r="B61" s="312"/>
      <c r="C61" s="328">
        <v>0</v>
      </c>
      <c r="D61" s="331"/>
      <c r="E61" s="331" t="s">
        <v>75</v>
      </c>
      <c r="F61" s="315">
        <f>+'Allocation Factors'!$H$13</f>
        <v>0.92469611331494961</v>
      </c>
      <c r="H61" s="5">
        <f t="shared" si="0"/>
        <v>0</v>
      </c>
      <c r="J61" s="208"/>
    </row>
    <row r="62" spans="1:10" x14ac:dyDescent="0.25">
      <c r="A62" s="312" t="s">
        <v>365</v>
      </c>
      <c r="B62" s="312"/>
      <c r="C62" s="328">
        <v>0</v>
      </c>
      <c r="D62" s="331"/>
      <c r="E62" s="331" t="s">
        <v>76</v>
      </c>
      <c r="F62" s="315">
        <f>+'Allocation Factors'!$H$21</f>
        <v>3.5773423890158328E-2</v>
      </c>
      <c r="H62" s="5">
        <f t="shared" si="0"/>
        <v>0</v>
      </c>
      <c r="J62" s="208"/>
    </row>
    <row r="63" spans="1:10" x14ac:dyDescent="0.25">
      <c r="A63" s="312" t="s">
        <v>366</v>
      </c>
      <c r="B63" s="312"/>
      <c r="C63" s="328">
        <v>0</v>
      </c>
      <c r="D63" s="331"/>
      <c r="E63" s="331" t="s">
        <v>76</v>
      </c>
      <c r="F63" s="315">
        <f>+'Allocation Factors'!$H$21</f>
        <v>3.5773423890158328E-2</v>
      </c>
      <c r="H63" s="5">
        <f t="shared" si="0"/>
        <v>0</v>
      </c>
      <c r="J63" s="208"/>
    </row>
    <row r="64" spans="1:10" x14ac:dyDescent="0.25">
      <c r="A64" s="312" t="s">
        <v>1072</v>
      </c>
      <c r="B64" s="312"/>
      <c r="C64" s="328">
        <v>0</v>
      </c>
      <c r="D64" s="331"/>
      <c r="E64" s="331" t="s">
        <v>76</v>
      </c>
      <c r="F64" s="315">
        <f>+'Allocation Factors'!$H$21</f>
        <v>3.5773423890158328E-2</v>
      </c>
      <c r="H64" s="5">
        <f t="shared" si="0"/>
        <v>0</v>
      </c>
      <c r="J64" s="208"/>
    </row>
    <row r="65" spans="1:21" x14ac:dyDescent="0.25">
      <c r="A65" s="312" t="s">
        <v>978</v>
      </c>
      <c r="B65" s="312"/>
      <c r="C65" s="328">
        <v>0</v>
      </c>
      <c r="D65" s="331"/>
      <c r="E65" s="331" t="s">
        <v>76</v>
      </c>
      <c r="F65" s="315">
        <f>+'Allocation Factors'!$H$21</f>
        <v>3.5773423890158328E-2</v>
      </c>
      <c r="H65" s="5">
        <f t="shared" si="0"/>
        <v>0</v>
      </c>
      <c r="J65" s="208"/>
    </row>
    <row r="66" spans="1:21" x14ac:dyDescent="0.25">
      <c r="A66" s="312" t="s">
        <v>339</v>
      </c>
      <c r="B66" s="312"/>
      <c r="C66" s="328">
        <v>0</v>
      </c>
      <c r="D66" s="331"/>
      <c r="E66" s="331" t="s">
        <v>75</v>
      </c>
      <c r="F66" s="315">
        <f>+'Allocation Factors'!$H$13</f>
        <v>0.92469611331494961</v>
      </c>
      <c r="H66" s="5">
        <f t="shared" si="0"/>
        <v>0</v>
      </c>
      <c r="J66" s="208"/>
    </row>
    <row r="67" spans="1:21" x14ac:dyDescent="0.25">
      <c r="A67" s="312" t="s">
        <v>1263</v>
      </c>
      <c r="B67" s="312"/>
      <c r="C67" s="328">
        <v>685334</v>
      </c>
      <c r="D67" s="331"/>
      <c r="E67" s="331" t="s">
        <v>75</v>
      </c>
      <c r="F67" s="315">
        <f>+'Allocation Factors'!$H$13</f>
        <v>0.92469611331494961</v>
      </c>
      <c r="H67" s="5">
        <f t="shared" si="0"/>
        <v>633725.68612258765</v>
      </c>
      <c r="J67" s="208"/>
    </row>
    <row r="68" spans="1:21" x14ac:dyDescent="0.25">
      <c r="A68" s="259" t="s">
        <v>1062</v>
      </c>
      <c r="B68" s="312"/>
      <c r="C68" s="328">
        <v>11874</v>
      </c>
      <c r="D68" s="331"/>
      <c r="E68" s="331" t="s">
        <v>75</v>
      </c>
      <c r="F68" s="315">
        <f>+'Allocation Factors'!$H$13</f>
        <v>0.92469611331494961</v>
      </c>
      <c r="H68" s="5">
        <f t="shared" si="0"/>
        <v>10979.841649501712</v>
      </c>
      <c r="J68" s="208"/>
    </row>
    <row r="69" spans="1:21" x14ac:dyDescent="0.25">
      <c r="A69" s="312" t="s">
        <v>1240</v>
      </c>
      <c r="B69" s="312"/>
      <c r="C69" s="328">
        <v>84277.68</v>
      </c>
      <c r="D69" s="331"/>
      <c r="E69" s="331" t="s">
        <v>75</v>
      </c>
      <c r="F69" s="315">
        <f>+'Allocation Factors'!$H$13</f>
        <v>0.92469611331494961</v>
      </c>
      <c r="H69" s="5">
        <f t="shared" si="0"/>
        <v>77931.243135201061</v>
      </c>
      <c r="J69" s="208"/>
    </row>
    <row r="70" spans="1:21" x14ac:dyDescent="0.25">
      <c r="A70" s="312" t="s">
        <v>1063</v>
      </c>
      <c r="B70" s="312"/>
      <c r="C70" s="328">
        <v>0</v>
      </c>
      <c r="D70" s="331"/>
      <c r="E70" s="331" t="s">
        <v>75</v>
      </c>
      <c r="F70" s="315">
        <f>+'Allocation Factors'!$H$13</f>
        <v>0.92469611331494961</v>
      </c>
      <c r="H70" s="5">
        <f t="shared" si="0"/>
        <v>0</v>
      </c>
      <c r="J70" s="208"/>
    </row>
    <row r="71" spans="1:21" x14ac:dyDescent="0.25">
      <c r="A71" s="312" t="s">
        <v>343</v>
      </c>
      <c r="B71" s="312"/>
      <c r="C71" s="328">
        <v>0</v>
      </c>
      <c r="D71" s="331"/>
      <c r="E71" s="331" t="s">
        <v>76</v>
      </c>
      <c r="F71" s="315">
        <f>+'Allocation Factors'!$H$21</f>
        <v>3.5773423890158328E-2</v>
      </c>
      <c r="H71" s="5">
        <f t="shared" si="0"/>
        <v>0</v>
      </c>
      <c r="J71" s="208"/>
    </row>
    <row r="72" spans="1:21" x14ac:dyDescent="0.25">
      <c r="A72" s="312" t="s">
        <v>343</v>
      </c>
      <c r="B72" s="312"/>
      <c r="C72" s="328">
        <v>0</v>
      </c>
      <c r="D72" s="331"/>
      <c r="E72" s="331" t="s">
        <v>76</v>
      </c>
      <c r="F72" s="315">
        <f>+'Allocation Factors'!$H$21</f>
        <v>3.5773423890158328E-2</v>
      </c>
      <c r="H72" s="5">
        <f t="shared" si="0"/>
        <v>0</v>
      </c>
      <c r="J72" s="208"/>
    </row>
    <row r="73" spans="1:21" x14ac:dyDescent="0.25">
      <c r="A73" s="312" t="s">
        <v>344</v>
      </c>
      <c r="B73" s="312"/>
      <c r="C73" s="328">
        <v>0</v>
      </c>
      <c r="D73" s="331"/>
      <c r="E73" s="331" t="s">
        <v>76</v>
      </c>
      <c r="F73" s="315">
        <f>+'Allocation Factors'!$H$21</f>
        <v>3.5773423890158328E-2</v>
      </c>
      <c r="H73" s="5">
        <f t="shared" si="0"/>
        <v>0</v>
      </c>
      <c r="J73" s="237"/>
      <c r="O73" s="196"/>
      <c r="P73" s="196"/>
      <c r="Q73" s="196"/>
      <c r="R73" s="196"/>
      <c r="S73" s="196"/>
      <c r="T73" s="196"/>
      <c r="U73" s="196"/>
    </row>
    <row r="74" spans="1:21" x14ac:dyDescent="0.25">
      <c r="A74" s="312" t="s">
        <v>356</v>
      </c>
      <c r="B74" s="312"/>
      <c r="C74" s="328">
        <v>0</v>
      </c>
      <c r="D74" s="331"/>
      <c r="E74" s="331" t="s">
        <v>76</v>
      </c>
      <c r="F74" s="315">
        <f>+'Allocation Factors'!$H$21</f>
        <v>3.5773423890158328E-2</v>
      </c>
      <c r="H74" s="5">
        <f t="shared" ref="H74:H115" si="1">$C74*F74</f>
        <v>0</v>
      </c>
      <c r="I74" s="234"/>
      <c r="J74" s="208"/>
    </row>
    <row r="75" spans="1:21" x14ac:dyDescent="0.25">
      <c r="A75" s="312" t="s">
        <v>351</v>
      </c>
      <c r="B75" s="312"/>
      <c r="C75" s="328">
        <v>0</v>
      </c>
      <c r="D75" s="331"/>
      <c r="E75" s="331" t="s">
        <v>76</v>
      </c>
      <c r="F75" s="315">
        <f>+'Allocation Factors'!$H$21</f>
        <v>3.5773423890158328E-2</v>
      </c>
      <c r="H75" s="5">
        <f t="shared" si="1"/>
        <v>0</v>
      </c>
      <c r="J75" s="208"/>
    </row>
    <row r="76" spans="1:21" x14ac:dyDescent="0.25">
      <c r="A76" s="312" t="s">
        <v>354</v>
      </c>
      <c r="B76" s="312"/>
      <c r="C76" s="328">
        <v>0</v>
      </c>
      <c r="D76" s="331"/>
      <c r="E76" s="331" t="s">
        <v>76</v>
      </c>
      <c r="F76" s="315">
        <f>+'Allocation Factors'!$H$21</f>
        <v>3.5773423890158328E-2</v>
      </c>
      <c r="H76" s="5">
        <f t="shared" si="1"/>
        <v>0</v>
      </c>
      <c r="J76" s="208"/>
    </row>
    <row r="77" spans="1:21" x14ac:dyDescent="0.25">
      <c r="A77" s="312" t="s">
        <v>931</v>
      </c>
      <c r="B77" s="312"/>
      <c r="C77" s="328">
        <v>0</v>
      </c>
      <c r="D77" s="331"/>
      <c r="E77" s="331" t="s">
        <v>76</v>
      </c>
      <c r="F77" s="315">
        <f>+'Allocation Factors'!$H$21</f>
        <v>3.5773423890158328E-2</v>
      </c>
      <c r="H77" s="5">
        <f t="shared" si="1"/>
        <v>0</v>
      </c>
      <c r="J77" s="208"/>
    </row>
    <row r="78" spans="1:21" x14ac:dyDescent="0.25">
      <c r="A78" s="312" t="s">
        <v>1130</v>
      </c>
      <c r="B78" s="312"/>
      <c r="C78" s="328">
        <v>71697</v>
      </c>
      <c r="D78" s="331"/>
      <c r="E78" s="331" t="s">
        <v>387</v>
      </c>
      <c r="F78" s="315">
        <v>0</v>
      </c>
      <c r="H78" s="5">
        <f t="shared" si="1"/>
        <v>0</v>
      </c>
      <c r="J78" s="208"/>
    </row>
    <row r="79" spans="1:21" s="269" customFormat="1" x14ac:dyDescent="0.25">
      <c r="A79" s="312" t="s">
        <v>363</v>
      </c>
      <c r="B79" s="312"/>
      <c r="C79" s="328">
        <v>0</v>
      </c>
      <c r="D79" s="331"/>
      <c r="E79" s="331" t="s">
        <v>76</v>
      </c>
      <c r="F79" s="315">
        <f>+'Allocation Factors'!$H$21</f>
        <v>3.5773423890158328E-2</v>
      </c>
      <c r="H79" s="268"/>
      <c r="I79" s="267"/>
      <c r="J79" s="272"/>
    </row>
    <row r="80" spans="1:21" x14ac:dyDescent="0.25">
      <c r="A80" s="312" t="s">
        <v>364</v>
      </c>
      <c r="B80" s="312"/>
      <c r="C80" s="328">
        <v>0</v>
      </c>
      <c r="D80" s="331"/>
      <c r="E80" s="331" t="s">
        <v>76</v>
      </c>
      <c r="F80" s="315">
        <f>+'Allocation Factors'!$H$21</f>
        <v>3.5773423890158328E-2</v>
      </c>
      <c r="H80" s="5">
        <f t="shared" si="1"/>
        <v>0</v>
      </c>
      <c r="J80" s="208"/>
    </row>
    <row r="81" spans="1:26" x14ac:dyDescent="0.25">
      <c r="A81" s="312" t="s">
        <v>360</v>
      </c>
      <c r="B81" s="312"/>
      <c r="C81" s="328">
        <v>0</v>
      </c>
      <c r="D81" s="331"/>
      <c r="E81" s="331" t="s">
        <v>76</v>
      </c>
      <c r="F81" s="315">
        <f>+'Allocation Factors'!$H$21</f>
        <v>3.5773423890158328E-2</v>
      </c>
      <c r="H81" s="5">
        <f t="shared" si="1"/>
        <v>0</v>
      </c>
      <c r="J81" s="208"/>
    </row>
    <row r="82" spans="1:26" x14ac:dyDescent="0.25">
      <c r="A82" s="312" t="s">
        <v>340</v>
      </c>
      <c r="B82" s="312"/>
      <c r="C82" s="328">
        <v>0</v>
      </c>
      <c r="D82" s="331"/>
      <c r="E82" s="331" t="s">
        <v>75</v>
      </c>
      <c r="F82" s="315">
        <f>+'Allocation Factors'!$H$13</f>
        <v>0.92469611331494961</v>
      </c>
      <c r="H82" s="5">
        <f t="shared" si="1"/>
        <v>0</v>
      </c>
      <c r="J82" s="208"/>
    </row>
    <row r="83" spans="1:26" x14ac:dyDescent="0.25">
      <c r="A83" s="312" t="s">
        <v>1197</v>
      </c>
      <c r="B83" s="312"/>
      <c r="C83" s="328">
        <v>8268</v>
      </c>
      <c r="D83" s="331"/>
      <c r="E83" s="331" t="s">
        <v>75</v>
      </c>
      <c r="F83" s="315">
        <f>+'Allocation Factors'!$H$13</f>
        <v>0.92469611331494961</v>
      </c>
      <c r="H83" s="5">
        <f t="shared" si="1"/>
        <v>7645.3874648880037</v>
      </c>
      <c r="J83" s="208"/>
    </row>
    <row r="84" spans="1:26" x14ac:dyDescent="0.25">
      <c r="A84" s="312" t="s">
        <v>1064</v>
      </c>
      <c r="B84" s="312"/>
      <c r="C84" s="328">
        <v>0</v>
      </c>
      <c r="D84" s="331"/>
      <c r="E84" s="331" t="s">
        <v>138</v>
      </c>
      <c r="F84" s="317">
        <v>0</v>
      </c>
      <c r="H84" s="5">
        <f t="shared" si="1"/>
        <v>0</v>
      </c>
      <c r="J84" s="208"/>
    </row>
    <row r="85" spans="1:26" x14ac:dyDescent="0.25">
      <c r="A85" s="312" t="s">
        <v>932</v>
      </c>
      <c r="B85" s="312"/>
      <c r="C85" s="328">
        <v>0</v>
      </c>
      <c r="D85" s="331"/>
      <c r="E85" s="331" t="s">
        <v>75</v>
      </c>
      <c r="F85" s="315">
        <f>+'Allocation Factors'!$H$13</f>
        <v>0.92469611331494961</v>
      </c>
      <c r="H85" s="5">
        <f t="shared" si="1"/>
        <v>0</v>
      </c>
      <c r="J85" s="208"/>
    </row>
    <row r="86" spans="1:26" x14ac:dyDescent="0.25">
      <c r="A86" s="312" t="s">
        <v>1011</v>
      </c>
      <c r="B86" s="312"/>
      <c r="C86" s="328">
        <v>0</v>
      </c>
      <c r="D86" s="331"/>
      <c r="E86" s="331" t="s">
        <v>138</v>
      </c>
      <c r="F86" s="317">
        <v>0</v>
      </c>
      <c r="H86" s="5">
        <f t="shared" si="1"/>
        <v>0</v>
      </c>
      <c r="J86" s="208"/>
    </row>
    <row r="87" spans="1:26" x14ac:dyDescent="0.25">
      <c r="A87" s="312" t="s">
        <v>1241</v>
      </c>
      <c r="B87" s="312"/>
      <c r="C87" s="328">
        <f>611616.57+3418.74+20851.74</f>
        <v>635887.04999999993</v>
      </c>
      <c r="D87" s="331"/>
      <c r="E87" s="331" t="s">
        <v>76</v>
      </c>
      <c r="F87" s="315">
        <f>+'Allocation Factors'!$H$21</f>
        <v>3.5773423890158328E-2</v>
      </c>
      <c r="H87" s="5">
        <f t="shared" si="1"/>
        <v>22747.856985912302</v>
      </c>
      <c r="J87" s="208"/>
    </row>
    <row r="88" spans="1:26" x14ac:dyDescent="0.25">
      <c r="A88" s="312" t="s">
        <v>1007</v>
      </c>
      <c r="B88" s="312"/>
      <c r="C88" s="328">
        <v>0</v>
      </c>
      <c r="D88" s="331"/>
      <c r="E88" s="331" t="s">
        <v>75</v>
      </c>
      <c r="F88" s="315">
        <f>+'Allocation Factors'!$H$13</f>
        <v>0.92469611331494961</v>
      </c>
      <c r="H88" s="5">
        <f t="shared" si="1"/>
        <v>0</v>
      </c>
      <c r="J88" s="208"/>
    </row>
    <row r="89" spans="1:26" x14ac:dyDescent="0.25">
      <c r="A89" s="312" t="s">
        <v>1002</v>
      </c>
      <c r="B89" s="312"/>
      <c r="C89" s="328">
        <v>1</v>
      </c>
      <c r="D89" s="331"/>
      <c r="E89" s="331" t="s">
        <v>75</v>
      </c>
      <c r="F89" s="315">
        <f>+'Allocation Factors'!$H$13</f>
        <v>0.92469611331494961</v>
      </c>
      <c r="H89" s="5">
        <f t="shared" si="1"/>
        <v>0.92469611331494961</v>
      </c>
      <c r="J89" s="208"/>
    </row>
    <row r="90" spans="1:26" x14ac:dyDescent="0.25">
      <c r="A90" s="312" t="s">
        <v>1002</v>
      </c>
      <c r="B90" s="312"/>
      <c r="C90" s="328">
        <v>1</v>
      </c>
      <c r="D90" s="331"/>
      <c r="E90" s="331" t="s">
        <v>75</v>
      </c>
      <c r="F90" s="315">
        <f>+'Allocation Factors'!$H$13</f>
        <v>0.92469611331494961</v>
      </c>
      <c r="H90" s="5">
        <f t="shared" si="1"/>
        <v>0.92469611331494961</v>
      </c>
      <c r="J90" s="208"/>
    </row>
    <row r="91" spans="1:26" x14ac:dyDescent="0.25">
      <c r="A91" s="312" t="s">
        <v>1065</v>
      </c>
      <c r="B91" s="312"/>
      <c r="C91" s="328">
        <v>1</v>
      </c>
      <c r="D91" s="331"/>
      <c r="E91" s="331" t="s">
        <v>75</v>
      </c>
      <c r="F91" s="315">
        <f>+'Allocation Factors'!$H$13</f>
        <v>0.92469611331494961</v>
      </c>
      <c r="H91" s="5">
        <f t="shared" si="1"/>
        <v>0.92469611331494961</v>
      </c>
      <c r="J91" s="237"/>
      <c r="O91" s="196"/>
      <c r="P91" s="196"/>
      <c r="Q91" s="196"/>
      <c r="R91" s="196"/>
      <c r="S91" s="196"/>
      <c r="T91" s="196"/>
      <c r="U91" s="196"/>
      <c r="V91" s="196"/>
      <c r="W91" s="196"/>
      <c r="X91" s="196"/>
      <c r="Y91" s="196"/>
      <c r="Z91" s="196"/>
    </row>
    <row r="92" spans="1:26" x14ac:dyDescent="0.25">
      <c r="A92" s="312" t="s">
        <v>969</v>
      </c>
      <c r="B92" s="312"/>
      <c r="C92" s="328">
        <v>0</v>
      </c>
      <c r="D92" s="331"/>
      <c r="E92" s="331" t="s">
        <v>75</v>
      </c>
      <c r="F92" s="315">
        <f>+'Allocation Factors'!$H$13</f>
        <v>0.92469611331494961</v>
      </c>
      <c r="H92" s="5">
        <f t="shared" si="1"/>
        <v>0</v>
      </c>
      <c r="I92" s="234"/>
      <c r="J92" s="208"/>
    </row>
    <row r="93" spans="1:26" x14ac:dyDescent="0.25">
      <c r="A93" s="312" t="s">
        <v>934</v>
      </c>
      <c r="B93" s="312"/>
      <c r="C93" s="328">
        <v>0</v>
      </c>
      <c r="D93" s="331"/>
      <c r="E93" s="331" t="s">
        <v>387</v>
      </c>
      <c r="F93" s="317">
        <v>0</v>
      </c>
      <c r="H93" s="5">
        <f t="shared" si="1"/>
        <v>0</v>
      </c>
      <c r="J93" s="208"/>
    </row>
    <row r="94" spans="1:26" x14ac:dyDescent="0.25">
      <c r="A94" s="312" t="s">
        <v>1091</v>
      </c>
      <c r="B94" s="312"/>
      <c r="C94" s="328">
        <v>0</v>
      </c>
      <c r="D94" s="331"/>
      <c r="E94" s="331" t="s">
        <v>387</v>
      </c>
      <c r="F94" s="317">
        <v>0</v>
      </c>
      <c r="H94" s="5">
        <f t="shared" si="1"/>
        <v>0</v>
      </c>
      <c r="J94" s="208"/>
    </row>
    <row r="95" spans="1:26" x14ac:dyDescent="0.25">
      <c r="A95" s="312" t="s">
        <v>989</v>
      </c>
      <c r="B95" s="312"/>
      <c r="C95" s="328">
        <v>0</v>
      </c>
      <c r="D95" s="331"/>
      <c r="E95" s="331" t="s">
        <v>76</v>
      </c>
      <c r="F95" s="315">
        <f>+'Allocation Factors'!$H$21</f>
        <v>3.5773423890158328E-2</v>
      </c>
      <c r="H95" s="5">
        <f t="shared" si="1"/>
        <v>0</v>
      </c>
      <c r="J95" s="208"/>
    </row>
    <row r="96" spans="1:26" x14ac:dyDescent="0.25">
      <c r="A96" s="312" t="s">
        <v>361</v>
      </c>
      <c r="B96" s="312"/>
      <c r="C96" s="328">
        <v>0</v>
      </c>
      <c r="D96" s="331"/>
      <c r="E96" s="331" t="s">
        <v>76</v>
      </c>
      <c r="F96" s="315">
        <f>+'Allocation Factors'!$H$21</f>
        <v>3.5773423890158328E-2</v>
      </c>
      <c r="H96" s="5">
        <f t="shared" si="1"/>
        <v>0</v>
      </c>
      <c r="J96" s="208"/>
    </row>
    <row r="97" spans="1:10" x14ac:dyDescent="0.25">
      <c r="A97" s="312" t="s">
        <v>1131</v>
      </c>
      <c r="B97" s="312"/>
      <c r="C97" s="328">
        <f>61765+296+651+279</f>
        <v>62991</v>
      </c>
      <c r="D97" s="331"/>
      <c r="E97" s="331" t="s">
        <v>387</v>
      </c>
      <c r="F97" s="317">
        <v>0</v>
      </c>
      <c r="H97" s="5">
        <f t="shared" si="1"/>
        <v>0</v>
      </c>
      <c r="J97" s="208"/>
    </row>
    <row r="98" spans="1:10" x14ac:dyDescent="0.25">
      <c r="A98" s="312" t="s">
        <v>1066</v>
      </c>
      <c r="B98" s="312"/>
      <c r="C98" s="328">
        <v>0</v>
      </c>
      <c r="D98" s="331"/>
      <c r="E98" s="331" t="s">
        <v>75</v>
      </c>
      <c r="F98" s="315">
        <f>+'Allocation Factors'!$H$13</f>
        <v>0.92469611331494961</v>
      </c>
      <c r="H98" s="5">
        <f t="shared" si="1"/>
        <v>0</v>
      </c>
      <c r="J98" s="208"/>
    </row>
    <row r="99" spans="1:10" x14ac:dyDescent="0.25">
      <c r="A99" s="312" t="s">
        <v>1076</v>
      </c>
      <c r="B99" s="312"/>
      <c r="C99" s="328">
        <v>0</v>
      </c>
      <c r="D99" s="331"/>
      <c r="E99" s="331" t="s">
        <v>138</v>
      </c>
      <c r="F99" s="317">
        <v>0</v>
      </c>
      <c r="H99" s="5">
        <f t="shared" si="1"/>
        <v>0</v>
      </c>
      <c r="J99" s="208"/>
    </row>
    <row r="100" spans="1:10" x14ac:dyDescent="0.25">
      <c r="A100" s="312" t="s">
        <v>342</v>
      </c>
      <c r="B100" s="312"/>
      <c r="C100" s="328">
        <v>0</v>
      </c>
      <c r="D100" s="331"/>
      <c r="E100" s="331" t="s">
        <v>75</v>
      </c>
      <c r="F100" s="315">
        <f>+'Allocation Factors'!$H$13</f>
        <v>0.92469611331494961</v>
      </c>
      <c r="H100" s="5">
        <f t="shared" si="1"/>
        <v>0</v>
      </c>
      <c r="J100" s="208"/>
    </row>
    <row r="101" spans="1:10" x14ac:dyDescent="0.25">
      <c r="A101" s="312" t="s">
        <v>1242</v>
      </c>
      <c r="B101" s="312"/>
      <c r="C101" s="328">
        <v>36439</v>
      </c>
      <c r="D101" s="331"/>
      <c r="E101" s="331" t="s">
        <v>76</v>
      </c>
      <c r="F101" s="315">
        <f>+'Allocation Factors'!$H$21</f>
        <v>3.5773423890158328E-2</v>
      </c>
      <c r="H101" s="5">
        <f t="shared" si="1"/>
        <v>1303.5477931334792</v>
      </c>
      <c r="J101" s="208"/>
    </row>
    <row r="102" spans="1:10" x14ac:dyDescent="0.25">
      <c r="A102" s="312" t="s">
        <v>1146</v>
      </c>
      <c r="B102" s="312"/>
      <c r="C102" s="328">
        <v>68999</v>
      </c>
      <c r="D102" s="331"/>
      <c r="E102" s="331" t="s">
        <v>75</v>
      </c>
      <c r="F102" s="315">
        <f>+'Allocation Factors'!$H$13</f>
        <v>0.92469611331494961</v>
      </c>
      <c r="H102" s="5">
        <f t="shared" si="1"/>
        <v>63803.10712261821</v>
      </c>
      <c r="J102" s="208"/>
    </row>
    <row r="103" spans="1:10" x14ac:dyDescent="0.25">
      <c r="A103" s="312" t="s">
        <v>353</v>
      </c>
      <c r="B103" s="312"/>
      <c r="C103" s="328">
        <v>0</v>
      </c>
      <c r="D103" s="331"/>
      <c r="E103" s="331" t="s">
        <v>76</v>
      </c>
      <c r="F103" s="315">
        <f>+'Allocation Factors'!$H$21</f>
        <v>3.5773423890158328E-2</v>
      </c>
      <c r="H103" s="5">
        <f t="shared" si="1"/>
        <v>0</v>
      </c>
      <c r="J103" s="208"/>
    </row>
    <row r="104" spans="1:10" x14ac:dyDescent="0.25">
      <c r="A104" s="312" t="s">
        <v>968</v>
      </c>
      <c r="B104" s="312"/>
      <c r="C104" s="328">
        <v>0</v>
      </c>
      <c r="D104" s="331"/>
      <c r="E104" s="331" t="s">
        <v>75</v>
      </c>
      <c r="F104" s="315">
        <f>+'Allocation Factors'!$H$13</f>
        <v>0.92469611331494961</v>
      </c>
      <c r="H104" s="5">
        <f t="shared" si="1"/>
        <v>0</v>
      </c>
      <c r="J104" s="208"/>
    </row>
    <row r="105" spans="1:10" x14ac:dyDescent="0.25">
      <c r="A105" s="312" t="s">
        <v>968</v>
      </c>
      <c r="B105" s="312"/>
      <c r="C105" s="328">
        <v>0</v>
      </c>
      <c r="D105" s="331"/>
      <c r="E105" s="331" t="s">
        <v>75</v>
      </c>
      <c r="F105" s="315">
        <f>+'Allocation Factors'!$H$13</f>
        <v>0.92469611331494961</v>
      </c>
      <c r="H105" s="5">
        <f t="shared" si="1"/>
        <v>0</v>
      </c>
      <c r="J105" s="208"/>
    </row>
    <row r="106" spans="1:10" x14ac:dyDescent="0.25">
      <c r="A106" s="312" t="s">
        <v>990</v>
      </c>
      <c r="B106" s="312"/>
      <c r="C106" s="328">
        <v>0</v>
      </c>
      <c r="D106" s="331"/>
      <c r="E106" s="331" t="s">
        <v>75</v>
      </c>
      <c r="F106" s="315">
        <f>+'Allocation Factors'!$H$13</f>
        <v>0.92469611331494961</v>
      </c>
      <c r="H106" s="5">
        <f t="shared" si="1"/>
        <v>0</v>
      </c>
      <c r="J106" s="208"/>
    </row>
    <row r="107" spans="1:10" s="235" customFormat="1" x14ac:dyDescent="0.25">
      <c r="A107" s="312" t="s">
        <v>990</v>
      </c>
      <c r="B107" s="312"/>
      <c r="C107" s="328">
        <v>0</v>
      </c>
      <c r="D107" s="331"/>
      <c r="E107" s="331" t="s">
        <v>75</v>
      </c>
      <c r="F107" s="315">
        <f>+'Allocation Factors'!$H$13</f>
        <v>0.92469611331494961</v>
      </c>
      <c r="H107" s="238">
        <f t="shared" si="1"/>
        <v>0</v>
      </c>
      <c r="I107" s="234"/>
      <c r="J107" s="236"/>
    </row>
    <row r="108" spans="1:10" s="235" customFormat="1" x14ac:dyDescent="0.25">
      <c r="A108" s="312" t="s">
        <v>935</v>
      </c>
      <c r="B108" s="312"/>
      <c r="C108" s="328">
        <v>0</v>
      </c>
      <c r="D108" s="331"/>
      <c r="E108" s="331" t="s">
        <v>75</v>
      </c>
      <c r="F108" s="315">
        <f>+'Allocation Factors'!$H$13</f>
        <v>0.92469611331494961</v>
      </c>
      <c r="H108" s="238">
        <f t="shared" si="1"/>
        <v>0</v>
      </c>
      <c r="I108" s="234"/>
      <c r="J108" s="236"/>
    </row>
    <row r="109" spans="1:10" s="274" customFormat="1" x14ac:dyDescent="0.25">
      <c r="A109" s="312" t="s">
        <v>1008</v>
      </c>
      <c r="B109" s="312"/>
      <c r="C109" s="328">
        <v>0</v>
      </c>
      <c r="D109" s="331"/>
      <c r="E109" s="331" t="s">
        <v>75</v>
      </c>
      <c r="F109" s="315">
        <f>+'Allocation Factors'!$H$13</f>
        <v>0.92469611331494961</v>
      </c>
      <c r="H109" s="268">
        <f t="shared" si="1"/>
        <v>0</v>
      </c>
      <c r="I109" s="267"/>
      <c r="J109" s="272"/>
    </row>
    <row r="110" spans="1:10" s="274" customFormat="1" x14ac:dyDescent="0.25">
      <c r="A110" s="312" t="s">
        <v>937</v>
      </c>
      <c r="B110" s="312"/>
      <c r="C110" s="328">
        <v>0</v>
      </c>
      <c r="D110" s="331"/>
      <c r="E110" s="331" t="s">
        <v>75</v>
      </c>
      <c r="F110" s="315">
        <f>+'Allocation Factors'!$H$13</f>
        <v>0.92469611331494961</v>
      </c>
      <c r="H110" s="268">
        <f t="shared" si="1"/>
        <v>0</v>
      </c>
      <c r="I110" s="267"/>
      <c r="J110" s="272"/>
    </row>
    <row r="111" spans="1:10" s="274" customFormat="1" x14ac:dyDescent="0.25">
      <c r="A111" s="312" t="s">
        <v>338</v>
      </c>
      <c r="B111" s="312"/>
      <c r="C111" s="328">
        <v>0</v>
      </c>
      <c r="D111" s="331"/>
      <c r="E111" s="331" t="s">
        <v>75</v>
      </c>
      <c r="F111" s="315">
        <f>+'Allocation Factors'!$H$13</f>
        <v>0.92469611331494961</v>
      </c>
      <c r="H111" s="268">
        <f t="shared" si="1"/>
        <v>0</v>
      </c>
      <c r="I111" s="267"/>
      <c r="J111" s="272"/>
    </row>
    <row r="112" spans="1:10" s="274" customFormat="1" x14ac:dyDescent="0.25">
      <c r="A112" s="312" t="s">
        <v>358</v>
      </c>
      <c r="B112" s="312"/>
      <c r="C112" s="328">
        <v>0</v>
      </c>
      <c r="D112" s="331"/>
      <c r="E112" s="331" t="s">
        <v>76</v>
      </c>
      <c r="F112" s="315">
        <f>+'Allocation Factors'!$H$21</f>
        <v>3.5773423890158328E-2</v>
      </c>
      <c r="H112" s="268">
        <f t="shared" si="1"/>
        <v>0</v>
      </c>
      <c r="I112" s="267"/>
      <c r="J112" s="272"/>
    </row>
    <row r="113" spans="1:10" s="311" customFormat="1" x14ac:dyDescent="0.25">
      <c r="A113" s="312" t="s">
        <v>362</v>
      </c>
      <c r="B113" s="312"/>
      <c r="C113" s="328">
        <v>0</v>
      </c>
      <c r="D113" s="331"/>
      <c r="E113" s="331" t="s">
        <v>138</v>
      </c>
      <c r="F113" s="317">
        <v>0</v>
      </c>
      <c r="H113" s="314">
        <f t="shared" si="1"/>
        <v>0</v>
      </c>
      <c r="I113" s="310"/>
      <c r="J113" s="313"/>
    </row>
    <row r="114" spans="1:10" s="311" customFormat="1" x14ac:dyDescent="0.25">
      <c r="A114" s="312" t="s">
        <v>348</v>
      </c>
      <c r="B114" s="312"/>
      <c r="C114" s="328">
        <v>0</v>
      </c>
      <c r="D114" s="331"/>
      <c r="E114" s="331" t="s">
        <v>76</v>
      </c>
      <c r="F114" s="315">
        <f>+'Allocation Factors'!$H$21</f>
        <v>3.5773423890158328E-2</v>
      </c>
      <c r="H114" s="314">
        <f t="shared" si="1"/>
        <v>0</v>
      </c>
      <c r="I114" s="310"/>
      <c r="J114" s="313"/>
    </row>
    <row r="115" spans="1:10" s="311" customFormat="1" x14ac:dyDescent="0.25">
      <c r="A115" s="312" t="s">
        <v>938</v>
      </c>
      <c r="B115" s="312"/>
      <c r="C115" s="328">
        <v>127338</v>
      </c>
      <c r="D115" s="331"/>
      <c r="E115" s="331" t="s">
        <v>76</v>
      </c>
      <c r="F115" s="315">
        <f>+'Allocation Factors'!$H$21</f>
        <v>3.5773423890158328E-2</v>
      </c>
      <c r="H115" s="314">
        <f t="shared" si="1"/>
        <v>4555.3162513249808</v>
      </c>
      <c r="I115" s="310"/>
      <c r="J115" s="313"/>
    </row>
    <row r="116" spans="1:10" x14ac:dyDescent="0.25">
      <c r="A116" s="90"/>
      <c r="B116" s="90"/>
      <c r="C116" s="63"/>
      <c r="F116" s="58"/>
      <c r="G116" s="7"/>
      <c r="H116" s="5"/>
    </row>
    <row r="117" spans="1:10" s="13" customFormat="1" x14ac:dyDescent="0.25">
      <c r="A117" s="24" t="s">
        <v>389</v>
      </c>
      <c r="C117" s="60">
        <f>SUM(C10:C116)</f>
        <v>52622957</v>
      </c>
      <c r="H117" s="60">
        <f>SUM(H10:H116)</f>
        <v>1006776.022851561</v>
      </c>
      <c r="I117" s="209"/>
      <c r="J117" s="209"/>
    </row>
  </sheetData>
  <sortState ref="A10:I58">
    <sortCondition ref="A10:A58"/>
  </sortState>
  <mergeCells count="7">
    <mergeCell ref="A2:G2"/>
    <mergeCell ref="A1:G1"/>
    <mergeCell ref="E9:F9"/>
    <mergeCell ref="A5:H5"/>
    <mergeCell ref="E8:F8"/>
    <mergeCell ref="A4:G4"/>
    <mergeCell ref="A3:G3"/>
  </mergeCells>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sqref="A1:G1"/>
    </sheetView>
  </sheetViews>
  <sheetFormatPr defaultRowHeight="15" x14ac:dyDescent="0.25"/>
  <cols>
    <col min="1" max="1" width="6" style="6" customWidth="1"/>
    <col min="2" max="2" width="11.5703125" style="6" customWidth="1"/>
    <col min="3" max="3" width="11.140625" style="6" bestFit="1" customWidth="1"/>
    <col min="4" max="5" width="9.140625" style="6"/>
    <col min="6" max="6" width="13" style="6" customWidth="1"/>
    <col min="7" max="7" width="9.140625" style="6"/>
    <col min="8" max="9" width="18.42578125" style="6" bestFit="1" customWidth="1"/>
    <col min="10" max="16384" width="9.140625" style="6"/>
  </cols>
  <sheetData>
    <row r="1" spans="1:10" x14ac:dyDescent="0.25">
      <c r="A1" s="365" t="s">
        <v>0</v>
      </c>
      <c r="B1" s="365"/>
      <c r="C1" s="365"/>
      <c r="D1" s="365"/>
      <c r="E1" s="365"/>
      <c r="F1" s="365"/>
      <c r="G1" s="365"/>
      <c r="H1" s="148" t="s">
        <v>1094</v>
      </c>
      <c r="J1" s="127"/>
    </row>
    <row r="2" spans="1:10" x14ac:dyDescent="0.25">
      <c r="A2" s="150"/>
      <c r="B2" s="150"/>
      <c r="C2" s="150"/>
      <c r="D2" s="150"/>
      <c r="E2" s="150"/>
      <c r="F2" s="150"/>
      <c r="G2" s="150"/>
      <c r="H2" s="148" t="s">
        <v>407</v>
      </c>
    </row>
    <row r="3" spans="1:10" x14ac:dyDescent="0.25">
      <c r="A3" s="365" t="s">
        <v>536</v>
      </c>
      <c r="B3" s="365"/>
      <c r="C3" s="365"/>
      <c r="D3" s="365"/>
      <c r="E3" s="365"/>
      <c r="F3" s="365"/>
      <c r="G3" s="365"/>
      <c r="H3" s="149"/>
      <c r="I3" s="10"/>
    </row>
    <row r="4" spans="1:10" x14ac:dyDescent="0.25">
      <c r="A4" s="366" t="s">
        <v>1255</v>
      </c>
      <c r="B4" s="366"/>
      <c r="C4" s="366"/>
      <c r="D4" s="366"/>
      <c r="E4" s="366"/>
      <c r="F4" s="366"/>
      <c r="G4" s="366"/>
      <c r="H4" s="335"/>
    </row>
    <row r="5" spans="1:10" x14ac:dyDescent="0.25">
      <c r="A5" s="259"/>
      <c r="B5" s="259"/>
      <c r="C5" s="259"/>
      <c r="D5" s="259"/>
      <c r="E5" s="259"/>
      <c r="F5" s="259"/>
      <c r="G5" s="259"/>
      <c r="H5" s="259"/>
    </row>
    <row r="6" spans="1:10" ht="30" x14ac:dyDescent="0.25">
      <c r="A6" s="157"/>
      <c r="B6" s="350" t="s">
        <v>537</v>
      </c>
      <c r="C6" s="150" t="s">
        <v>538</v>
      </c>
      <c r="D6" s="150"/>
      <c r="E6" s="150"/>
      <c r="F6" s="150"/>
      <c r="G6" s="150"/>
      <c r="H6" s="335" t="s">
        <v>539</v>
      </c>
    </row>
    <row r="7" spans="1:10" x14ac:dyDescent="0.25">
      <c r="A7" s="331">
        <v>1</v>
      </c>
      <c r="B7" s="334">
        <v>350</v>
      </c>
      <c r="C7" s="10" t="s">
        <v>540</v>
      </c>
      <c r="D7" s="10"/>
      <c r="E7" s="10"/>
      <c r="F7" s="10"/>
      <c r="G7" s="10"/>
      <c r="H7" s="248">
        <v>1.2999999999999999E-2</v>
      </c>
    </row>
    <row r="8" spans="1:10" x14ac:dyDescent="0.25">
      <c r="A8" s="331">
        <v>2</v>
      </c>
      <c r="B8" s="334" t="s">
        <v>1095</v>
      </c>
      <c r="C8" s="10" t="s">
        <v>541</v>
      </c>
      <c r="D8" s="10"/>
      <c r="E8" s="10"/>
      <c r="F8" s="10"/>
      <c r="G8" s="10"/>
      <c r="H8" s="248">
        <v>2.12E-2</v>
      </c>
    </row>
    <row r="9" spans="1:10" x14ac:dyDescent="0.25">
      <c r="A9" s="331">
        <v>3</v>
      </c>
      <c r="B9" s="334">
        <v>389</v>
      </c>
      <c r="C9" s="10" t="s">
        <v>542</v>
      </c>
      <c r="D9" s="10"/>
      <c r="E9" s="10"/>
      <c r="F9" s="10"/>
      <c r="G9" s="10"/>
      <c r="H9" s="248">
        <v>1.5299999999999999E-2</v>
      </c>
    </row>
    <row r="10" spans="1:10" x14ac:dyDescent="0.25">
      <c r="A10" s="331">
        <v>4</v>
      </c>
      <c r="B10" s="334">
        <v>390</v>
      </c>
      <c r="C10" s="10" t="s">
        <v>1086</v>
      </c>
      <c r="D10" s="10"/>
      <c r="E10" s="10"/>
      <c r="F10" s="10"/>
      <c r="G10" s="10"/>
      <c r="H10" s="248">
        <v>2.9600000000000001E-2</v>
      </c>
    </row>
    <row r="11" spans="1:10" x14ac:dyDescent="0.25">
      <c r="A11" s="331">
        <v>5</v>
      </c>
      <c r="B11" s="334" t="s">
        <v>1096</v>
      </c>
      <c r="C11" s="10" t="s">
        <v>1087</v>
      </c>
      <c r="D11" s="10"/>
      <c r="E11" s="10"/>
      <c r="F11" s="10"/>
      <c r="G11" s="10"/>
      <c r="H11" s="248">
        <v>0.12939999999999999</v>
      </c>
    </row>
    <row r="12" spans="1:10" x14ac:dyDescent="0.25">
      <c r="A12" s="331">
        <v>6</v>
      </c>
      <c r="B12" s="334">
        <v>391.1</v>
      </c>
      <c r="C12" s="10" t="s">
        <v>543</v>
      </c>
      <c r="D12" s="10"/>
      <c r="E12" s="10"/>
      <c r="F12" s="10"/>
      <c r="G12" s="10"/>
      <c r="H12" s="248">
        <v>0.36799999999999999</v>
      </c>
    </row>
    <row r="13" spans="1:10" x14ac:dyDescent="0.25">
      <c r="A13" s="331">
        <v>7</v>
      </c>
      <c r="B13" s="334">
        <v>392</v>
      </c>
      <c r="C13" s="10" t="s">
        <v>1097</v>
      </c>
      <c r="D13" s="10"/>
      <c r="E13" s="10"/>
      <c r="F13" s="10"/>
      <c r="G13" s="10"/>
      <c r="H13" s="248">
        <v>0.17469999999999999</v>
      </c>
    </row>
    <row r="14" spans="1:10" x14ac:dyDescent="0.25">
      <c r="A14" s="331">
        <v>8</v>
      </c>
      <c r="B14" s="334">
        <v>392</v>
      </c>
      <c r="C14" s="10" t="s">
        <v>1098</v>
      </c>
      <c r="D14" s="10"/>
      <c r="E14" s="10"/>
      <c r="F14" s="10"/>
      <c r="G14" s="10"/>
      <c r="H14" s="248">
        <v>0.2046</v>
      </c>
    </row>
    <row r="15" spans="1:10" x14ac:dyDescent="0.25">
      <c r="A15" s="331">
        <v>9</v>
      </c>
      <c r="B15" s="334">
        <v>392</v>
      </c>
      <c r="C15" s="10" t="s">
        <v>1099</v>
      </c>
      <c r="D15" s="10"/>
      <c r="E15" s="10"/>
      <c r="F15" s="10"/>
      <c r="G15" s="10"/>
      <c r="H15" s="248">
        <v>0.21190000000000001</v>
      </c>
    </row>
    <row r="16" spans="1:10" x14ac:dyDescent="0.25">
      <c r="A16" s="331">
        <v>10</v>
      </c>
      <c r="B16" s="334">
        <v>392</v>
      </c>
      <c r="C16" s="10" t="s">
        <v>1100</v>
      </c>
      <c r="D16" s="10"/>
      <c r="E16" s="10"/>
      <c r="F16" s="10"/>
      <c r="G16" s="10"/>
      <c r="H16" s="248">
        <v>0.14710000000000001</v>
      </c>
    </row>
    <row r="17" spans="1:8" x14ac:dyDescent="0.25">
      <c r="A17" s="331">
        <v>11</v>
      </c>
      <c r="B17" s="334">
        <v>392</v>
      </c>
      <c r="C17" s="10" t="s">
        <v>1101</v>
      </c>
      <c r="D17" s="10"/>
      <c r="E17" s="10"/>
      <c r="F17" s="10"/>
      <c r="G17" s="10"/>
      <c r="H17" s="248">
        <v>0.2482</v>
      </c>
    </row>
    <row r="18" spans="1:8" x14ac:dyDescent="0.25">
      <c r="A18" s="331">
        <v>12</v>
      </c>
      <c r="B18" s="334">
        <v>392</v>
      </c>
      <c r="C18" s="10" t="s">
        <v>1102</v>
      </c>
      <c r="D18" s="10"/>
      <c r="E18" s="10"/>
      <c r="F18" s="10"/>
      <c r="G18" s="10"/>
      <c r="H18" s="248">
        <v>0.14660000000000001</v>
      </c>
    </row>
    <row r="19" spans="1:8" x14ac:dyDescent="0.25">
      <c r="A19" s="331">
        <v>13</v>
      </c>
      <c r="B19" s="334">
        <v>392</v>
      </c>
      <c r="C19" s="10" t="s">
        <v>1110</v>
      </c>
      <c r="D19" s="10"/>
      <c r="E19" s="10"/>
      <c r="F19" s="10"/>
      <c r="G19" s="10"/>
      <c r="H19" s="248">
        <v>0.109</v>
      </c>
    </row>
    <row r="20" spans="1:8" x14ac:dyDescent="0.25">
      <c r="A20" s="331">
        <v>14</v>
      </c>
      <c r="B20" s="334">
        <v>392</v>
      </c>
      <c r="C20" s="10" t="s">
        <v>1103</v>
      </c>
      <c r="D20" s="10"/>
      <c r="E20" s="10"/>
      <c r="F20" s="10"/>
      <c r="G20" s="10"/>
      <c r="H20" s="248">
        <v>7.1999999999999995E-2</v>
      </c>
    </row>
    <row r="21" spans="1:8" x14ac:dyDescent="0.25">
      <c r="A21" s="331">
        <v>15</v>
      </c>
      <c r="B21" s="334">
        <v>396</v>
      </c>
      <c r="C21" s="10" t="s">
        <v>1104</v>
      </c>
      <c r="D21" s="10"/>
      <c r="E21" s="10"/>
      <c r="F21" s="10"/>
      <c r="G21" s="10"/>
      <c r="H21" s="248">
        <v>0.1368</v>
      </c>
    </row>
    <row r="22" spans="1:8" x14ac:dyDescent="0.25">
      <c r="A22" s="331">
        <v>16</v>
      </c>
      <c r="B22" s="334">
        <v>396</v>
      </c>
      <c r="C22" s="10" t="s">
        <v>1105</v>
      </c>
      <c r="D22" s="10"/>
      <c r="E22" s="10"/>
      <c r="F22" s="10"/>
      <c r="G22" s="10"/>
      <c r="H22" s="248">
        <v>0.1789</v>
      </c>
    </row>
    <row r="23" spans="1:8" x14ac:dyDescent="0.25">
      <c r="A23" s="331">
        <v>17</v>
      </c>
      <c r="B23" s="334">
        <v>396</v>
      </c>
      <c r="C23" s="10" t="s">
        <v>1106</v>
      </c>
      <c r="D23" s="10"/>
      <c r="E23" s="10"/>
      <c r="F23" s="10"/>
      <c r="G23" s="10"/>
      <c r="H23" s="248">
        <v>0.1411</v>
      </c>
    </row>
    <row r="24" spans="1:8" x14ac:dyDescent="0.25">
      <c r="A24" s="331">
        <v>18</v>
      </c>
      <c r="B24" s="334">
        <v>396</v>
      </c>
      <c r="C24" s="10" t="s">
        <v>1107</v>
      </c>
      <c r="D24" s="10"/>
      <c r="E24" s="10"/>
      <c r="F24" s="10"/>
      <c r="G24" s="10"/>
      <c r="H24" s="248">
        <v>0.10290000000000001</v>
      </c>
    </row>
    <row r="25" spans="1:8" x14ac:dyDescent="0.25">
      <c r="A25" s="331">
        <v>19</v>
      </c>
      <c r="B25" s="334">
        <v>396</v>
      </c>
      <c r="C25" s="10" t="s">
        <v>1108</v>
      </c>
      <c r="D25" s="10"/>
      <c r="E25" s="10"/>
      <c r="F25" s="10"/>
      <c r="G25" s="10"/>
      <c r="H25" s="248">
        <v>9.9299999999999999E-2</v>
      </c>
    </row>
    <row r="26" spans="1:8" x14ac:dyDescent="0.25">
      <c r="A26" s="331">
        <v>20</v>
      </c>
      <c r="B26" s="334">
        <v>396</v>
      </c>
      <c r="C26" s="10" t="s">
        <v>1103</v>
      </c>
      <c r="D26" s="10"/>
      <c r="E26" s="10"/>
      <c r="F26" s="10"/>
      <c r="G26" s="10"/>
      <c r="H26" s="248">
        <v>0.1071</v>
      </c>
    </row>
    <row r="27" spans="1:8" x14ac:dyDescent="0.25">
      <c r="A27" s="331">
        <v>21</v>
      </c>
      <c r="B27" s="334">
        <v>396</v>
      </c>
      <c r="C27" s="10" t="s">
        <v>1109</v>
      </c>
      <c r="D27" s="10"/>
      <c r="E27" s="10"/>
      <c r="F27" s="10"/>
      <c r="G27" s="10"/>
      <c r="H27" s="248">
        <v>0.1048</v>
      </c>
    </row>
    <row r="28" spans="1:8" ht="15.75" customHeight="1" x14ac:dyDescent="0.25">
      <c r="A28" s="331">
        <v>22</v>
      </c>
      <c r="B28" s="334">
        <v>396</v>
      </c>
      <c r="C28" s="10" t="s">
        <v>544</v>
      </c>
      <c r="D28" s="10"/>
      <c r="E28" s="10"/>
      <c r="F28" s="10"/>
      <c r="G28" s="10"/>
      <c r="H28" s="248">
        <v>8.2900000000000001E-2</v>
      </c>
    </row>
  </sheetData>
  <mergeCells count="3">
    <mergeCell ref="A1:G1"/>
    <mergeCell ref="A3:G3"/>
    <mergeCell ref="A4:G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7"/>
  <sheetViews>
    <sheetView topLeftCell="A16" zoomScaleNormal="100" workbookViewId="0">
      <selection sqref="A1:H1"/>
    </sheetView>
  </sheetViews>
  <sheetFormatPr defaultRowHeight="15" x14ac:dyDescent="0.25"/>
  <cols>
    <col min="1" max="1" width="6.5703125" style="274" customWidth="1"/>
    <col min="2" max="2" width="32.85546875" style="274" bestFit="1" customWidth="1"/>
    <col min="3" max="3" width="16.5703125" style="274" customWidth="1"/>
    <col min="4" max="4" width="9.85546875" style="274" bestFit="1" customWidth="1"/>
    <col min="5" max="5" width="6.7109375" style="274" customWidth="1"/>
    <col min="6" max="6" width="9" style="274" bestFit="1" customWidth="1"/>
    <col min="7" max="7" width="10.42578125" style="274" bestFit="1" customWidth="1"/>
    <col min="8" max="8" width="10.7109375" style="274" bestFit="1" customWidth="1"/>
    <col min="9" max="9" width="17" style="274" customWidth="1"/>
    <col min="10" max="10" width="10" style="274" bestFit="1" customWidth="1"/>
    <col min="11" max="11" width="9.42578125" style="274" bestFit="1" customWidth="1"/>
    <col min="12" max="12" width="11.28515625" style="274" customWidth="1"/>
    <col min="13" max="13" width="9.42578125" style="274" bestFit="1" customWidth="1"/>
    <col min="14" max="14" width="9" style="274" bestFit="1" customWidth="1"/>
    <col min="15" max="15" width="10" style="274" bestFit="1" customWidth="1"/>
    <col min="16" max="16" width="7.28515625" style="274" bestFit="1" customWidth="1"/>
    <col min="17" max="17" width="9" style="274" bestFit="1" customWidth="1"/>
    <col min="18" max="18" width="10" style="274" bestFit="1" customWidth="1"/>
    <col min="19" max="19" width="9.42578125" style="274" bestFit="1" customWidth="1"/>
    <col min="20" max="20" width="10" style="274" bestFit="1" customWidth="1"/>
    <col min="21" max="21" width="7.28515625" style="274" bestFit="1" customWidth="1"/>
    <col min="22" max="22" width="9.42578125" style="274" bestFit="1" customWidth="1"/>
    <col min="23" max="23" width="10" style="274" bestFit="1" customWidth="1"/>
    <col min="24" max="25" width="9.140625" style="274"/>
    <col min="26" max="26" width="10" style="274" bestFit="1" customWidth="1"/>
    <col min="27" max="28" width="9.140625" style="274"/>
    <col min="29" max="29" width="10" style="274" bestFit="1" customWidth="1"/>
    <col min="30" max="33" width="9.140625" style="274"/>
    <col min="34" max="34" width="10.7109375" style="274" bestFit="1" customWidth="1"/>
    <col min="35" max="35" width="11.5703125" style="274" bestFit="1" customWidth="1"/>
    <col min="36" max="36" width="10" style="274" bestFit="1" customWidth="1"/>
    <col min="37" max="37" width="9.140625" style="274"/>
    <col min="38" max="38" width="10" style="274" customWidth="1"/>
    <col min="39" max="39" width="10.28515625" style="274" customWidth="1"/>
    <col min="40" max="40" width="10.42578125" style="274" customWidth="1"/>
    <col min="41" max="41" width="9.140625" style="274"/>
    <col min="42" max="42" width="10" style="274" bestFit="1" customWidth="1"/>
    <col min="43" max="43" width="11.5703125" style="274" bestFit="1" customWidth="1"/>
    <col min="44" max="44" width="10" style="274" bestFit="1" customWidth="1"/>
    <col min="45" max="16384" width="9.140625" style="274"/>
  </cols>
  <sheetData>
    <row r="1" spans="1:44" x14ac:dyDescent="0.25">
      <c r="A1" s="359" t="s">
        <v>0</v>
      </c>
      <c r="B1" s="359"/>
      <c r="C1" s="359"/>
      <c r="D1" s="359"/>
      <c r="E1" s="359"/>
      <c r="F1" s="359"/>
      <c r="G1" s="359"/>
      <c r="H1" s="359"/>
      <c r="I1" s="278" t="s">
        <v>406</v>
      </c>
    </row>
    <row r="2" spans="1:44" x14ac:dyDescent="0.25">
      <c r="A2" s="359" t="s">
        <v>545</v>
      </c>
      <c r="B2" s="359"/>
      <c r="C2" s="359"/>
      <c r="D2" s="359"/>
      <c r="E2" s="359"/>
      <c r="F2" s="359"/>
      <c r="G2" s="359"/>
      <c r="H2" s="359"/>
      <c r="I2" s="278" t="s">
        <v>535</v>
      </c>
    </row>
    <row r="3" spans="1:44" x14ac:dyDescent="0.25">
      <c r="A3" s="359" t="s">
        <v>914</v>
      </c>
      <c r="B3" s="359"/>
      <c r="C3" s="359"/>
      <c r="D3" s="359"/>
      <c r="E3" s="359"/>
      <c r="F3" s="359"/>
      <c r="G3" s="359"/>
      <c r="H3" s="359"/>
      <c r="I3" s="10"/>
    </row>
    <row r="4" spans="1:44" x14ac:dyDescent="0.25">
      <c r="A4" s="359"/>
      <c r="B4" s="359"/>
      <c r="C4" s="359"/>
      <c r="D4" s="359"/>
      <c r="E4" s="359"/>
      <c r="F4" s="359"/>
      <c r="G4" s="359"/>
      <c r="H4" s="359"/>
    </row>
    <row r="5" spans="1:44" x14ac:dyDescent="0.25">
      <c r="H5" s="278"/>
    </row>
    <row r="6" spans="1:44" x14ac:dyDescent="0.25">
      <c r="B6" s="15"/>
      <c r="F6" s="49"/>
      <c r="H6" s="49"/>
    </row>
    <row r="7" spans="1:44" x14ac:dyDescent="0.25">
      <c r="B7" s="30"/>
      <c r="C7" s="31"/>
      <c r="D7" s="31"/>
      <c r="E7" s="31"/>
      <c r="F7" s="31" t="s">
        <v>547</v>
      </c>
      <c r="G7" s="31"/>
      <c r="H7" s="31" t="s">
        <v>548</v>
      </c>
      <c r="I7" s="32" t="s">
        <v>549</v>
      </c>
      <c r="J7" s="31"/>
      <c r="K7" s="31"/>
      <c r="L7" s="31"/>
      <c r="M7" s="31"/>
      <c r="N7" s="32" t="s">
        <v>549</v>
      </c>
      <c r="O7" s="31"/>
      <c r="P7" s="31"/>
      <c r="Q7" s="32" t="s">
        <v>549</v>
      </c>
      <c r="R7" s="31"/>
      <c r="S7" s="31"/>
      <c r="T7" s="31"/>
      <c r="U7" s="31"/>
      <c r="V7" s="245"/>
      <c r="W7" s="245"/>
      <c r="AF7" s="31" t="s">
        <v>548</v>
      </c>
    </row>
    <row r="8" spans="1:44" x14ac:dyDescent="0.25">
      <c r="B8" s="245"/>
      <c r="C8" s="31"/>
      <c r="D8" s="31"/>
      <c r="E8" s="31"/>
      <c r="F8" s="32" t="s">
        <v>550</v>
      </c>
      <c r="G8" s="32" t="s">
        <v>547</v>
      </c>
      <c r="H8" s="32" t="s">
        <v>547</v>
      </c>
      <c r="I8" s="32" t="s">
        <v>551</v>
      </c>
      <c r="J8" s="31"/>
      <c r="K8" s="32" t="s">
        <v>552</v>
      </c>
      <c r="L8" s="31"/>
      <c r="M8" s="32" t="s">
        <v>552</v>
      </c>
      <c r="N8" s="31" t="s">
        <v>551</v>
      </c>
      <c r="O8" s="32"/>
      <c r="P8" s="32" t="s">
        <v>547</v>
      </c>
      <c r="Q8" s="31" t="s">
        <v>551</v>
      </c>
      <c r="R8" s="31"/>
      <c r="S8" s="32" t="s">
        <v>552</v>
      </c>
      <c r="T8" s="31"/>
      <c r="U8" s="32" t="s">
        <v>547</v>
      </c>
      <c r="V8" s="32" t="s">
        <v>552</v>
      </c>
      <c r="W8" s="31"/>
      <c r="X8" s="32" t="s">
        <v>547</v>
      </c>
      <c r="Y8" s="32" t="s">
        <v>552</v>
      </c>
      <c r="Z8" s="31"/>
      <c r="AA8" s="32" t="s">
        <v>547</v>
      </c>
      <c r="AB8" s="32" t="s">
        <v>552</v>
      </c>
      <c r="AC8" s="31"/>
      <c r="AD8" s="32" t="s">
        <v>547</v>
      </c>
      <c r="AE8" s="32" t="s">
        <v>547</v>
      </c>
      <c r="AF8" s="32" t="s">
        <v>547</v>
      </c>
      <c r="AG8" s="32" t="s">
        <v>552</v>
      </c>
      <c r="AH8" s="31"/>
      <c r="AI8" s="32" t="s">
        <v>552</v>
      </c>
      <c r="AJ8" s="32"/>
      <c r="AK8" s="280" t="s">
        <v>552</v>
      </c>
      <c r="AL8" s="281"/>
      <c r="AM8" s="280" t="s">
        <v>552</v>
      </c>
      <c r="AN8" s="281"/>
      <c r="AO8" s="280" t="s">
        <v>552</v>
      </c>
      <c r="AP8" s="281"/>
      <c r="AQ8" s="296" t="s">
        <v>552</v>
      </c>
      <c r="AR8" s="297"/>
    </row>
    <row r="9" spans="1:44" x14ac:dyDescent="0.25">
      <c r="B9" s="245"/>
      <c r="C9" s="31"/>
      <c r="D9" s="31"/>
      <c r="E9" s="33" t="s">
        <v>553</v>
      </c>
      <c r="F9" s="32" t="s">
        <v>554</v>
      </c>
      <c r="G9" s="32" t="s">
        <v>555</v>
      </c>
      <c r="H9" s="32" t="s">
        <v>555</v>
      </c>
      <c r="I9" s="32" t="s">
        <v>554</v>
      </c>
      <c r="J9" s="32" t="s">
        <v>556</v>
      </c>
      <c r="K9" s="32" t="s">
        <v>557</v>
      </c>
      <c r="L9" s="32" t="s">
        <v>556</v>
      </c>
      <c r="M9" s="32" t="s">
        <v>557</v>
      </c>
      <c r="N9" s="29">
        <f>L11</f>
        <v>33603</v>
      </c>
      <c r="O9" s="32" t="s">
        <v>556</v>
      </c>
      <c r="P9" s="32" t="s">
        <v>555</v>
      </c>
      <c r="Q9" s="29">
        <f>O11</f>
        <v>38352</v>
      </c>
      <c r="R9" s="32" t="s">
        <v>556</v>
      </c>
      <c r="S9" s="32" t="s">
        <v>557</v>
      </c>
      <c r="T9" s="32" t="s">
        <v>556</v>
      </c>
      <c r="U9" s="32" t="s">
        <v>555</v>
      </c>
      <c r="V9" s="32" t="s">
        <v>557</v>
      </c>
      <c r="W9" s="32" t="s">
        <v>556</v>
      </c>
      <c r="X9" s="32" t="s">
        <v>555</v>
      </c>
      <c r="Y9" s="32" t="s">
        <v>557</v>
      </c>
      <c r="Z9" s="32" t="s">
        <v>556</v>
      </c>
      <c r="AA9" s="32" t="s">
        <v>555</v>
      </c>
      <c r="AB9" s="32" t="s">
        <v>557</v>
      </c>
      <c r="AC9" s="32" t="s">
        <v>556</v>
      </c>
      <c r="AD9" s="32" t="s">
        <v>555</v>
      </c>
      <c r="AE9" s="32" t="s">
        <v>555</v>
      </c>
      <c r="AF9" s="32" t="s">
        <v>555</v>
      </c>
      <c r="AG9" s="32" t="s">
        <v>557</v>
      </c>
      <c r="AH9" s="32" t="s">
        <v>556</v>
      </c>
      <c r="AI9" s="32" t="s">
        <v>557</v>
      </c>
      <c r="AJ9" s="32" t="s">
        <v>556</v>
      </c>
      <c r="AK9" s="280" t="s">
        <v>557</v>
      </c>
      <c r="AL9" s="280" t="s">
        <v>556</v>
      </c>
      <c r="AM9" s="280" t="s">
        <v>557</v>
      </c>
      <c r="AN9" s="280" t="s">
        <v>556</v>
      </c>
      <c r="AO9" s="280" t="s">
        <v>557</v>
      </c>
      <c r="AP9" s="280" t="s">
        <v>556</v>
      </c>
      <c r="AQ9" s="296" t="s">
        <v>557</v>
      </c>
      <c r="AR9" s="296" t="s">
        <v>556</v>
      </c>
    </row>
    <row r="10" spans="1:44" x14ac:dyDescent="0.25">
      <c r="B10" s="245"/>
      <c r="C10" s="33"/>
      <c r="D10" s="33"/>
      <c r="E10" s="33" t="s">
        <v>558</v>
      </c>
      <c r="F10" s="33" t="s">
        <v>559</v>
      </c>
      <c r="G10" s="32" t="s">
        <v>560</v>
      </c>
      <c r="H10" s="32" t="s">
        <v>561</v>
      </c>
      <c r="I10" s="32" t="s">
        <v>562</v>
      </c>
      <c r="J10" s="32" t="s">
        <v>547</v>
      </c>
      <c r="K10" s="31" t="s">
        <v>561</v>
      </c>
      <c r="L10" s="32" t="s">
        <v>547</v>
      </c>
      <c r="M10" s="32" t="s">
        <v>563</v>
      </c>
      <c r="N10" s="32" t="s">
        <v>562</v>
      </c>
      <c r="O10" s="32" t="s">
        <v>547</v>
      </c>
      <c r="P10" s="32" t="s">
        <v>560</v>
      </c>
      <c r="Q10" s="32" t="s">
        <v>562</v>
      </c>
      <c r="R10" s="32" t="s">
        <v>547</v>
      </c>
      <c r="S10" s="31" t="s">
        <v>561</v>
      </c>
      <c r="T10" s="32" t="s">
        <v>547</v>
      </c>
      <c r="U10" s="32" t="s">
        <v>560</v>
      </c>
      <c r="V10" s="31" t="s">
        <v>561</v>
      </c>
      <c r="W10" s="32" t="s">
        <v>547</v>
      </c>
      <c r="X10" s="32" t="s">
        <v>560</v>
      </c>
      <c r="Y10" s="31" t="s">
        <v>561</v>
      </c>
      <c r="Z10" s="32" t="s">
        <v>547</v>
      </c>
      <c r="AA10" s="32" t="s">
        <v>560</v>
      </c>
      <c r="AB10" s="31" t="s">
        <v>561</v>
      </c>
      <c r="AC10" s="32" t="s">
        <v>547</v>
      </c>
      <c r="AD10" s="32" t="s">
        <v>560</v>
      </c>
      <c r="AE10" s="32" t="s">
        <v>560</v>
      </c>
      <c r="AF10" s="32" t="s">
        <v>561</v>
      </c>
      <c r="AG10" s="31" t="s">
        <v>561</v>
      </c>
      <c r="AH10" s="32" t="s">
        <v>547</v>
      </c>
      <c r="AI10" s="31" t="s">
        <v>561</v>
      </c>
      <c r="AJ10" s="31" t="s">
        <v>547</v>
      </c>
      <c r="AK10" s="281" t="s">
        <v>561</v>
      </c>
      <c r="AL10" s="280" t="s">
        <v>547</v>
      </c>
      <c r="AM10" s="281" t="s">
        <v>561</v>
      </c>
      <c r="AN10" s="280" t="s">
        <v>547</v>
      </c>
      <c r="AO10" s="281" t="s">
        <v>561</v>
      </c>
      <c r="AP10" s="280" t="s">
        <v>547</v>
      </c>
      <c r="AQ10" s="297" t="s">
        <v>561</v>
      </c>
      <c r="AR10" s="296" t="s">
        <v>547</v>
      </c>
    </row>
    <row r="11" spans="1:44" ht="34.5" x14ac:dyDescent="0.25">
      <c r="B11" s="34" t="s">
        <v>538</v>
      </c>
      <c r="C11" s="35" t="s">
        <v>601</v>
      </c>
      <c r="D11" s="35" t="s">
        <v>602</v>
      </c>
      <c r="E11" s="36" t="s">
        <v>564</v>
      </c>
      <c r="F11" s="37">
        <f>DATE(91,11,12)</f>
        <v>33554</v>
      </c>
      <c r="G11" s="37">
        <f>DATE(91,11,13)</f>
        <v>33555</v>
      </c>
      <c r="H11" s="37">
        <f>DATE(91,12,31)</f>
        <v>33603</v>
      </c>
      <c r="I11" s="37">
        <f>DATE(90,12,31)</f>
        <v>33238</v>
      </c>
      <c r="J11" s="37">
        <f>I11</f>
        <v>33238</v>
      </c>
      <c r="K11" s="37">
        <f>DATE(91,12,31)</f>
        <v>33603</v>
      </c>
      <c r="L11" s="37">
        <f>K11</f>
        <v>33603</v>
      </c>
      <c r="M11" s="37">
        <f>L11+1</f>
        <v>33604</v>
      </c>
      <c r="N11" s="37">
        <f>DATE(2004,12,31)</f>
        <v>38352</v>
      </c>
      <c r="O11" s="37">
        <f>DATE(2004,12,31)</f>
        <v>38352</v>
      </c>
      <c r="P11" s="37">
        <f>DATE(2005,1,1)</f>
        <v>38353</v>
      </c>
      <c r="Q11" s="37">
        <f>T11-366</f>
        <v>39447</v>
      </c>
      <c r="R11" s="37">
        <f>Q11</f>
        <v>39447</v>
      </c>
      <c r="S11" s="37">
        <f>T11</f>
        <v>39813</v>
      </c>
      <c r="T11" s="37">
        <f>DATE(2008,12,31)</f>
        <v>39813</v>
      </c>
      <c r="U11" s="37">
        <f>DATE(2009,1,1)</f>
        <v>39814</v>
      </c>
      <c r="V11" s="37">
        <f>W11</f>
        <v>40178</v>
      </c>
      <c r="W11" s="37">
        <f>DATE(2009,12,31)</f>
        <v>40178</v>
      </c>
      <c r="X11" s="37">
        <f>DATE(2010,1,1)</f>
        <v>40179</v>
      </c>
      <c r="Y11" s="37">
        <f>DATE(2010,12,31)</f>
        <v>40543</v>
      </c>
      <c r="Z11" s="37">
        <f>DATE(2010,12,31)</f>
        <v>40543</v>
      </c>
      <c r="AA11" s="37">
        <f>DATE(2011,1,1)</f>
        <v>40544</v>
      </c>
      <c r="AB11" s="37">
        <f>DATE(2011,12,31)</f>
        <v>40908</v>
      </c>
      <c r="AC11" s="37">
        <f>DATE(2011,12,31)</f>
        <v>40908</v>
      </c>
      <c r="AD11" s="37">
        <f>DATE(2012,1,1)</f>
        <v>40909</v>
      </c>
      <c r="AE11" s="37">
        <v>41000</v>
      </c>
      <c r="AF11" s="37"/>
      <c r="AG11" s="37">
        <f>DATE(2012,12,31)</f>
        <v>41274</v>
      </c>
      <c r="AH11" s="37">
        <f>DATE(2012,12,31)</f>
        <v>41274</v>
      </c>
      <c r="AI11" s="37">
        <v>41639</v>
      </c>
      <c r="AJ11" s="37">
        <v>41639</v>
      </c>
      <c r="AK11" s="282">
        <v>42004</v>
      </c>
      <c r="AL11" s="283">
        <v>42004</v>
      </c>
      <c r="AM11" s="282">
        <v>42004</v>
      </c>
      <c r="AN11" s="283">
        <v>42369</v>
      </c>
      <c r="AO11" s="282">
        <f>+AP11</f>
        <v>42735</v>
      </c>
      <c r="AP11" s="283">
        <v>42735</v>
      </c>
      <c r="AQ11" s="282">
        <v>43100</v>
      </c>
      <c r="AR11" s="283">
        <v>43100</v>
      </c>
    </row>
    <row r="12" spans="1:44" x14ac:dyDescent="0.25">
      <c r="B12" s="245"/>
      <c r="C12" s="245"/>
      <c r="D12" s="245"/>
      <c r="E12" s="245"/>
      <c r="F12" s="245"/>
      <c r="G12" s="245"/>
      <c r="H12" s="245"/>
      <c r="I12" s="245"/>
      <c r="J12" s="38" t="s">
        <v>565</v>
      </c>
      <c r="K12" s="38" t="s">
        <v>566</v>
      </c>
      <c r="L12" s="38" t="s">
        <v>567</v>
      </c>
      <c r="M12" s="38" t="s">
        <v>568</v>
      </c>
      <c r="N12" s="38"/>
      <c r="O12" s="38" t="s">
        <v>569</v>
      </c>
      <c r="P12" s="245"/>
      <c r="Q12" s="38"/>
      <c r="R12" s="38" t="s">
        <v>570</v>
      </c>
      <c r="S12" s="39" t="s">
        <v>571</v>
      </c>
      <c r="T12" s="38" t="s">
        <v>572</v>
      </c>
      <c r="U12" s="245"/>
      <c r="V12" s="39" t="s">
        <v>573</v>
      </c>
      <c r="W12" s="38" t="s">
        <v>574</v>
      </c>
      <c r="X12" s="245"/>
      <c r="Y12" s="39" t="s">
        <v>846</v>
      </c>
      <c r="Z12" s="38" t="s">
        <v>847</v>
      </c>
      <c r="AA12" s="245"/>
      <c r="AB12" s="39" t="s">
        <v>963</v>
      </c>
      <c r="AC12" s="38" t="s">
        <v>964</v>
      </c>
      <c r="AD12" s="245"/>
      <c r="AE12" s="245"/>
      <c r="AF12" s="245"/>
      <c r="AG12" s="31" t="s">
        <v>1049</v>
      </c>
      <c r="AH12" s="38" t="s">
        <v>1048</v>
      </c>
      <c r="AK12" s="284" t="s">
        <v>1141</v>
      </c>
      <c r="AL12" s="284" t="s">
        <v>1142</v>
      </c>
      <c r="AM12" s="284" t="s">
        <v>1191</v>
      </c>
      <c r="AN12" s="284" t="s">
        <v>1192</v>
      </c>
      <c r="AO12" s="284" t="s">
        <v>1248</v>
      </c>
      <c r="AP12" s="284" t="s">
        <v>1249</v>
      </c>
      <c r="AQ12" s="295" t="s">
        <v>1258</v>
      </c>
      <c r="AR12" s="295" t="s">
        <v>1259</v>
      </c>
    </row>
    <row r="13" spans="1:44" x14ac:dyDescent="0.2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44" x14ac:dyDescent="0.25">
      <c r="B14" s="30" t="s">
        <v>575</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J14" s="246"/>
      <c r="AK14" s="246"/>
      <c r="AM14" s="246"/>
    </row>
    <row r="15" spans="1:44" x14ac:dyDescent="0.25">
      <c r="B15" s="30" t="s">
        <v>576</v>
      </c>
      <c r="C15" s="224">
        <v>5954751</v>
      </c>
      <c r="D15" s="40">
        <f>DATE(81,12,1)</f>
        <v>29921</v>
      </c>
      <c r="E15" s="41">
        <f>ROUND(1/12,3)</f>
        <v>8.3000000000000004E-2</v>
      </c>
      <c r="F15" s="42">
        <v>3.5700000000000003E-2</v>
      </c>
      <c r="G15" s="42">
        <v>3.09E-2</v>
      </c>
      <c r="H15" s="300">
        <f>(ROUND(F15*(10/12+(12/30*1/12)),3)+ROUND(G15*((18/30*1/12)+1/12),3))</f>
        <v>3.5000000000000003E-2</v>
      </c>
      <c r="I15" s="43">
        <v>9.0830000000000002</v>
      </c>
      <c r="J15" s="299">
        <f>I15*F15*C15</f>
        <v>1930906.0189881001</v>
      </c>
      <c r="K15" s="299">
        <f>H15*C15</f>
        <v>208416.28500000003</v>
      </c>
      <c r="L15" s="299">
        <f>SUM(J15:K15)</f>
        <v>2139322.3039881</v>
      </c>
      <c r="M15" s="299">
        <f>C15*G15</f>
        <v>184001.80590000001</v>
      </c>
      <c r="N15" s="43">
        <v>13</v>
      </c>
      <c r="O15" s="299">
        <f>L15+(M15*N15)</f>
        <v>4531345.7806880996</v>
      </c>
      <c r="P15" s="42">
        <v>1.9699999999999999E-2</v>
      </c>
      <c r="Q15" s="43">
        <v>3</v>
      </c>
      <c r="R15" s="299">
        <f>IF(($C15*$P15*$Q15+$O15)&gt;$C15,$C15,($C15*$P15*$Q15+$O15))</f>
        <v>4883271.5647880994</v>
      </c>
      <c r="S15" s="299">
        <f>T15-R15</f>
        <v>117308.59470000025</v>
      </c>
      <c r="T15" s="299">
        <f>IF(($C15*$P15+$R15)&gt;$C15,$C15,($C15*$P15+$R15))</f>
        <v>5000580.1594880996</v>
      </c>
      <c r="U15" s="42">
        <v>2.35E-2</v>
      </c>
      <c r="V15" s="298">
        <f>W15-T15</f>
        <v>139936.64850000013</v>
      </c>
      <c r="W15" s="299">
        <f>IF(($C15*$U15+$T15)&gt;$C15,$C15,($C15*$U15+$T15))</f>
        <v>5140516.8079880998</v>
      </c>
      <c r="X15" s="42">
        <v>2.35E-2</v>
      </c>
      <c r="Y15" s="298">
        <f>Z15-W15</f>
        <v>139936.64850000013</v>
      </c>
      <c r="Z15" s="299">
        <f>IF(($C15*$X15+$W15)&gt;$C15,$C15,($C15*$X15+$W15))</f>
        <v>5280453.4564880999</v>
      </c>
      <c r="AA15" s="42">
        <v>2.35E-2</v>
      </c>
      <c r="AB15" s="298">
        <f>AC15-Z15</f>
        <v>139936.64850000013</v>
      </c>
      <c r="AC15" s="299">
        <f>IF(($C15*$AA15+$Z15)&gt;$C15,$C15,($C15*$AA15+$Z15))</f>
        <v>5420390.1049881</v>
      </c>
      <c r="AD15" s="307">
        <v>2.35E-2</v>
      </c>
      <c r="AE15" s="307">
        <v>2.7199999999999998E-2</v>
      </c>
      <c r="AF15" s="300">
        <f>((AD15*3)+(AE15*9))/12</f>
        <v>2.6275000000000003E-2</v>
      </c>
      <c r="AG15" s="298">
        <v>156461</v>
      </c>
      <c r="AH15" s="299">
        <f>IF(($C15*$AF15+$AC15)&gt;$C15,$C15,($C15*$AF15+$AC15))</f>
        <v>5576851.1875131</v>
      </c>
      <c r="AI15" s="299">
        <f>AJ15-AH15</f>
        <v>161969.22719999962</v>
      </c>
      <c r="AJ15" s="299">
        <f>IF(($C15*$AE15+$AH15)&gt;$C15,$C15,($C15*$AE15+$AH15))</f>
        <v>5738820.4147130996</v>
      </c>
      <c r="AK15" s="299">
        <f>AL15-AJ15</f>
        <v>161969.22719999962</v>
      </c>
      <c r="AL15" s="299">
        <f>IF(($C15*$AE15+AJ15)&gt;$C15,$C15,($C15*$AE15+AJ15))</f>
        <v>5900789.6419130992</v>
      </c>
      <c r="AM15" s="299">
        <f>AN15-AL15</f>
        <v>53961.358086900786</v>
      </c>
      <c r="AN15" s="299">
        <f>IF(($C15*$AE15+AL15)&gt;$C15,$C15,($C15*$AE15+AL15))</f>
        <v>5954751</v>
      </c>
      <c r="AO15" s="298">
        <f>+AP15-AN15</f>
        <v>0</v>
      </c>
      <c r="AP15" s="298">
        <f>IF(($C15*$AE15+AN15)&gt;$C15,$C15,($C15*$AE15+AN15))</f>
        <v>5954751</v>
      </c>
      <c r="AQ15" s="298">
        <f>+AR15-AP15</f>
        <v>0</v>
      </c>
      <c r="AR15" s="298">
        <f>IF(($C15*$AE15+AP15)&gt;$C15,$C15,($C15*$AE15+AP15))</f>
        <v>5954751</v>
      </c>
    </row>
    <row r="16" spans="1:44" x14ac:dyDescent="0.25">
      <c r="B16" s="30" t="s">
        <v>577</v>
      </c>
      <c r="C16" s="224">
        <v>35427336</v>
      </c>
      <c r="D16" s="40">
        <f>DATE(84,3,1)</f>
        <v>30742</v>
      </c>
      <c r="E16" s="41">
        <f>ROUND(10/12,3)</f>
        <v>0.83299999999999996</v>
      </c>
      <c r="F16" s="300">
        <f t="shared" ref="F16:H17" si="0">F15</f>
        <v>3.5700000000000003E-2</v>
      </c>
      <c r="G16" s="300">
        <f t="shared" si="0"/>
        <v>3.09E-2</v>
      </c>
      <c r="H16" s="300">
        <f t="shared" si="0"/>
        <v>3.5000000000000003E-2</v>
      </c>
      <c r="I16" s="43">
        <v>6.8330000000000002</v>
      </c>
      <c r="J16" s="299">
        <f>I16*F16*C16</f>
        <v>8642077.0319015998</v>
      </c>
      <c r="K16" s="299">
        <f>H16*C16</f>
        <v>1239956.76</v>
      </c>
      <c r="L16" s="299">
        <f>SUM(J16:K16)</f>
        <v>9882033.7919015996</v>
      </c>
      <c r="M16" s="299">
        <f>C16*G16</f>
        <v>1094704.6824</v>
      </c>
      <c r="N16" s="43">
        <v>13</v>
      </c>
      <c r="O16" s="299">
        <f>L16+(M16*N16)</f>
        <v>24113194.663101599</v>
      </c>
      <c r="P16" s="300">
        <f>P15</f>
        <v>1.9699999999999999E-2</v>
      </c>
      <c r="Q16" s="43">
        <v>3</v>
      </c>
      <c r="R16" s="299">
        <f>IF(($C16*$P16*$Q16+$O16)&gt;$C16,$C16,($C16*$P16*$Q16+$O16))</f>
        <v>26206950.220701598</v>
      </c>
      <c r="S16" s="299">
        <f>T16-R16</f>
        <v>697918.51920000091</v>
      </c>
      <c r="T16" s="299">
        <f>IF(($C16*$P16+$R16)&gt;$C16,$C16,($C16*$P16+$R16))</f>
        <v>26904868.739901599</v>
      </c>
      <c r="U16" s="300">
        <f>U15</f>
        <v>2.35E-2</v>
      </c>
      <c r="V16" s="298">
        <f>W16-T16</f>
        <v>832542.39600000158</v>
      </c>
      <c r="W16" s="299">
        <f>IF(($C16*$U16+$T16)&gt;$C16,$C16,($C16*$U16+$T16))</f>
        <v>27737411.1359016</v>
      </c>
      <c r="X16" s="300">
        <f>X15</f>
        <v>2.35E-2</v>
      </c>
      <c r="Y16" s="298">
        <f>Z16-W16</f>
        <v>832542.39600000158</v>
      </c>
      <c r="Z16" s="299">
        <f>IF(($C16*$X16+$W16)&gt;$C16,$C16,($C16*$X16+$W16))</f>
        <v>28569953.531901602</v>
      </c>
      <c r="AA16" s="300">
        <f>AA15</f>
        <v>2.35E-2</v>
      </c>
      <c r="AB16" s="298">
        <f>AC16-Z16</f>
        <v>832542.39600000158</v>
      </c>
      <c r="AC16" s="299">
        <f>IF(($C16*$AA16+$Z16)&gt;$C16,$C16,($C16*$AA16+$Z16))</f>
        <v>29402495.927901603</v>
      </c>
      <c r="AD16" s="300">
        <f>AD15</f>
        <v>2.35E-2</v>
      </c>
      <c r="AE16" s="307">
        <v>2.7199999999999998E-2</v>
      </c>
      <c r="AF16" s="300">
        <f t="shared" ref="AF16:AF17" si="1">((AD16*3)+(AE16*9))/12</f>
        <v>2.6275000000000003E-2</v>
      </c>
      <c r="AG16" s="298">
        <v>930853</v>
      </c>
      <c r="AH16" s="299">
        <f t="shared" ref="AH16:AH17" si="2">IF(($C16*$AF16+$AC16)&gt;$C16,$C16,($C16*$AF16+$AC16))</f>
        <v>30333349.181301605</v>
      </c>
      <c r="AI16" s="299">
        <f t="shared" ref="AI16:AI17" si="3">AJ16-AH16</f>
        <v>963623.53920000046</v>
      </c>
      <c r="AJ16" s="299">
        <f t="shared" ref="AJ16:AJ18" si="4">IF(($C16*$AE16+$AH16)&gt;$C16,$C16,($C16*$AE16+$AH16))</f>
        <v>31296972.720501605</v>
      </c>
      <c r="AK16" s="299">
        <f t="shared" ref="AK16:AK19" si="5">AL16-AJ16</f>
        <v>963623.53920000046</v>
      </c>
      <c r="AL16" s="299">
        <f t="shared" ref="AL16:AL19" si="6">IF(($C16*$AE16+AJ16)&gt;$C16,$C16,($C16*$AE16+AJ16))</f>
        <v>32260596.259701606</v>
      </c>
      <c r="AM16" s="299">
        <f t="shared" ref="AM16:AM20" si="7">AN16-AL16</f>
        <v>963623.53920000046</v>
      </c>
      <c r="AN16" s="299">
        <f t="shared" ref="AN16:AN20" si="8">IF(($C16*$AE16+AL16)&gt;$C16,$C16,($C16*$AE16+AL16))</f>
        <v>33224219.798901606</v>
      </c>
      <c r="AO16" s="298">
        <f t="shared" ref="AO16:AO17" si="9">+AP16-AN16</f>
        <v>963623.53919999674</v>
      </c>
      <c r="AP16" s="298">
        <f t="shared" ref="AP16:AP17" si="10">IF(($C16*$AE16+AN16)&gt;$C16,$C16,($C16*$AE16+AN16))</f>
        <v>34187843.338101603</v>
      </c>
      <c r="AQ16" s="298">
        <f t="shared" ref="AQ16:AQ21" si="11">+AR16-AP16</f>
        <v>963623.53920000046</v>
      </c>
      <c r="AR16" s="298">
        <f t="shared" ref="AR16:AR21" si="12">IF(($C16*$AE16+AP16)&gt;$C16,$C16,($C16*$AE16+AP16))</f>
        <v>35151466.877301604</v>
      </c>
    </row>
    <row r="17" spans="2:44" x14ac:dyDescent="0.25">
      <c r="B17" s="30" t="s">
        <v>578</v>
      </c>
      <c r="C17" s="224">
        <v>815183</v>
      </c>
      <c r="D17" s="40">
        <f>DATE(86,9,13)</f>
        <v>31668</v>
      </c>
      <c r="E17" s="41">
        <f>ROUND(18/30*1/12,3)+3/12</f>
        <v>0.3</v>
      </c>
      <c r="F17" s="300">
        <f t="shared" si="0"/>
        <v>3.5700000000000003E-2</v>
      </c>
      <c r="G17" s="300">
        <f t="shared" si="0"/>
        <v>3.09E-2</v>
      </c>
      <c r="H17" s="300">
        <f t="shared" si="0"/>
        <v>3.5000000000000003E-2</v>
      </c>
      <c r="I17" s="43">
        <v>4.3</v>
      </c>
      <c r="J17" s="299">
        <f>I17*F17*C17</f>
        <v>125138.74233000001</v>
      </c>
      <c r="K17" s="299">
        <f>H17*C17</f>
        <v>28531.405000000002</v>
      </c>
      <c r="L17" s="299">
        <f>SUM(J17:K17)</f>
        <v>153670.14733000001</v>
      </c>
      <c r="M17" s="299">
        <f>C17*G17</f>
        <v>25189.154699999999</v>
      </c>
      <c r="N17" s="43">
        <v>13</v>
      </c>
      <c r="O17" s="299">
        <f>L17+(M17*N17)</f>
        <v>481129.15843000001</v>
      </c>
      <c r="P17" s="300">
        <f>P16</f>
        <v>1.9699999999999999E-2</v>
      </c>
      <c r="Q17" s="43">
        <v>3</v>
      </c>
      <c r="R17" s="299">
        <f>IF(($C17*$P17*$Q17+$O17)&gt;$C17,$C17,($C17*$P17*$Q17+$O17))</f>
        <v>529306.47372999997</v>
      </c>
      <c r="S17" s="299">
        <f>T17-R17</f>
        <v>16059.105100000044</v>
      </c>
      <c r="T17" s="299">
        <f>IF(($C17*$P17+$R17)&gt;$C17,$C17,($C17*$P17+$R17))</f>
        <v>545365.57883000001</v>
      </c>
      <c r="U17" s="300">
        <f>U16</f>
        <v>2.35E-2</v>
      </c>
      <c r="V17" s="298">
        <f>W17-T17</f>
        <v>19156.800500000012</v>
      </c>
      <c r="W17" s="299">
        <f>IF(($C17*$U17+$T17)&gt;$C17,$C17,($C17*$U17+$T17))</f>
        <v>564522.37933000003</v>
      </c>
      <c r="X17" s="300">
        <f>X16</f>
        <v>2.35E-2</v>
      </c>
      <c r="Y17" s="298">
        <f>Z17-W17</f>
        <v>19156.800500000012</v>
      </c>
      <c r="Z17" s="299">
        <f>IF(($C17*$X17+$W17)&gt;$C17,$C17,($C17*$X17+$W17))</f>
        <v>583679.17983000004</v>
      </c>
      <c r="AA17" s="300">
        <f>AA16</f>
        <v>2.35E-2</v>
      </c>
      <c r="AB17" s="298">
        <f>AC17-Z17</f>
        <v>19156.800500000012</v>
      </c>
      <c r="AC17" s="299">
        <f>IF(($C17*$AA17+$Z17)&gt;$C17,$C17,($C17*$AA17+$Z17))</f>
        <v>602835.98033000005</v>
      </c>
      <c r="AD17" s="300">
        <f>AD16</f>
        <v>2.35E-2</v>
      </c>
      <c r="AE17" s="307">
        <v>2.7199999999999998E-2</v>
      </c>
      <c r="AF17" s="300">
        <f t="shared" si="1"/>
        <v>2.6275000000000003E-2</v>
      </c>
      <c r="AG17" s="298">
        <v>21419</v>
      </c>
      <c r="AH17" s="299">
        <f t="shared" si="2"/>
        <v>624254.91365500004</v>
      </c>
      <c r="AI17" s="299">
        <f t="shared" si="3"/>
        <v>22172.977599999984</v>
      </c>
      <c r="AJ17" s="299">
        <f t="shared" si="4"/>
        <v>646427.89125500002</v>
      </c>
      <c r="AK17" s="299">
        <f t="shared" si="5"/>
        <v>22172.977599999984</v>
      </c>
      <c r="AL17" s="299">
        <f t="shared" si="6"/>
        <v>668600.86885500001</v>
      </c>
      <c r="AM17" s="299">
        <f t="shared" si="7"/>
        <v>22172.977599999984</v>
      </c>
      <c r="AN17" s="299">
        <f t="shared" si="8"/>
        <v>690773.84645499999</v>
      </c>
      <c r="AO17" s="298">
        <f t="shared" si="9"/>
        <v>22172.977599999984</v>
      </c>
      <c r="AP17" s="298">
        <f t="shared" si="10"/>
        <v>712946.82405499998</v>
      </c>
      <c r="AQ17" s="298">
        <f t="shared" si="11"/>
        <v>22172.977599999984</v>
      </c>
      <c r="AR17" s="298">
        <f t="shared" si="12"/>
        <v>735119.80165499996</v>
      </c>
    </row>
    <row r="18" spans="2:44" x14ac:dyDescent="0.25">
      <c r="B18" s="30" t="s">
        <v>1137</v>
      </c>
      <c r="C18" s="224">
        <v>204093450.05000001</v>
      </c>
      <c r="D18" s="40">
        <f>DATE(13,1,1)</f>
        <v>4750</v>
      </c>
      <c r="E18" s="41"/>
      <c r="F18" s="300"/>
      <c r="G18" s="300"/>
      <c r="H18" s="300"/>
      <c r="I18" s="43"/>
      <c r="J18" s="299"/>
      <c r="K18" s="299"/>
      <c r="L18" s="299"/>
      <c r="M18" s="299"/>
      <c r="N18" s="43"/>
      <c r="O18" s="299"/>
      <c r="P18" s="300"/>
      <c r="Q18" s="43"/>
      <c r="R18" s="299"/>
      <c r="S18" s="299"/>
      <c r="T18" s="299"/>
      <c r="U18" s="300"/>
      <c r="V18" s="298"/>
      <c r="W18" s="299"/>
      <c r="X18" s="300"/>
      <c r="Y18" s="298"/>
      <c r="Z18" s="299"/>
      <c r="AA18" s="300"/>
      <c r="AB18" s="298"/>
      <c r="AC18" s="299"/>
      <c r="AD18" s="300"/>
      <c r="AE18" s="307">
        <v>3.7600000000000001E-2</v>
      </c>
      <c r="AF18" s="300"/>
      <c r="AG18" s="298"/>
      <c r="AH18" s="299">
        <v>0</v>
      </c>
      <c r="AI18" s="299">
        <f t="shared" ref="AI18" si="13">AJ18-AH18</f>
        <v>7673913.721880001</v>
      </c>
      <c r="AJ18" s="299">
        <f t="shared" si="4"/>
        <v>7673913.721880001</v>
      </c>
      <c r="AK18" s="299">
        <f t="shared" si="5"/>
        <v>7673913.721880001</v>
      </c>
      <c r="AL18" s="299">
        <f t="shared" si="6"/>
        <v>15347827.443760002</v>
      </c>
      <c r="AM18" s="299">
        <f t="shared" si="7"/>
        <v>7673913.7218800019</v>
      </c>
      <c r="AN18" s="299">
        <f t="shared" si="8"/>
        <v>23021741.165640004</v>
      </c>
      <c r="AO18" s="299">
        <f t="shared" ref="AO18:AO21" si="14">AP18-AN18</f>
        <v>7673913.7218800001</v>
      </c>
      <c r="AP18" s="298">
        <f>IF(($C18*$AE18+AN18)&gt;$C18,$C18,($C18*$AE18+AN18))</f>
        <v>30695654.887520004</v>
      </c>
      <c r="AQ18" s="298">
        <f t="shared" si="11"/>
        <v>7673913.7218800001</v>
      </c>
      <c r="AR18" s="298">
        <f t="shared" si="12"/>
        <v>38369568.609400004</v>
      </c>
    </row>
    <row r="19" spans="2:44" x14ac:dyDescent="0.25">
      <c r="B19" s="30" t="s">
        <v>1138</v>
      </c>
      <c r="C19" s="224">
        <v>5789622</v>
      </c>
      <c r="D19" s="40">
        <f>DATE(14,1,1)</f>
        <v>5115</v>
      </c>
      <c r="E19" s="41"/>
      <c r="F19" s="300"/>
      <c r="G19" s="300"/>
      <c r="H19" s="300"/>
      <c r="I19" s="43"/>
      <c r="J19" s="299"/>
      <c r="K19" s="299"/>
      <c r="L19" s="299"/>
      <c r="M19" s="299"/>
      <c r="N19" s="43"/>
      <c r="O19" s="299"/>
      <c r="P19" s="300"/>
      <c r="Q19" s="43"/>
      <c r="R19" s="299"/>
      <c r="S19" s="299"/>
      <c r="T19" s="299"/>
      <c r="U19" s="300"/>
      <c r="V19" s="298"/>
      <c r="W19" s="299"/>
      <c r="X19" s="300"/>
      <c r="Y19" s="298"/>
      <c r="Z19" s="299"/>
      <c r="AA19" s="300"/>
      <c r="AB19" s="298"/>
      <c r="AC19" s="299"/>
      <c r="AD19" s="300"/>
      <c r="AE19" s="307">
        <v>3.7600000000000001E-2</v>
      </c>
      <c r="AF19" s="300"/>
      <c r="AG19" s="298"/>
      <c r="AH19" s="299"/>
      <c r="AI19" s="299"/>
      <c r="AJ19" s="309">
        <v>0</v>
      </c>
      <c r="AK19" s="299">
        <f t="shared" si="5"/>
        <v>217689.78720000002</v>
      </c>
      <c r="AL19" s="299">
        <f t="shared" si="6"/>
        <v>217689.78720000002</v>
      </c>
      <c r="AM19" s="299">
        <f t="shared" si="7"/>
        <v>217689.78720000002</v>
      </c>
      <c r="AN19" s="299">
        <f t="shared" si="8"/>
        <v>435379.57440000004</v>
      </c>
      <c r="AO19" s="299">
        <f t="shared" si="14"/>
        <v>217689.78720000002</v>
      </c>
      <c r="AP19" s="298">
        <f t="shared" ref="AP19:AP21" si="15">IF(($C19*$AE19+AN19)&gt;$C19,$C19,($C19*$AE19+AN19))</f>
        <v>653069.36160000006</v>
      </c>
      <c r="AQ19" s="298">
        <f t="shared" si="11"/>
        <v>217689.78720000002</v>
      </c>
      <c r="AR19" s="298">
        <f t="shared" si="12"/>
        <v>870759.14880000008</v>
      </c>
    </row>
    <row r="20" spans="2:44" x14ac:dyDescent="0.25">
      <c r="B20" s="30" t="s">
        <v>1189</v>
      </c>
      <c r="C20" s="224">
        <v>7164877</v>
      </c>
      <c r="D20" s="40">
        <f>DATE(15,1,1)</f>
        <v>5480</v>
      </c>
      <c r="E20" s="41"/>
      <c r="F20" s="300"/>
      <c r="G20" s="300"/>
      <c r="H20" s="300"/>
      <c r="I20" s="43"/>
      <c r="J20" s="299"/>
      <c r="K20" s="299"/>
      <c r="L20" s="299"/>
      <c r="M20" s="299"/>
      <c r="N20" s="43"/>
      <c r="O20" s="299"/>
      <c r="P20" s="300"/>
      <c r="Q20" s="43"/>
      <c r="R20" s="299"/>
      <c r="S20" s="299"/>
      <c r="T20" s="299"/>
      <c r="U20" s="300"/>
      <c r="V20" s="298"/>
      <c r="W20" s="299"/>
      <c r="X20" s="300"/>
      <c r="Y20" s="298"/>
      <c r="Z20" s="299"/>
      <c r="AA20" s="300"/>
      <c r="AB20" s="298"/>
      <c r="AC20" s="299"/>
      <c r="AD20" s="300"/>
      <c r="AE20" s="307">
        <v>3.7600000000000001E-2</v>
      </c>
      <c r="AF20" s="300"/>
      <c r="AG20" s="298"/>
      <c r="AH20" s="299"/>
      <c r="AI20" s="299"/>
      <c r="AJ20" s="309"/>
      <c r="AK20" s="299"/>
      <c r="AL20" s="309">
        <v>0</v>
      </c>
      <c r="AM20" s="299">
        <f t="shared" si="7"/>
        <v>269399.37520000001</v>
      </c>
      <c r="AN20" s="299">
        <f t="shared" si="8"/>
        <v>269399.37520000001</v>
      </c>
      <c r="AO20" s="299">
        <f t="shared" si="14"/>
        <v>269399.37520000001</v>
      </c>
      <c r="AP20" s="298">
        <f t="shared" si="15"/>
        <v>538798.75040000002</v>
      </c>
      <c r="AQ20" s="298">
        <f t="shared" si="11"/>
        <v>269399.37520000001</v>
      </c>
      <c r="AR20" s="298">
        <f t="shared" si="12"/>
        <v>808198.12560000003</v>
      </c>
    </row>
    <row r="21" spans="2:44" x14ac:dyDescent="0.25">
      <c r="B21" s="285" t="s">
        <v>1245</v>
      </c>
      <c r="C21" s="286">
        <f>217647899-C20-C19-C18</f>
        <v>599949.94999998808</v>
      </c>
      <c r="D21" s="287">
        <f>DATE(16,1,1)</f>
        <v>5845</v>
      </c>
      <c r="E21" s="41"/>
      <c r="F21" s="300"/>
      <c r="G21" s="300"/>
      <c r="H21" s="300"/>
      <c r="I21" s="43"/>
      <c r="J21" s="299"/>
      <c r="K21" s="299"/>
      <c r="L21" s="299"/>
      <c r="M21" s="299"/>
      <c r="N21" s="43"/>
      <c r="O21" s="299"/>
      <c r="P21" s="300"/>
      <c r="Q21" s="43"/>
      <c r="R21" s="299"/>
      <c r="S21" s="299"/>
      <c r="T21" s="299"/>
      <c r="U21" s="300"/>
      <c r="V21" s="298"/>
      <c r="W21" s="299"/>
      <c r="X21" s="300"/>
      <c r="Y21" s="298"/>
      <c r="Z21" s="299"/>
      <c r="AA21" s="300"/>
      <c r="AB21" s="298"/>
      <c r="AC21" s="299"/>
      <c r="AD21" s="300"/>
      <c r="AE21" s="307">
        <v>3.7600000000000001E-2</v>
      </c>
      <c r="AF21" s="300"/>
      <c r="AG21" s="298"/>
      <c r="AH21" s="299"/>
      <c r="AI21" s="299"/>
      <c r="AJ21" s="309"/>
      <c r="AK21" s="299"/>
      <c r="AL21" s="309"/>
      <c r="AM21" s="299"/>
      <c r="AN21" s="308">
        <v>0</v>
      </c>
      <c r="AO21" s="299">
        <f t="shared" si="14"/>
        <v>22558.118119999552</v>
      </c>
      <c r="AP21" s="298">
        <f t="shared" si="15"/>
        <v>22558.118119999552</v>
      </c>
      <c r="AQ21" s="298">
        <f t="shared" si="11"/>
        <v>22558.118119999552</v>
      </c>
      <c r="AR21" s="298">
        <f t="shared" si="12"/>
        <v>45116.236239999103</v>
      </c>
    </row>
    <row r="22" spans="2:44" s="292" customFormat="1" x14ac:dyDescent="0.25">
      <c r="B22" s="351" t="s">
        <v>1257</v>
      </c>
      <c r="C22" s="352">
        <f>217934049-C21-C20-C19-C18</f>
        <v>286150</v>
      </c>
      <c r="D22" s="287">
        <v>6211</v>
      </c>
      <c r="E22" s="293"/>
      <c r="F22" s="304"/>
      <c r="G22" s="304"/>
      <c r="H22" s="304"/>
      <c r="I22" s="302"/>
      <c r="J22" s="305"/>
      <c r="K22" s="305"/>
      <c r="L22" s="305"/>
      <c r="M22" s="305"/>
      <c r="N22" s="306"/>
      <c r="O22" s="305"/>
      <c r="P22" s="304"/>
      <c r="Q22" s="306"/>
      <c r="R22" s="305"/>
      <c r="S22" s="305"/>
      <c r="T22" s="305"/>
      <c r="U22" s="304"/>
      <c r="V22" s="303"/>
      <c r="W22" s="305"/>
      <c r="X22" s="300"/>
      <c r="Y22" s="298"/>
      <c r="Z22" s="299"/>
      <c r="AA22" s="300"/>
      <c r="AB22" s="298"/>
      <c r="AC22" s="299"/>
      <c r="AD22" s="300"/>
      <c r="AE22" s="307">
        <v>3.7600000000000001E-2</v>
      </c>
      <c r="AF22" s="300"/>
      <c r="AG22" s="298"/>
      <c r="AH22" s="309"/>
      <c r="AI22" s="299"/>
      <c r="AJ22" s="309"/>
      <c r="AK22" s="299"/>
      <c r="AL22" s="308"/>
      <c r="AM22" s="299"/>
      <c r="AN22" s="308"/>
      <c r="AO22" s="299"/>
      <c r="AP22" s="308">
        <v>0</v>
      </c>
      <c r="AQ22" s="299">
        <v>10759.24</v>
      </c>
      <c r="AR22" s="298">
        <v>10759.24</v>
      </c>
    </row>
    <row r="23" spans="2:44" x14ac:dyDescent="0.25">
      <c r="B23" s="30" t="s">
        <v>579</v>
      </c>
      <c r="C23" s="242">
        <f>SUM(C15:C22)</f>
        <v>260131319</v>
      </c>
      <c r="D23" s="298"/>
      <c r="E23" s="298"/>
      <c r="F23" s="298"/>
      <c r="G23" s="298"/>
      <c r="H23" s="298"/>
      <c r="I23" s="298"/>
      <c r="J23" s="301">
        <f>SUM(J15:J17)</f>
        <v>10698121.7932197</v>
      </c>
      <c r="K23" s="301">
        <f>SUM(K15:K17)</f>
        <v>1476904.45</v>
      </c>
      <c r="L23" s="301">
        <f>SUM(L15:L17)</f>
        <v>12175026.243219698</v>
      </c>
      <c r="M23" s="301">
        <f>SUM(M15:M17)</f>
        <v>1303895.6430000002</v>
      </c>
      <c r="N23" s="44"/>
      <c r="O23" s="301">
        <f>SUM(O15:O17)</f>
        <v>29125669.602219697</v>
      </c>
      <c r="P23" s="298"/>
      <c r="Q23" s="44"/>
      <c r="R23" s="301">
        <f>SUM(R15:R17)</f>
        <v>31619528.259219699</v>
      </c>
      <c r="S23" s="301">
        <f>SUM(S15:S17)</f>
        <v>831286.21900000121</v>
      </c>
      <c r="T23" s="301">
        <f>SUM(T15:T17)</f>
        <v>32450814.478219699</v>
      </c>
      <c r="U23" s="298"/>
      <c r="V23" s="301">
        <f>SUM(V15:V17)</f>
        <v>991635.84500000172</v>
      </c>
      <c r="W23" s="301">
        <f>SUM(W15:W17)</f>
        <v>33442450.323219702</v>
      </c>
      <c r="X23" s="298"/>
      <c r="Y23" s="301">
        <f>SUM(Y15:Y17)</f>
        <v>991635.84500000172</v>
      </c>
      <c r="Z23" s="301">
        <f>SUM(Z15:Z17)</f>
        <v>34434086.1682197</v>
      </c>
      <c r="AA23" s="298"/>
      <c r="AB23" s="301">
        <f>SUM(AB15:AB17)</f>
        <v>991635.84500000172</v>
      </c>
      <c r="AC23" s="301">
        <f>SUM(AC15:AC17)</f>
        <v>35425722.013219699</v>
      </c>
      <c r="AD23" s="298"/>
      <c r="AE23" s="298"/>
      <c r="AF23" s="298"/>
      <c r="AG23" s="301">
        <f>SUM(AG15:AG17)</f>
        <v>1108733</v>
      </c>
      <c r="AH23" s="301">
        <f>SUM(AH15:AH18)</f>
        <v>36534455.282469705</v>
      </c>
      <c r="AI23" s="301">
        <f>SUM(AI15:AI18)</f>
        <v>8821679.465880001</v>
      </c>
      <c r="AJ23" s="301">
        <f>SUM(AJ15:AJ18)</f>
        <v>45356134.748349704</v>
      </c>
      <c r="AK23" s="242">
        <f>SUM(AK15:AK19)</f>
        <v>9039369.2530800011</v>
      </c>
      <c r="AL23" s="242">
        <f>SUM(AL15:AL19)</f>
        <v>54395504.001429699</v>
      </c>
      <c r="AM23" s="242">
        <f>SUM(AM15:AM20)</f>
        <v>9200760.7591669038</v>
      </c>
      <c r="AN23" s="242">
        <f>SUM(AN15:AN21)</f>
        <v>63596264.760596611</v>
      </c>
      <c r="AO23" s="242">
        <f>SUM(AO15:AO21)</f>
        <v>9169357.5191999972</v>
      </c>
      <c r="AP23" s="242">
        <f>SUM(AP15:AP21)</f>
        <v>72765622.279796615</v>
      </c>
      <c r="AQ23" s="242">
        <f>SUM(AQ15:AQ22)</f>
        <v>9180116.7592000011</v>
      </c>
      <c r="AR23" s="242">
        <f>SUM(AR15:AR22)</f>
        <v>81945739.038996592</v>
      </c>
    </row>
    <row r="24" spans="2:44" x14ac:dyDescent="0.25">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9"/>
      <c r="AJ24" s="299"/>
      <c r="AK24" s="144"/>
      <c r="AL24" s="331"/>
      <c r="AM24" s="144"/>
      <c r="AN24" s="331"/>
      <c r="AO24" s="331"/>
      <c r="AP24" s="331"/>
      <c r="AQ24" s="331"/>
      <c r="AR24" s="331"/>
    </row>
    <row r="25" spans="2:44" x14ac:dyDescent="0.25">
      <c r="B25" s="30" t="s">
        <v>580</v>
      </c>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9"/>
      <c r="AJ25" s="299"/>
      <c r="AK25" s="144"/>
      <c r="AL25" s="331"/>
      <c r="AM25" s="144"/>
      <c r="AN25" s="331"/>
      <c r="AO25" s="331"/>
      <c r="AP25" s="331"/>
      <c r="AQ25" s="331"/>
      <c r="AR25" s="331"/>
    </row>
    <row r="26" spans="2:44" x14ac:dyDescent="0.25">
      <c r="B26" s="30" t="s">
        <v>576</v>
      </c>
      <c r="C26" s="224">
        <v>64716</v>
      </c>
      <c r="D26" s="45">
        <f t="shared" ref="D26:E28" si="16">D15</f>
        <v>29921</v>
      </c>
      <c r="E26" s="43">
        <f t="shared" si="16"/>
        <v>8.3000000000000004E-2</v>
      </c>
      <c r="F26" s="42">
        <v>0.03</v>
      </c>
      <c r="G26" s="42">
        <v>2.5700000000000001E-2</v>
      </c>
      <c r="H26" s="300">
        <f>(ROUND(F26*(10/12+(12/30*1/12)),3)+ROUND(G26*((18/30*1/12)+1/12),3))</f>
        <v>2.8999999999999998E-2</v>
      </c>
      <c r="I26" s="43">
        <v>9.0830000000000002</v>
      </c>
      <c r="J26" s="299">
        <f>I26*F26*C26</f>
        <v>17634.46284</v>
      </c>
      <c r="K26" s="299">
        <f>H26*C26</f>
        <v>1876.7639999999999</v>
      </c>
      <c r="L26" s="299">
        <f>SUM(J26:K26)</f>
        <v>19511.226839999999</v>
      </c>
      <c r="M26" s="299">
        <f>C26*G26</f>
        <v>1663.2012</v>
      </c>
      <c r="N26" s="43">
        <v>13</v>
      </c>
      <c r="O26" s="299">
        <f>L26+(M26*N26)</f>
        <v>41132.84244</v>
      </c>
      <c r="P26" s="42">
        <v>2.81E-2</v>
      </c>
      <c r="Q26" s="43">
        <v>3</v>
      </c>
      <c r="R26" s="299">
        <f>IF(($C26*$P26*$Q26+$O26)&gt;$C26,$C26,($C26*$P26*$Q26+$O26))</f>
        <v>46588.401239999999</v>
      </c>
      <c r="S26" s="299">
        <f>T26-R26</f>
        <v>1818.5195999999996</v>
      </c>
      <c r="T26" s="299">
        <f>IF(($C26*$P26+$R26)&gt;$C26,$C26,($C26*$P26+$R26))</f>
        <v>48406.920839999999</v>
      </c>
      <c r="U26" s="42">
        <v>2.0299999999999999E-2</v>
      </c>
      <c r="V26" s="298">
        <f>W26-T26</f>
        <v>1313.7347999999984</v>
      </c>
      <c r="W26" s="299">
        <f>IF(($C26*$U26+$T26)&gt;$C26,$C26,($C26*$U26+$T26))</f>
        <v>49720.655639999997</v>
      </c>
      <c r="X26" s="42">
        <v>2.0299999999999999E-2</v>
      </c>
      <c r="Y26" s="298">
        <f>Z26-W26</f>
        <v>1313.7347999999984</v>
      </c>
      <c r="Z26" s="299">
        <f>IF(($C26*$X26+$W26)&gt;$C26,$C26,($C26*$X26+$W26))</f>
        <v>51034.390439999996</v>
      </c>
      <c r="AA26" s="42">
        <v>2.0299999999999999E-2</v>
      </c>
      <c r="AB26" s="298">
        <f>AC26-Z26</f>
        <v>1313.7347999999984</v>
      </c>
      <c r="AC26" s="299">
        <f>IF(($C26*$AA26+$Z26)&gt;$C26,$C26,($C26*$AA26+$Z26))</f>
        <v>52348.125239999994</v>
      </c>
      <c r="AD26" s="307">
        <v>2.0299999999999999E-2</v>
      </c>
      <c r="AE26" s="307">
        <v>2.12E-2</v>
      </c>
      <c r="AF26" s="300">
        <f t="shared" ref="AF26:AF28" si="17">((AD26*3)+(AE26*9))/12</f>
        <v>2.0974999999999997E-2</v>
      </c>
      <c r="AG26" s="298">
        <v>1357</v>
      </c>
      <c r="AH26" s="299">
        <f t="shared" ref="AH26:AH28" si="18">IF(($C26*$AF26+$AC26)&gt;$C26,$C26,($C26*$AF26+$AC26))</f>
        <v>53705.543339999997</v>
      </c>
      <c r="AI26" s="299">
        <f t="shared" ref="AI26:AI29" si="19">AJ26-AH26</f>
        <v>1371.9792000000016</v>
      </c>
      <c r="AJ26" s="299">
        <f t="shared" ref="AJ26:AJ29" si="20">IF(($C26*$AE26+$AH26)&gt;$C26,$C26,($C26*$AE26+$AH26))</f>
        <v>55077.522539999998</v>
      </c>
      <c r="AK26" s="299">
        <f t="shared" ref="AK26:AK30" si="21">AL26-AJ26</f>
        <v>1371.9792000000016</v>
      </c>
      <c r="AL26" s="299">
        <f>IF(($C26*$AE26+AJ26)&gt;$C26,$C26,($C26*$AE26+AJ26))</f>
        <v>56449.50174</v>
      </c>
      <c r="AM26" s="299">
        <f t="shared" ref="AM26:AM31" si="22">AN26-AL26</f>
        <v>1371.9792000000016</v>
      </c>
      <c r="AN26" s="299">
        <f>IF(($C26*$AE26+AL26)&gt;$C26,$C26,($C26*$AE26+AL26))</f>
        <v>57821.480940000001</v>
      </c>
      <c r="AO26" s="298">
        <f t="shared" ref="AO26:AO28" si="23">+AP26-AN26</f>
        <v>1371.9792000000016</v>
      </c>
      <c r="AP26" s="298">
        <f>IF(($C26*$AE26+AN26)&gt;$C26,$C26,($C26*$AE26+AN26))</f>
        <v>59193.460140000003</v>
      </c>
      <c r="AQ26" s="298">
        <f>+AR26-AP26</f>
        <v>1371.9792000000016</v>
      </c>
      <c r="AR26" s="298">
        <f>IF(($C26*$AE26+AP26)&gt;$C26,$C26,($C26*$AE26+AP26))</f>
        <v>60565.439340000004</v>
      </c>
    </row>
    <row r="27" spans="2:44" x14ac:dyDescent="0.25">
      <c r="B27" s="30" t="s">
        <v>577</v>
      </c>
      <c r="C27" s="224">
        <v>160108</v>
      </c>
      <c r="D27" s="45">
        <f t="shared" si="16"/>
        <v>30742</v>
      </c>
      <c r="E27" s="43">
        <f t="shared" si="16"/>
        <v>0.83299999999999996</v>
      </c>
      <c r="F27" s="300">
        <f t="shared" ref="F27:H28" si="24">F26</f>
        <v>0.03</v>
      </c>
      <c r="G27" s="300">
        <f t="shared" si="24"/>
        <v>2.5700000000000001E-2</v>
      </c>
      <c r="H27" s="300">
        <f t="shared" si="24"/>
        <v>2.8999999999999998E-2</v>
      </c>
      <c r="I27" s="43">
        <v>6.8330000000000002</v>
      </c>
      <c r="J27" s="299">
        <f>I27*F27*C27</f>
        <v>32820.538919999999</v>
      </c>
      <c r="K27" s="299">
        <f>H27*C27</f>
        <v>4643.1319999999996</v>
      </c>
      <c r="L27" s="299">
        <f>SUM(J27:K27)</f>
        <v>37463.670919999997</v>
      </c>
      <c r="M27" s="299">
        <f>C27*G27</f>
        <v>4114.7755999999999</v>
      </c>
      <c r="N27" s="43">
        <v>13</v>
      </c>
      <c r="O27" s="299">
        <f>L27+(M27*N27)</f>
        <v>90955.753719999993</v>
      </c>
      <c r="P27" s="300">
        <f>P26</f>
        <v>2.81E-2</v>
      </c>
      <c r="Q27" s="43">
        <v>3</v>
      </c>
      <c r="R27" s="299">
        <f>IF(($C27*$P27*$Q27+$O27)&gt;$C27,$C27,($C27*$P27*$Q27+$O27))</f>
        <v>104452.85811999999</v>
      </c>
      <c r="S27" s="299">
        <f>T27-R27</f>
        <v>4499.034799999994</v>
      </c>
      <c r="T27" s="299">
        <f>IF(($C27*$P27+$R27)&gt;$C27,$C27,($C27*$P27+$R27))</f>
        <v>108951.89291999998</v>
      </c>
      <c r="U27" s="300">
        <f>U26</f>
        <v>2.0299999999999999E-2</v>
      </c>
      <c r="V27" s="298">
        <f>W27-T27</f>
        <v>3250.1923999999999</v>
      </c>
      <c r="W27" s="299">
        <f>IF(($C27*$U27+$T27)&gt;$C27,$C27,($C27*$U27+$T27))</f>
        <v>112202.08531999998</v>
      </c>
      <c r="X27" s="300">
        <f>X26</f>
        <v>2.0299999999999999E-2</v>
      </c>
      <c r="Y27" s="298">
        <f>Z27-W27</f>
        <v>3250.1923999999999</v>
      </c>
      <c r="Z27" s="299">
        <f>IF(($C27*$X27+$W27)&gt;$C27,$C27,($C27*$X27+$W27))</f>
        <v>115452.27771999998</v>
      </c>
      <c r="AA27" s="300">
        <f>AA26</f>
        <v>2.0299999999999999E-2</v>
      </c>
      <c r="AB27" s="298">
        <f>AC27-Z27</f>
        <v>3250.1923999999999</v>
      </c>
      <c r="AC27" s="299">
        <f>IF(($C27*$AA27+$Z27)&gt;$C27,$C27,($C27*$AA27+$Z27))</f>
        <v>118702.47011999998</v>
      </c>
      <c r="AD27" s="300">
        <f>AD26</f>
        <v>2.0299999999999999E-2</v>
      </c>
      <c r="AE27" s="307">
        <v>2.12E-2</v>
      </c>
      <c r="AF27" s="300">
        <f t="shared" si="17"/>
        <v>2.0974999999999997E-2</v>
      </c>
      <c r="AG27" s="298">
        <v>3358</v>
      </c>
      <c r="AH27" s="299">
        <f t="shared" si="18"/>
        <v>122060.73541999998</v>
      </c>
      <c r="AI27" s="299">
        <f t="shared" si="19"/>
        <v>3394.2896000000037</v>
      </c>
      <c r="AJ27" s="299">
        <f t="shared" si="20"/>
        <v>125455.02501999999</v>
      </c>
      <c r="AK27" s="299">
        <f t="shared" si="21"/>
        <v>3394.2896000000037</v>
      </c>
      <c r="AL27" s="299">
        <f t="shared" ref="AL27:AL30" si="25">IF(($C27*$AE27+AJ27)&gt;$C27,$C27,($C27*$AE27+AJ27))</f>
        <v>128849.31461999999</v>
      </c>
      <c r="AM27" s="299">
        <f t="shared" si="22"/>
        <v>3394.2895999999892</v>
      </c>
      <c r="AN27" s="299">
        <f t="shared" ref="AN27:AN31" si="26">IF(($C27*$AE27+AL27)&gt;$C27,$C27,($C27*$AE27+AL27))</f>
        <v>132243.60421999998</v>
      </c>
      <c r="AO27" s="298">
        <f t="shared" si="23"/>
        <v>3394.2895999999892</v>
      </c>
      <c r="AP27" s="298">
        <f t="shared" ref="AP27:AP32" si="27">IF(($C27*$AE27+AN27)&gt;$C27,$C27,($C27*$AE27+AN27))</f>
        <v>135637.89381999997</v>
      </c>
      <c r="AQ27" s="298">
        <f t="shared" ref="AQ27:AQ32" si="28">+AR27-AP27</f>
        <v>3394.2895999999892</v>
      </c>
      <c r="AR27" s="298">
        <f t="shared" ref="AR27:AR32" si="29">IF(($C27*$AE27+AP27)&gt;$C27,$C27,($C27*$AE27+AP27))</f>
        <v>139032.18341999996</v>
      </c>
    </row>
    <row r="28" spans="2:44" x14ac:dyDescent="0.25">
      <c r="B28" s="30" t="s">
        <v>578</v>
      </c>
      <c r="C28" s="224"/>
      <c r="D28" s="45">
        <f t="shared" si="16"/>
        <v>31668</v>
      </c>
      <c r="E28" s="43">
        <f t="shared" si="16"/>
        <v>0.3</v>
      </c>
      <c r="F28" s="300">
        <f t="shared" si="24"/>
        <v>0.03</v>
      </c>
      <c r="G28" s="300">
        <f t="shared" si="24"/>
        <v>2.5700000000000001E-2</v>
      </c>
      <c r="H28" s="300">
        <f t="shared" si="24"/>
        <v>2.8999999999999998E-2</v>
      </c>
      <c r="I28" s="43">
        <v>4.3</v>
      </c>
      <c r="J28" s="299">
        <f>I28*F28*C28</f>
        <v>0</v>
      </c>
      <c r="K28" s="299">
        <f>H28*C28</f>
        <v>0</v>
      </c>
      <c r="L28" s="299">
        <f>SUM(J28:K28)</f>
        <v>0</v>
      </c>
      <c r="M28" s="299">
        <f>C28*G28</f>
        <v>0</v>
      </c>
      <c r="N28" s="43">
        <v>13</v>
      </c>
      <c r="O28" s="299">
        <f>L28+(M28*N28)</f>
        <v>0</v>
      </c>
      <c r="P28" s="300">
        <f>P27</f>
        <v>2.81E-2</v>
      </c>
      <c r="Q28" s="43">
        <v>3</v>
      </c>
      <c r="R28" s="299">
        <f>IF(($C28*$P28*$Q28+$O28)&gt;$C28,$C28,($C28*$P28*$Q28+$O28))</f>
        <v>0</v>
      </c>
      <c r="S28" s="299">
        <f>T28-R28</f>
        <v>0</v>
      </c>
      <c r="T28" s="299">
        <f>IF(($C28*$P28+$R28)&gt;$C28,$C28,($C28*$P28+$R28))</f>
        <v>0</v>
      </c>
      <c r="U28" s="300">
        <f>U27</f>
        <v>2.0299999999999999E-2</v>
      </c>
      <c r="V28" s="298">
        <f>W28-T28</f>
        <v>0</v>
      </c>
      <c r="W28" s="299">
        <f>IF(($C28*$U28+$T28)&gt;$C28,$C28,($C28*$U28+$T28))</f>
        <v>0</v>
      </c>
      <c r="X28" s="300">
        <f>X27</f>
        <v>2.0299999999999999E-2</v>
      </c>
      <c r="Y28" s="298">
        <f>Z28-W28</f>
        <v>0</v>
      </c>
      <c r="Z28" s="299">
        <f>IF(($C28*$X28+$W28)&gt;$C28,$C28,($C28*$X28+$W28))</f>
        <v>0</v>
      </c>
      <c r="AA28" s="300">
        <f>AA27</f>
        <v>2.0299999999999999E-2</v>
      </c>
      <c r="AB28" s="298">
        <f>AC28-Z28</f>
        <v>0</v>
      </c>
      <c r="AC28" s="299">
        <f>IF(($C28*$AA28+$Z28)&gt;$C28,$C28,($C28*$AA28+$Z28))</f>
        <v>0</v>
      </c>
      <c r="AD28" s="300">
        <f>AD27</f>
        <v>2.0299999999999999E-2</v>
      </c>
      <c r="AE28" s="307">
        <v>2.12E-2</v>
      </c>
      <c r="AF28" s="300">
        <f t="shared" si="17"/>
        <v>2.0974999999999997E-2</v>
      </c>
      <c r="AG28" s="298">
        <f>AH28-AC28</f>
        <v>0</v>
      </c>
      <c r="AH28" s="299">
        <f t="shared" si="18"/>
        <v>0</v>
      </c>
      <c r="AI28" s="299">
        <f t="shared" si="19"/>
        <v>0</v>
      </c>
      <c r="AJ28" s="299">
        <f t="shared" si="20"/>
        <v>0</v>
      </c>
      <c r="AK28" s="299">
        <f t="shared" si="21"/>
        <v>0</v>
      </c>
      <c r="AL28" s="299">
        <f t="shared" si="25"/>
        <v>0</v>
      </c>
      <c r="AM28" s="299">
        <f t="shared" si="22"/>
        <v>0</v>
      </c>
      <c r="AN28" s="299">
        <f t="shared" si="26"/>
        <v>0</v>
      </c>
      <c r="AO28" s="298">
        <f t="shared" si="23"/>
        <v>0</v>
      </c>
      <c r="AP28" s="298">
        <f t="shared" si="27"/>
        <v>0</v>
      </c>
      <c r="AQ28" s="298">
        <f t="shared" si="28"/>
        <v>0</v>
      </c>
      <c r="AR28" s="298">
        <f t="shared" si="29"/>
        <v>0</v>
      </c>
    </row>
    <row r="29" spans="2:44" x14ac:dyDescent="0.25">
      <c r="B29" s="30" t="s">
        <v>1139</v>
      </c>
      <c r="C29" s="224">
        <v>1209094.4099999999</v>
      </c>
      <c r="D29" s="40">
        <f>DATE(13,1,1)</f>
        <v>4750</v>
      </c>
      <c r="E29" s="43"/>
      <c r="F29" s="300"/>
      <c r="G29" s="300"/>
      <c r="H29" s="300"/>
      <c r="I29" s="43"/>
      <c r="J29" s="299"/>
      <c r="K29" s="299"/>
      <c r="L29" s="299"/>
      <c r="M29" s="299"/>
      <c r="N29" s="43"/>
      <c r="O29" s="299"/>
      <c r="P29" s="300"/>
      <c r="Q29" s="43"/>
      <c r="R29" s="299"/>
      <c r="S29" s="299"/>
      <c r="T29" s="299"/>
      <c r="U29" s="300"/>
      <c r="V29" s="298"/>
      <c r="W29" s="299"/>
      <c r="X29" s="300"/>
      <c r="Y29" s="298"/>
      <c r="Z29" s="299"/>
      <c r="AA29" s="300"/>
      <c r="AB29" s="298"/>
      <c r="AC29" s="299"/>
      <c r="AD29" s="300"/>
      <c r="AE29" s="307">
        <v>2.12E-2</v>
      </c>
      <c r="AF29" s="300"/>
      <c r="AG29" s="298"/>
      <c r="AH29" s="299">
        <v>0</v>
      </c>
      <c r="AI29" s="299">
        <f t="shared" si="19"/>
        <v>25632.801491999999</v>
      </c>
      <c r="AJ29" s="299">
        <f t="shared" si="20"/>
        <v>25632.801491999999</v>
      </c>
      <c r="AK29" s="299">
        <f t="shared" si="21"/>
        <v>25632.801491999999</v>
      </c>
      <c r="AL29" s="299">
        <f t="shared" si="25"/>
        <v>51265.602983999997</v>
      </c>
      <c r="AM29" s="299">
        <f t="shared" si="22"/>
        <v>25632.801491999999</v>
      </c>
      <c r="AN29" s="299">
        <f t="shared" si="26"/>
        <v>76898.404475999996</v>
      </c>
      <c r="AO29" s="299">
        <f t="shared" ref="AO29:AO32" si="30">AP29-AN29</f>
        <v>25632.801491999999</v>
      </c>
      <c r="AP29" s="298">
        <f t="shared" si="27"/>
        <v>102531.20596799999</v>
      </c>
      <c r="AQ29" s="298">
        <f t="shared" si="28"/>
        <v>25632.801491999999</v>
      </c>
      <c r="AR29" s="298">
        <f t="shared" si="29"/>
        <v>128164.00745999999</v>
      </c>
    </row>
    <row r="30" spans="2:44" x14ac:dyDescent="0.25">
      <c r="B30" s="30" t="s">
        <v>1140</v>
      </c>
      <c r="C30" s="224">
        <v>124236</v>
      </c>
      <c r="D30" s="40">
        <f>DATE(14,1,1)</f>
        <v>5115</v>
      </c>
      <c r="E30" s="43"/>
      <c r="F30" s="300"/>
      <c r="G30" s="300"/>
      <c r="H30" s="300"/>
      <c r="I30" s="43"/>
      <c r="J30" s="299"/>
      <c r="K30" s="299"/>
      <c r="L30" s="299"/>
      <c r="M30" s="299"/>
      <c r="N30" s="43"/>
      <c r="O30" s="299"/>
      <c r="P30" s="300"/>
      <c r="Q30" s="43"/>
      <c r="R30" s="299"/>
      <c r="S30" s="299"/>
      <c r="T30" s="299"/>
      <c r="U30" s="300"/>
      <c r="V30" s="298"/>
      <c r="W30" s="299"/>
      <c r="X30" s="300"/>
      <c r="Y30" s="298"/>
      <c r="Z30" s="299"/>
      <c r="AA30" s="300"/>
      <c r="AB30" s="298"/>
      <c r="AC30" s="299"/>
      <c r="AD30" s="300"/>
      <c r="AE30" s="307">
        <v>2.12E-2</v>
      </c>
      <c r="AF30" s="300"/>
      <c r="AG30" s="298"/>
      <c r="AH30" s="299"/>
      <c r="AI30" s="299"/>
      <c r="AJ30" s="309">
        <v>0</v>
      </c>
      <c r="AK30" s="299">
        <f t="shared" si="21"/>
        <v>2633.8031999999998</v>
      </c>
      <c r="AL30" s="299">
        <f t="shared" si="25"/>
        <v>2633.8031999999998</v>
      </c>
      <c r="AM30" s="299">
        <f t="shared" si="22"/>
        <v>2633.8031999999998</v>
      </c>
      <c r="AN30" s="299">
        <f t="shared" si="26"/>
        <v>5267.6063999999997</v>
      </c>
      <c r="AO30" s="299">
        <f t="shared" si="30"/>
        <v>2633.8031999999994</v>
      </c>
      <c r="AP30" s="298">
        <f t="shared" si="27"/>
        <v>7901.409599999999</v>
      </c>
      <c r="AQ30" s="298">
        <f t="shared" si="28"/>
        <v>2633.8032000000003</v>
      </c>
      <c r="AR30" s="298">
        <f t="shared" si="29"/>
        <v>10535.212799999999</v>
      </c>
    </row>
    <row r="31" spans="2:44" x14ac:dyDescent="0.25">
      <c r="B31" s="30" t="s">
        <v>1190</v>
      </c>
      <c r="C31" s="224">
        <v>2018475.0000000002</v>
      </c>
      <c r="D31" s="40">
        <f>DATE(15,1,1)</f>
        <v>5480</v>
      </c>
      <c r="E31" s="43"/>
      <c r="F31" s="300"/>
      <c r="G31" s="300"/>
      <c r="H31" s="300"/>
      <c r="I31" s="43"/>
      <c r="J31" s="299"/>
      <c r="K31" s="299"/>
      <c r="L31" s="299"/>
      <c r="M31" s="299"/>
      <c r="N31" s="43"/>
      <c r="O31" s="299"/>
      <c r="P31" s="300"/>
      <c r="Q31" s="43"/>
      <c r="R31" s="299"/>
      <c r="S31" s="299"/>
      <c r="T31" s="299"/>
      <c r="U31" s="300"/>
      <c r="V31" s="298"/>
      <c r="W31" s="299"/>
      <c r="X31" s="300"/>
      <c r="Y31" s="298"/>
      <c r="Z31" s="299"/>
      <c r="AA31" s="300"/>
      <c r="AB31" s="298"/>
      <c r="AC31" s="299"/>
      <c r="AD31" s="300"/>
      <c r="AE31" s="307">
        <v>2.12E-2</v>
      </c>
      <c r="AF31" s="300"/>
      <c r="AG31" s="298"/>
      <c r="AH31" s="299"/>
      <c r="AI31" s="299"/>
      <c r="AJ31" s="309"/>
      <c r="AK31" s="299"/>
      <c r="AL31" s="309">
        <v>0</v>
      </c>
      <c r="AM31" s="299">
        <f t="shared" si="22"/>
        <v>42791.670000000006</v>
      </c>
      <c r="AN31" s="299">
        <f t="shared" si="26"/>
        <v>42791.670000000006</v>
      </c>
      <c r="AO31" s="299">
        <f t="shared" si="30"/>
        <v>42791.670000000006</v>
      </c>
      <c r="AP31" s="298">
        <f t="shared" si="27"/>
        <v>85583.340000000011</v>
      </c>
      <c r="AQ31" s="298">
        <f t="shared" si="28"/>
        <v>42791.67</v>
      </c>
      <c r="AR31" s="298">
        <f t="shared" si="29"/>
        <v>128375.01000000001</v>
      </c>
    </row>
    <row r="32" spans="2:44" x14ac:dyDescent="0.25">
      <c r="B32" s="285" t="s">
        <v>1246</v>
      </c>
      <c r="C32" s="286">
        <f>3397410-C31-C30-C29</f>
        <v>45604.589999999851</v>
      </c>
      <c r="D32" s="287">
        <f>DATE(16,1,1)</f>
        <v>5845</v>
      </c>
      <c r="E32" s="43"/>
      <c r="F32" s="300"/>
      <c r="G32" s="300"/>
      <c r="H32" s="300"/>
      <c r="I32" s="43"/>
      <c r="J32" s="299"/>
      <c r="K32" s="299"/>
      <c r="L32" s="299"/>
      <c r="M32" s="299"/>
      <c r="N32" s="43"/>
      <c r="O32" s="299"/>
      <c r="P32" s="300"/>
      <c r="Q32" s="43"/>
      <c r="R32" s="299"/>
      <c r="S32" s="299"/>
      <c r="T32" s="299"/>
      <c r="U32" s="300"/>
      <c r="V32" s="298"/>
      <c r="W32" s="299"/>
      <c r="X32" s="300"/>
      <c r="Y32" s="298"/>
      <c r="Z32" s="299"/>
      <c r="AA32" s="300"/>
      <c r="AB32" s="298"/>
      <c r="AC32" s="299"/>
      <c r="AD32" s="300"/>
      <c r="AE32" s="307">
        <v>2.12E-2</v>
      </c>
      <c r="AF32" s="300"/>
      <c r="AG32" s="298"/>
      <c r="AH32" s="299"/>
      <c r="AI32" s="299"/>
      <c r="AJ32" s="309"/>
      <c r="AK32" s="299"/>
      <c r="AL32" s="309"/>
      <c r="AM32" s="299"/>
      <c r="AN32" s="308">
        <v>0</v>
      </c>
      <c r="AO32" s="299">
        <f t="shared" si="30"/>
        <v>966.81730799999684</v>
      </c>
      <c r="AP32" s="298">
        <f t="shared" si="27"/>
        <v>966.81730799999684</v>
      </c>
      <c r="AQ32" s="298">
        <f t="shared" si="28"/>
        <v>966.81730799999684</v>
      </c>
      <c r="AR32" s="298">
        <f t="shared" si="29"/>
        <v>1933.6346159999937</v>
      </c>
    </row>
    <row r="33" spans="2:44" s="294" customFormat="1" x14ac:dyDescent="0.25">
      <c r="B33" s="351" t="s">
        <v>1257</v>
      </c>
      <c r="C33" s="286">
        <v>208215.99999999977</v>
      </c>
      <c r="D33" s="287">
        <v>6211</v>
      </c>
      <c r="E33" s="302"/>
      <c r="F33" s="304"/>
      <c r="G33" s="304"/>
      <c r="H33" s="304"/>
      <c r="I33" s="302"/>
      <c r="J33" s="305"/>
      <c r="K33" s="305"/>
      <c r="L33" s="305"/>
      <c r="M33" s="305"/>
      <c r="N33" s="302"/>
      <c r="O33" s="305"/>
      <c r="P33" s="304"/>
      <c r="Q33" s="306"/>
      <c r="R33" s="305"/>
      <c r="S33" s="305"/>
      <c r="T33" s="305"/>
      <c r="U33" s="304"/>
      <c r="V33" s="303"/>
      <c r="W33" s="305"/>
      <c r="X33" s="300"/>
      <c r="Y33" s="298"/>
      <c r="Z33" s="299"/>
      <c r="AA33" s="300"/>
      <c r="AB33" s="298"/>
      <c r="AC33" s="299"/>
      <c r="AD33" s="300"/>
      <c r="AE33" s="307">
        <v>2.12E-2</v>
      </c>
      <c r="AF33" s="300"/>
      <c r="AG33" s="298"/>
      <c r="AH33" s="309"/>
      <c r="AI33" s="299"/>
      <c r="AJ33" s="309"/>
      <c r="AK33" s="299"/>
      <c r="AL33" s="308"/>
      <c r="AM33" s="299"/>
      <c r="AN33" s="308"/>
      <c r="AO33" s="299"/>
      <c r="AP33" s="308">
        <v>0</v>
      </c>
      <c r="AQ33" s="298">
        <v>4414.179199999995</v>
      </c>
      <c r="AR33" s="298">
        <v>4414.179199999995</v>
      </c>
    </row>
    <row r="34" spans="2:44" x14ac:dyDescent="0.25">
      <c r="B34" s="30" t="s">
        <v>579</v>
      </c>
      <c r="C34" s="242">
        <f>SUM(C26:C33)</f>
        <v>3830450</v>
      </c>
      <c r="D34" s="298"/>
      <c r="E34" s="298"/>
      <c r="F34" s="298"/>
      <c r="G34" s="298"/>
      <c r="H34" s="298"/>
      <c r="I34" s="298"/>
      <c r="J34" s="301">
        <f>SUM(J26:J28)</f>
        <v>50455.001759999999</v>
      </c>
      <c r="K34" s="301">
        <f>SUM(K26:K28)</f>
        <v>6519.8959999999997</v>
      </c>
      <c r="L34" s="301">
        <f>SUM(L26:L28)</f>
        <v>56974.897759999993</v>
      </c>
      <c r="M34" s="301">
        <f>SUM(M26:M28)</f>
        <v>5777.9768000000004</v>
      </c>
      <c r="N34" s="44"/>
      <c r="O34" s="301">
        <f>SUM(O26:O28)</f>
        <v>132088.59615999999</v>
      </c>
      <c r="P34" s="44"/>
      <c r="Q34" s="299"/>
      <c r="R34" s="301">
        <f>SUM(R26:R28)</f>
        <v>151041.25936</v>
      </c>
      <c r="S34" s="301">
        <f>SUM(S26:S28)</f>
        <v>6317.5543999999936</v>
      </c>
      <c r="T34" s="301">
        <f>SUM(T26:T28)</f>
        <v>157358.81375999999</v>
      </c>
      <c r="U34" s="298"/>
      <c r="V34" s="301">
        <f>SUM(V26:V28)</f>
        <v>4563.9271999999983</v>
      </c>
      <c r="W34" s="301">
        <f>SUM(W26:W28)</f>
        <v>161922.74095999997</v>
      </c>
      <c r="X34" s="298"/>
      <c r="Y34" s="301">
        <f>SUM(Y26:Y28)</f>
        <v>4563.9271999999983</v>
      </c>
      <c r="Z34" s="301">
        <f>SUM(Z26:Z28)</f>
        <v>166486.66815999997</v>
      </c>
      <c r="AA34" s="298"/>
      <c r="AB34" s="301">
        <f>SUM(AB26:AB28)</f>
        <v>4563.9271999999983</v>
      </c>
      <c r="AC34" s="301">
        <f>SUM(AC26:AC28)</f>
        <v>171050.59535999998</v>
      </c>
      <c r="AD34" s="298"/>
      <c r="AE34" s="298"/>
      <c r="AF34" s="298"/>
      <c r="AG34" s="301">
        <f>SUM(AG26:AG28)</f>
        <v>4715</v>
      </c>
      <c r="AH34" s="301">
        <f>SUM(AH26:AH29)</f>
        <v>175766.27875999999</v>
      </c>
      <c r="AI34" s="301">
        <f>SUM(AI26:AI29)</f>
        <v>30399.070292000004</v>
      </c>
      <c r="AJ34" s="301">
        <f>SUM(AJ26:AJ29)</f>
        <v>206165.34905199998</v>
      </c>
      <c r="AK34" s="301">
        <f>SUM(AK26:AK30)</f>
        <v>33032.873492000006</v>
      </c>
      <c r="AL34" s="301">
        <f>SUM(AL26:AL30)</f>
        <v>239198.22254399999</v>
      </c>
      <c r="AM34" s="301">
        <f>SUM(AM26:AM31)</f>
        <v>75824.543491999997</v>
      </c>
      <c r="AN34" s="301">
        <f>SUM(AN26:AN32)</f>
        <v>315022.76603599999</v>
      </c>
      <c r="AO34" s="301">
        <f t="shared" ref="AO34:AP34" si="31">SUM(AO26:AO32)</f>
        <v>76791.360799999995</v>
      </c>
      <c r="AP34" s="301">
        <f t="shared" si="31"/>
        <v>391814.12683600001</v>
      </c>
      <c r="AQ34" s="301">
        <f>SUM(AQ26:AQ33)</f>
        <v>81205.539999999994</v>
      </c>
      <c r="AR34" s="301">
        <f>SUM(AR26:AR33)</f>
        <v>473019.66683599993</v>
      </c>
    </row>
    <row r="35" spans="2:44" x14ac:dyDescent="0.25">
      <c r="B35" s="30"/>
      <c r="C35" s="247"/>
      <c r="D35" s="245"/>
      <c r="E35" s="245"/>
      <c r="F35" s="245"/>
      <c r="G35" s="245"/>
      <c r="H35" s="245"/>
      <c r="I35" s="245"/>
      <c r="J35" s="247"/>
      <c r="K35" s="247"/>
      <c r="L35" s="247"/>
      <c r="M35" s="247"/>
      <c r="N35" s="247"/>
      <c r="O35" s="247"/>
      <c r="P35" s="247"/>
      <c r="Q35" s="247"/>
      <c r="R35" s="247"/>
      <c r="S35" s="247"/>
      <c r="T35" s="247"/>
      <c r="U35" s="245"/>
      <c r="V35" s="245"/>
      <c r="W35" s="247"/>
      <c r="X35" s="245"/>
      <c r="Y35" s="245"/>
      <c r="Z35" s="247"/>
      <c r="AA35" s="245"/>
      <c r="AB35" s="245"/>
      <c r="AC35" s="247"/>
      <c r="AD35" s="245"/>
      <c r="AE35" s="245"/>
      <c r="AF35" s="245"/>
      <c r="AG35" s="245"/>
      <c r="AH35" s="247"/>
      <c r="AI35" s="247"/>
      <c r="AJ35" s="247"/>
      <c r="AK35" s="247"/>
      <c r="AL35" s="247"/>
      <c r="AM35" s="247"/>
      <c r="AN35" s="247"/>
    </row>
    <row r="36" spans="2:44" ht="15.75" thickBot="1" x14ac:dyDescent="0.3">
      <c r="B36" s="30" t="s">
        <v>581</v>
      </c>
      <c r="C36" s="46">
        <f>C34+C23</f>
        <v>263961769</v>
      </c>
      <c r="D36" s="245"/>
      <c r="E36" s="245"/>
      <c r="F36" s="245"/>
      <c r="G36" s="245"/>
      <c r="H36" s="245"/>
      <c r="I36" s="245"/>
      <c r="J36" s="46">
        <f>J34+J23</f>
        <v>10748576.794979701</v>
      </c>
      <c r="K36" s="46">
        <f t="shared" ref="K36:V36" si="32">K34+K23</f>
        <v>1483424.3459999999</v>
      </c>
      <c r="L36" s="46">
        <f t="shared" si="32"/>
        <v>12232001.140979698</v>
      </c>
      <c r="M36" s="46">
        <f t="shared" si="32"/>
        <v>1309673.6198000002</v>
      </c>
      <c r="N36" s="44"/>
      <c r="O36" s="46">
        <f t="shared" si="32"/>
        <v>29257758.198379695</v>
      </c>
      <c r="P36" s="44"/>
      <c r="Q36" s="247"/>
      <c r="R36" s="46">
        <f t="shared" si="32"/>
        <v>31770569.518579699</v>
      </c>
      <c r="S36" s="46">
        <f t="shared" si="32"/>
        <v>837603.77340000123</v>
      </c>
      <c r="T36" s="46">
        <f t="shared" si="32"/>
        <v>32608173.2919797</v>
      </c>
      <c r="U36" s="245"/>
      <c r="V36" s="46">
        <f t="shared" si="32"/>
        <v>996199.77220000175</v>
      </c>
      <c r="W36" s="46">
        <f>W34+W23</f>
        <v>33604373.064179704</v>
      </c>
      <c r="X36" s="245"/>
      <c r="Y36" s="46">
        <f>Y34+Y23</f>
        <v>996199.77220000175</v>
      </c>
      <c r="Z36" s="46">
        <f>Z34+Z23</f>
        <v>34600572.836379699</v>
      </c>
      <c r="AA36" s="245"/>
      <c r="AB36" s="46">
        <f>AB34+AB23</f>
        <v>996199.77220000175</v>
      </c>
      <c r="AC36" s="46">
        <f>AC34+AC23</f>
        <v>35596772.608579703</v>
      </c>
      <c r="AD36" s="245"/>
      <c r="AE36" s="245"/>
      <c r="AF36" s="245"/>
      <c r="AG36" s="46">
        <f>AG34+AG23</f>
        <v>1113448</v>
      </c>
      <c r="AH36" s="46">
        <f>AH34+AH23</f>
        <v>36710221.561229706</v>
      </c>
      <c r="AI36" s="46">
        <f>AI34+AI23</f>
        <v>8852078.5361720007</v>
      </c>
      <c r="AJ36" s="46">
        <f>AJ34+AJ23</f>
        <v>45562300.097401701</v>
      </c>
      <c r="AK36" s="243">
        <f t="shared" ref="AK36:AL36" si="33">AK34+AK23</f>
        <v>9072402.1265720017</v>
      </c>
      <c r="AL36" s="243">
        <f t="shared" si="33"/>
        <v>54634702.223973699</v>
      </c>
      <c r="AM36" s="243">
        <f t="shared" ref="AM36:AR36" si="34">AM34+AM23</f>
        <v>9276585.3026589043</v>
      </c>
      <c r="AN36" s="243">
        <f t="shared" si="34"/>
        <v>63911287.526632607</v>
      </c>
      <c r="AO36" s="243">
        <f t="shared" si="34"/>
        <v>9246148.8799999971</v>
      </c>
      <c r="AP36" s="243">
        <f t="shared" si="34"/>
        <v>73157436.406632617</v>
      </c>
      <c r="AQ36" s="243">
        <f t="shared" si="34"/>
        <v>9261322.2992000002</v>
      </c>
      <c r="AR36" s="243">
        <f t="shared" si="34"/>
        <v>82418758.705832586</v>
      </c>
    </row>
    <row r="37" spans="2:44" ht="15.75" thickTop="1" x14ac:dyDescent="0.25">
      <c r="B37" s="47"/>
      <c r="C37" s="47"/>
      <c r="D37" s="47"/>
      <c r="E37" s="47"/>
      <c r="F37" s="47"/>
      <c r="G37" s="47"/>
      <c r="H37" s="47"/>
      <c r="I37" s="47"/>
      <c r="J37" s="47"/>
      <c r="K37" s="47"/>
      <c r="L37" s="47"/>
      <c r="M37" s="47"/>
      <c r="N37" s="47"/>
      <c r="O37" s="47"/>
      <c r="P37" s="47"/>
      <c r="Q37" s="47"/>
      <c r="R37" s="47"/>
      <c r="S37" s="47"/>
      <c r="T37" s="47"/>
      <c r="U37" s="47"/>
      <c r="V37" s="47"/>
      <c r="W37" s="47"/>
    </row>
    <row r="38" spans="2:44" x14ac:dyDescent="0.25">
      <c r="B38" s="47"/>
      <c r="C38" s="47"/>
      <c r="D38" s="47"/>
      <c r="E38" s="47"/>
      <c r="F38" s="47"/>
      <c r="G38" s="47"/>
      <c r="H38" s="47"/>
      <c r="I38" s="47"/>
      <c r="J38" s="47"/>
      <c r="K38" s="47"/>
      <c r="L38" s="47"/>
      <c r="M38" s="47"/>
      <c r="N38" s="47"/>
      <c r="O38" s="47"/>
      <c r="P38" s="47"/>
      <c r="Q38" s="47"/>
      <c r="R38" s="47"/>
      <c r="S38" s="47"/>
      <c r="T38" s="47"/>
      <c r="U38" s="47"/>
      <c r="V38" s="47"/>
      <c r="W38" s="47"/>
    </row>
    <row r="39" spans="2:44" x14ac:dyDescent="0.25">
      <c r="B39" s="48"/>
      <c r="C39" s="48"/>
      <c r="D39" s="48"/>
      <c r="E39" s="48"/>
      <c r="F39" s="48"/>
      <c r="G39" s="48"/>
      <c r="H39" s="48"/>
      <c r="I39" s="48"/>
      <c r="J39" s="48"/>
      <c r="K39" s="48"/>
      <c r="L39" s="48"/>
      <c r="M39" s="48"/>
      <c r="N39" s="48"/>
      <c r="O39" s="48"/>
      <c r="P39" s="48"/>
      <c r="Q39" s="48"/>
      <c r="R39" s="48"/>
      <c r="S39" s="48"/>
      <c r="T39" s="48"/>
      <c r="U39" s="48"/>
      <c r="V39" s="48"/>
      <c r="W39" s="48"/>
    </row>
    <row r="40" spans="2:44" x14ac:dyDescent="0.25">
      <c r="B40" s="160" t="s">
        <v>1260</v>
      </c>
      <c r="C40" s="161"/>
      <c r="D40" s="48"/>
      <c r="E40" s="48"/>
      <c r="F40" s="48"/>
      <c r="G40" s="48"/>
      <c r="H40" s="48"/>
      <c r="I40" s="48"/>
      <c r="J40" s="48"/>
      <c r="K40" s="48"/>
      <c r="L40" s="48"/>
      <c r="M40" s="48"/>
      <c r="N40" s="48"/>
      <c r="O40" s="48"/>
      <c r="P40" s="48"/>
      <c r="Q40" s="48"/>
      <c r="R40" s="48"/>
      <c r="S40" s="48"/>
      <c r="T40" s="48"/>
      <c r="U40" s="48"/>
      <c r="V40" s="48"/>
      <c r="W40" s="48"/>
    </row>
    <row r="41" spans="2:44" x14ac:dyDescent="0.25">
      <c r="B41" s="162" t="s">
        <v>589</v>
      </c>
      <c r="C41" s="353">
        <v>67858477</v>
      </c>
      <c r="D41" s="48"/>
      <c r="E41" s="48"/>
      <c r="F41" s="48"/>
      <c r="G41" s="48"/>
      <c r="H41" s="48"/>
      <c r="I41" s="48"/>
      <c r="J41" s="48"/>
      <c r="K41" s="48"/>
      <c r="L41" s="48"/>
      <c r="M41" s="48"/>
      <c r="N41" s="48"/>
      <c r="O41" s="48"/>
      <c r="P41" s="48"/>
      <c r="Q41" s="48"/>
      <c r="R41" s="48"/>
      <c r="S41" s="48"/>
      <c r="T41" s="48"/>
      <c r="U41" s="48"/>
      <c r="V41" s="48"/>
      <c r="W41" s="48"/>
    </row>
    <row r="42" spans="2:44" x14ac:dyDescent="0.25">
      <c r="B42" s="162" t="s">
        <v>1050</v>
      </c>
      <c r="C42" s="353">
        <v>-171406849</v>
      </c>
      <c r="D42" s="48"/>
      <c r="E42" s="48"/>
      <c r="F42" s="48"/>
      <c r="G42" s="48"/>
      <c r="H42" s="48"/>
      <c r="I42" s="48"/>
      <c r="J42" s="48"/>
      <c r="K42" s="48"/>
      <c r="L42" s="48"/>
      <c r="M42" s="48"/>
      <c r="N42" s="48"/>
      <c r="O42" s="48"/>
      <c r="P42" s="48"/>
      <c r="Q42" s="48"/>
      <c r="R42" s="48"/>
      <c r="S42" s="48"/>
      <c r="T42" s="48"/>
      <c r="U42" s="48"/>
      <c r="V42" s="48"/>
      <c r="W42" s="48"/>
    </row>
    <row r="43" spans="2:44" x14ac:dyDescent="0.25">
      <c r="B43" s="163" t="s">
        <v>1051</v>
      </c>
      <c r="C43" s="353">
        <v>-173146</v>
      </c>
    </row>
    <row r="44" spans="2:44" x14ac:dyDescent="0.25">
      <c r="B44" s="163" t="s">
        <v>1052</v>
      </c>
      <c r="C44" s="353">
        <v>-577761</v>
      </c>
    </row>
    <row r="45" spans="2:44" x14ac:dyDescent="0.25">
      <c r="B45" s="163" t="s">
        <v>1053</v>
      </c>
      <c r="C45" s="354">
        <v>0</v>
      </c>
    </row>
    <row r="46" spans="2:44" x14ac:dyDescent="0.25">
      <c r="B46" s="163" t="s">
        <v>1247</v>
      </c>
      <c r="C46" s="355">
        <v>0</v>
      </c>
    </row>
    <row r="47" spans="2:44" x14ac:dyDescent="0.25">
      <c r="B47" s="165" t="s">
        <v>590</v>
      </c>
      <c r="C47" s="164">
        <f>SUM(C41:C46)</f>
        <v>-104299279</v>
      </c>
    </row>
  </sheetData>
  <mergeCells count="4">
    <mergeCell ref="A1:H1"/>
    <mergeCell ref="A2:H2"/>
    <mergeCell ref="A3:H3"/>
    <mergeCell ref="A4:H4"/>
  </mergeCells>
  <pageMargins left="0.2" right="0.2" top="0.75" bottom="0.75" header="0.3" footer="0.3"/>
  <pageSetup paperSize="5" scale="49" orientation="landscape"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2"/>
  <sheetViews>
    <sheetView zoomScale="80" zoomScaleNormal="80" workbookViewId="0"/>
  </sheetViews>
  <sheetFormatPr defaultRowHeight="15" x14ac:dyDescent="0.25"/>
  <cols>
    <col min="1" max="1" width="82.140625" style="6" customWidth="1"/>
    <col min="2" max="2" width="18.42578125" style="86" bestFit="1" customWidth="1"/>
    <col min="3" max="3" width="70.85546875" style="201" bestFit="1" customWidth="1"/>
    <col min="4" max="4" width="11.7109375" style="6" bestFit="1" customWidth="1"/>
    <col min="5" max="16384" width="9.140625" style="6"/>
  </cols>
  <sheetData>
    <row r="1" spans="1:7" x14ac:dyDescent="0.25">
      <c r="A1" s="151" t="s">
        <v>0</v>
      </c>
      <c r="B1" s="151" t="s">
        <v>406</v>
      </c>
    </row>
    <row r="2" spans="1:7" x14ac:dyDescent="0.25">
      <c r="A2" s="151"/>
      <c r="B2" s="151" t="s">
        <v>546</v>
      </c>
    </row>
    <row r="3" spans="1:7" x14ac:dyDescent="0.25">
      <c r="A3" s="151" t="s">
        <v>583</v>
      </c>
    </row>
    <row r="4" spans="1:7" x14ac:dyDescent="0.25">
      <c r="A4" s="151"/>
    </row>
    <row r="6" spans="1:7" x14ac:dyDescent="0.25">
      <c r="B6" s="86" t="s">
        <v>579</v>
      </c>
    </row>
    <row r="7" spans="1:7" x14ac:dyDescent="0.25">
      <c r="A7" s="6" t="s">
        <v>608</v>
      </c>
      <c r="B7" s="86">
        <f>'FERC Form 1 Inputs'!N48+'FERC Form 1 Inputs'!N49+'FERC Form 1 Inputs'!N50+'FERC Form 1 Inputs'!N51</f>
        <v>10530733</v>
      </c>
    </row>
    <row r="9" spans="1:7" x14ac:dyDescent="0.25">
      <c r="A9" s="138" t="s">
        <v>638</v>
      </c>
      <c r="B9" s="86">
        <f>'FERC Form 1 Inputs'!N48</f>
        <v>1245799</v>
      </c>
      <c r="C9" s="210"/>
      <c r="G9" s="89"/>
    </row>
    <row r="10" spans="1:7" x14ac:dyDescent="0.25">
      <c r="A10" s="138" t="s">
        <v>639</v>
      </c>
      <c r="B10" s="86">
        <f>'FERC Form 1 Inputs'!N49</f>
        <v>8471596</v>
      </c>
      <c r="C10" s="210"/>
      <c r="G10" s="89"/>
    </row>
    <row r="11" spans="1:7" x14ac:dyDescent="0.25">
      <c r="A11" s="138" t="s">
        <v>640</v>
      </c>
      <c r="B11" s="86">
        <f>'FERC Form 1 Inputs'!N50</f>
        <v>811724</v>
      </c>
      <c r="C11" s="210"/>
      <c r="G11" s="89"/>
    </row>
    <row r="12" spans="1:7" x14ac:dyDescent="0.25">
      <c r="A12" s="138" t="s">
        <v>641</v>
      </c>
      <c r="B12" s="86">
        <f>'FERC Form 1 Inputs'!N51</f>
        <v>1614</v>
      </c>
      <c r="C12" s="210"/>
      <c r="G12" s="89"/>
    </row>
    <row r="13" spans="1:7" x14ac:dyDescent="0.25">
      <c r="A13" s="138" t="s">
        <v>644</v>
      </c>
      <c r="B13" s="86">
        <f>'FERC Form 1 Inputs'!N52</f>
        <v>231610</v>
      </c>
      <c r="C13" s="210"/>
      <c r="G13" s="89"/>
    </row>
    <row r="14" spans="1:7" x14ac:dyDescent="0.25">
      <c r="A14" s="138" t="s">
        <v>643</v>
      </c>
      <c r="B14" s="86">
        <v>0</v>
      </c>
      <c r="C14" s="234"/>
      <c r="D14" s="200"/>
      <c r="G14" s="89"/>
    </row>
    <row r="15" spans="1:7" x14ac:dyDescent="0.25">
      <c r="A15" s="138" t="s">
        <v>642</v>
      </c>
      <c r="B15" s="86">
        <v>0</v>
      </c>
      <c r="C15" s="234"/>
      <c r="D15" s="200"/>
    </row>
    <row r="17" spans="1:2" x14ac:dyDescent="0.25">
      <c r="A17" s="138" t="s">
        <v>645</v>
      </c>
      <c r="B17" s="126">
        <f>SUM('FERC Form 1 Inputs'!N48:N54)</f>
        <v>10762343</v>
      </c>
    </row>
    <row r="18" spans="1:2" x14ac:dyDescent="0.25">
      <c r="A18" s="6" t="s">
        <v>603</v>
      </c>
    </row>
    <row r="19" spans="1:2" x14ac:dyDescent="0.25">
      <c r="A19" s="59" t="s">
        <v>604</v>
      </c>
      <c r="B19" s="356">
        <v>-3622486.04</v>
      </c>
    </row>
    <row r="20" spans="1:2" x14ac:dyDescent="0.25">
      <c r="A20" s="6" t="s">
        <v>605</v>
      </c>
      <c r="B20" s="356">
        <v>-908218.55</v>
      </c>
    </row>
    <row r="21" spans="1:2" x14ac:dyDescent="0.25">
      <c r="A21" s="6" t="s">
        <v>606</v>
      </c>
      <c r="B21" s="357">
        <v>0</v>
      </c>
    </row>
    <row r="22" spans="1:2" x14ac:dyDescent="0.25">
      <c r="A22" s="6" t="s">
        <v>607</v>
      </c>
      <c r="B22" s="86">
        <f>B7+B19+B20+B21</f>
        <v>6000028.4100000001</v>
      </c>
    </row>
  </sheetData>
  <pageMargins left="0.7" right="0.7" top="0.75" bottom="0.75" header="0.3" footer="0.3"/>
  <pageSetup scale="90"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7"/>
  <sheetViews>
    <sheetView zoomScale="80" zoomScaleNormal="80" workbookViewId="0">
      <selection sqref="A1:J1"/>
    </sheetView>
  </sheetViews>
  <sheetFormatPr defaultRowHeight="15" x14ac:dyDescent="0.25"/>
  <cols>
    <col min="1" max="1" width="50.85546875" style="6" customWidth="1"/>
    <col min="2" max="2" width="16" style="6" customWidth="1"/>
    <col min="3" max="3" width="1.7109375" style="6" customWidth="1"/>
    <col min="4" max="4" width="10.5703125" style="6" customWidth="1"/>
    <col min="5" max="5" width="1.7109375" style="6" customWidth="1"/>
    <col min="6" max="6" width="12.5703125" style="6" customWidth="1"/>
    <col min="7" max="7" width="1.7109375" style="6" customWidth="1"/>
    <col min="8" max="8" width="27.7109375" style="6" customWidth="1"/>
    <col min="9" max="9" width="1.7109375" style="6" customWidth="1"/>
    <col min="10" max="10" width="12.7109375" style="6" customWidth="1"/>
    <col min="11" max="11" width="23.140625" style="6" customWidth="1"/>
    <col min="12" max="12" width="1.7109375" style="6" customWidth="1"/>
    <col min="13" max="13" width="33.85546875" style="6" bestFit="1" customWidth="1"/>
    <col min="14" max="16384" width="9.140625" style="6"/>
  </cols>
  <sheetData>
    <row r="1" spans="1:14" x14ac:dyDescent="0.25">
      <c r="A1" s="359" t="s">
        <v>0</v>
      </c>
      <c r="B1" s="359"/>
      <c r="C1" s="359"/>
      <c r="D1" s="359"/>
      <c r="E1" s="359"/>
      <c r="F1" s="359"/>
      <c r="G1" s="359"/>
      <c r="H1" s="359"/>
      <c r="I1" s="359"/>
      <c r="J1" s="359"/>
      <c r="K1" s="151" t="s">
        <v>406</v>
      </c>
      <c r="L1" s="26"/>
    </row>
    <row r="2" spans="1:14" x14ac:dyDescent="0.25">
      <c r="A2" s="359" t="s">
        <v>116</v>
      </c>
      <c r="B2" s="359"/>
      <c r="C2" s="359"/>
      <c r="D2" s="359"/>
      <c r="E2" s="359"/>
      <c r="F2" s="359"/>
      <c r="G2" s="359"/>
      <c r="H2" s="359"/>
      <c r="I2" s="359"/>
      <c r="J2" s="359"/>
      <c r="K2" s="151" t="s">
        <v>588</v>
      </c>
      <c r="L2" s="26"/>
    </row>
    <row r="3" spans="1:14" x14ac:dyDescent="0.25">
      <c r="A3" s="359"/>
      <c r="B3" s="359"/>
      <c r="C3" s="359"/>
      <c r="D3" s="359"/>
      <c r="E3" s="359"/>
      <c r="F3" s="359"/>
      <c r="G3" s="359"/>
      <c r="H3" s="359"/>
      <c r="I3" s="359"/>
      <c r="J3" s="359"/>
      <c r="K3" s="26"/>
      <c r="L3" s="26"/>
    </row>
    <row r="4" spans="1:14" x14ac:dyDescent="0.25">
      <c r="A4" s="359" t="s">
        <v>408</v>
      </c>
      <c r="B4" s="359"/>
      <c r="C4" s="359"/>
      <c r="D4" s="359"/>
      <c r="E4" s="359"/>
      <c r="F4" s="359"/>
      <c r="G4" s="359"/>
      <c r="H4" s="359"/>
      <c r="I4" s="359"/>
      <c r="J4" s="359"/>
      <c r="K4" s="26"/>
      <c r="L4" s="26"/>
    </row>
    <row r="6" spans="1:14" x14ac:dyDescent="0.25">
      <c r="A6" s="15" t="s">
        <v>409</v>
      </c>
    </row>
    <row r="7" spans="1:14" x14ac:dyDescent="0.25">
      <c r="A7" s="331">
        <v>1</v>
      </c>
      <c r="B7" s="331" t="s">
        <v>410</v>
      </c>
      <c r="C7" s="331"/>
      <c r="D7" s="331"/>
      <c r="E7" s="331"/>
      <c r="F7" s="331"/>
      <c r="G7" s="331"/>
      <c r="H7" s="331" t="s">
        <v>1093</v>
      </c>
      <c r="I7" s="331"/>
      <c r="J7" s="331"/>
      <c r="K7" s="248">
        <v>2.12E-2</v>
      </c>
      <c r="M7" s="147"/>
    </row>
    <row r="8" spans="1:14" x14ac:dyDescent="0.25">
      <c r="A8" s="331"/>
      <c r="B8" s="331"/>
      <c r="C8" s="331"/>
      <c r="D8" s="331"/>
      <c r="E8" s="331"/>
      <c r="F8" s="331"/>
      <c r="G8" s="331"/>
      <c r="H8" s="331"/>
      <c r="I8" s="331"/>
      <c r="J8" s="331"/>
      <c r="K8" s="193"/>
    </row>
    <row r="9" spans="1:14" x14ac:dyDescent="0.25">
      <c r="A9" s="15" t="s">
        <v>526</v>
      </c>
      <c r="B9" s="331"/>
      <c r="C9" s="331"/>
      <c r="D9" s="331"/>
      <c r="E9" s="331"/>
      <c r="F9" s="331"/>
      <c r="G9" s="331"/>
      <c r="H9" s="331"/>
      <c r="I9" s="331"/>
      <c r="J9" s="331"/>
      <c r="K9" s="193"/>
      <c r="M9" s="199"/>
    </row>
    <row r="10" spans="1:14" x14ac:dyDescent="0.25">
      <c r="A10" s="331"/>
      <c r="B10" s="331"/>
      <c r="C10" s="331"/>
      <c r="D10" s="331"/>
      <c r="E10" s="331"/>
      <c r="F10" s="331"/>
      <c r="G10" s="331"/>
      <c r="H10" s="331"/>
      <c r="I10" s="331"/>
      <c r="J10" s="331"/>
      <c r="K10" s="193"/>
      <c r="M10" s="239"/>
    </row>
    <row r="11" spans="1:14" x14ac:dyDescent="0.25">
      <c r="A11" s="331">
        <v>2</v>
      </c>
      <c r="B11" s="331" t="s">
        <v>593</v>
      </c>
      <c r="C11" s="331"/>
      <c r="D11" s="86"/>
      <c r="E11" s="331"/>
      <c r="F11" s="80"/>
      <c r="G11" s="80"/>
      <c r="H11" s="80" t="s">
        <v>141</v>
      </c>
      <c r="I11" s="331"/>
      <c r="J11" s="331"/>
      <c r="K11" s="291">
        <f>222518472-0</f>
        <v>222518472</v>
      </c>
      <c r="M11" s="234"/>
      <c r="N11" s="199"/>
    </row>
    <row r="12" spans="1:14" x14ac:dyDescent="0.25">
      <c r="A12" s="331">
        <v>3</v>
      </c>
      <c r="B12" s="331" t="s">
        <v>527</v>
      </c>
      <c r="C12" s="331"/>
      <c r="D12" s="86"/>
      <c r="E12" s="331"/>
      <c r="F12" s="80"/>
      <c r="G12" s="80"/>
      <c r="H12" s="80" t="s">
        <v>528</v>
      </c>
      <c r="I12" s="331"/>
      <c r="J12" s="331"/>
      <c r="K12" s="193">
        <f>K7*K11</f>
        <v>4717391.6063999999</v>
      </c>
      <c r="M12" s="234"/>
    </row>
    <row r="13" spans="1:14" x14ac:dyDescent="0.25">
      <c r="A13" s="331"/>
      <c r="B13" s="331"/>
      <c r="C13" s="331"/>
      <c r="D13" s="86"/>
      <c r="E13" s="331"/>
      <c r="F13" s="80"/>
      <c r="G13" s="80"/>
      <c r="H13" s="80"/>
      <c r="I13" s="331"/>
      <c r="J13" s="331"/>
      <c r="K13" s="193"/>
      <c r="M13" s="234"/>
    </row>
    <row r="14" spans="1:14" x14ac:dyDescent="0.25">
      <c r="A14" s="331">
        <v>4</v>
      </c>
      <c r="B14" s="331" t="s">
        <v>529</v>
      </c>
      <c r="C14" s="331"/>
      <c r="D14" s="86"/>
      <c r="E14" s="331"/>
      <c r="F14" s="80"/>
      <c r="G14" s="80"/>
      <c r="H14" s="80" t="s">
        <v>530</v>
      </c>
      <c r="I14" s="331"/>
      <c r="J14" s="331"/>
      <c r="K14" s="193">
        <f>K12/2</f>
        <v>2358695.8032</v>
      </c>
      <c r="M14" s="234"/>
      <c r="N14" s="199"/>
    </row>
    <row r="15" spans="1:14" x14ac:dyDescent="0.25">
      <c r="A15" s="331"/>
      <c r="B15" s="331"/>
      <c r="C15" s="331"/>
      <c r="D15" s="331"/>
      <c r="E15" s="331"/>
      <c r="F15" s="331"/>
      <c r="G15" s="331"/>
      <c r="H15" s="331"/>
      <c r="I15" s="331"/>
      <c r="J15" s="331"/>
      <c r="K15" s="331"/>
      <c r="M15" s="239"/>
    </row>
    <row r="16" spans="1:14" x14ac:dyDescent="0.25">
      <c r="A16" s="331"/>
      <c r="B16" s="331"/>
      <c r="C16" s="331"/>
      <c r="D16" s="331"/>
      <c r="E16" s="331"/>
      <c r="F16" s="331"/>
      <c r="G16" s="331"/>
      <c r="H16" s="331"/>
      <c r="I16" s="331"/>
      <c r="J16" s="331"/>
      <c r="K16" s="331"/>
    </row>
    <row r="17" spans="1:11" x14ac:dyDescent="0.25">
      <c r="A17" s="331" t="s">
        <v>1256</v>
      </c>
      <c r="B17" s="331"/>
      <c r="C17" s="331"/>
      <c r="D17" s="331"/>
      <c r="E17" s="331"/>
      <c r="F17" s="331"/>
      <c r="G17" s="331"/>
      <c r="H17" s="331"/>
      <c r="I17" s="331"/>
      <c r="J17" s="331"/>
      <c r="K17" s="331"/>
    </row>
  </sheetData>
  <mergeCells count="4">
    <mergeCell ref="A1:J1"/>
    <mergeCell ref="A2:J2"/>
    <mergeCell ref="A3:J3"/>
    <mergeCell ref="A4:J4"/>
  </mergeCells>
  <pageMargins left="0.7" right="0.7" top="0.75" bottom="0.75" header="0.3" footer="0.3"/>
  <pageSetup scale="56"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80" zoomScaleNormal="80" workbookViewId="0">
      <selection sqref="A1:D1"/>
    </sheetView>
  </sheetViews>
  <sheetFormatPr defaultRowHeight="15" x14ac:dyDescent="0.25"/>
  <cols>
    <col min="1" max="1" width="10" style="6" bestFit="1" customWidth="1"/>
    <col min="2" max="2" width="39.140625" style="6" customWidth="1"/>
    <col min="3" max="3" width="16.28515625" style="6" bestFit="1" customWidth="1"/>
    <col min="4" max="4" width="23.7109375" style="6" customWidth="1"/>
    <col min="5" max="5" width="18.42578125" style="6" bestFit="1" customWidth="1"/>
    <col min="6" max="16384" width="9.140625" style="6"/>
  </cols>
  <sheetData>
    <row r="1" spans="1:5" x14ac:dyDescent="0.25">
      <c r="A1" s="359" t="s">
        <v>0</v>
      </c>
      <c r="B1" s="359"/>
      <c r="C1" s="359"/>
      <c r="D1" s="359"/>
      <c r="E1" s="151" t="s">
        <v>406</v>
      </c>
    </row>
    <row r="2" spans="1:5" x14ac:dyDescent="0.25">
      <c r="A2" s="359" t="s">
        <v>201</v>
      </c>
      <c r="B2" s="359"/>
      <c r="C2" s="359"/>
      <c r="D2" s="359"/>
      <c r="E2" s="151" t="s">
        <v>594</v>
      </c>
    </row>
    <row r="3" spans="1:5" x14ac:dyDescent="0.25">
      <c r="A3" s="359"/>
      <c r="B3" s="359"/>
      <c r="C3" s="359"/>
    </row>
    <row r="4" spans="1:5" x14ac:dyDescent="0.25">
      <c r="A4" s="359" t="s">
        <v>369</v>
      </c>
      <c r="B4" s="359"/>
      <c r="C4" s="359"/>
      <c r="D4" s="359"/>
    </row>
    <row r="6" spans="1:5" x14ac:dyDescent="0.25">
      <c r="C6" s="151" t="s">
        <v>130</v>
      </c>
    </row>
    <row r="7" spans="1:5" x14ac:dyDescent="0.25">
      <c r="C7" s="222">
        <v>43100</v>
      </c>
    </row>
    <row r="8" spans="1:5" ht="51" customHeight="1" x14ac:dyDescent="0.25">
      <c r="A8" s="25" t="s">
        <v>149</v>
      </c>
      <c r="B8" s="6" t="s">
        <v>620</v>
      </c>
      <c r="C8" s="152" t="s">
        <v>131</v>
      </c>
      <c r="D8" s="85" t="s">
        <v>634</v>
      </c>
      <c r="E8" s="85" t="s">
        <v>635</v>
      </c>
    </row>
    <row r="9" spans="1:5" x14ac:dyDescent="0.25">
      <c r="A9" s="6" t="s">
        <v>609</v>
      </c>
      <c r="B9" s="6" t="s">
        <v>621</v>
      </c>
      <c r="C9" s="7">
        <f>'FERC Form 1 Inputs'!N19</f>
        <v>62917137</v>
      </c>
      <c r="D9" s="324">
        <v>4662748.62</v>
      </c>
      <c r="E9" s="9">
        <f>C9-D9</f>
        <v>58254388.380000003</v>
      </c>
    </row>
    <row r="10" spans="1:5" x14ac:dyDescent="0.25">
      <c r="A10" s="6" t="s">
        <v>610</v>
      </c>
      <c r="B10" s="6" t="s">
        <v>622</v>
      </c>
      <c r="C10" s="7">
        <f>'FERC Form 1 Inputs'!N20</f>
        <v>646838651</v>
      </c>
      <c r="D10" s="324">
        <v>126888175.89</v>
      </c>
      <c r="E10" s="9">
        <f t="shared" ref="E10:E20" si="0">C10-D10</f>
        <v>519950475.11000001</v>
      </c>
    </row>
    <row r="11" spans="1:5" x14ac:dyDescent="0.25">
      <c r="A11" s="6" t="s">
        <v>611</v>
      </c>
      <c r="B11" s="6" t="s">
        <v>623</v>
      </c>
      <c r="C11" s="7">
        <f>'FERC Form 1 Inputs'!N21</f>
        <v>124261808</v>
      </c>
      <c r="D11" s="324">
        <v>4005267.62</v>
      </c>
      <c r="E11" s="9">
        <f t="shared" si="0"/>
        <v>120256540.38</v>
      </c>
    </row>
    <row r="12" spans="1:5" x14ac:dyDescent="0.25">
      <c r="A12" s="6" t="s">
        <v>612</v>
      </c>
      <c r="B12" s="6" t="s">
        <v>624</v>
      </c>
      <c r="C12" s="7">
        <f>'FERC Form 1 Inputs'!N22</f>
        <v>10701691</v>
      </c>
      <c r="D12" s="324">
        <v>0</v>
      </c>
      <c r="E12" s="9">
        <f t="shared" si="0"/>
        <v>10701691</v>
      </c>
    </row>
    <row r="13" spans="1:5" x14ac:dyDescent="0.25">
      <c r="A13" s="6" t="s">
        <v>613</v>
      </c>
      <c r="B13" s="6" t="s">
        <v>625</v>
      </c>
      <c r="C13" s="7">
        <f>'FERC Form 1 Inputs'!N23</f>
        <v>13568044</v>
      </c>
      <c r="D13" s="324">
        <v>0</v>
      </c>
      <c r="E13" s="9">
        <f t="shared" si="0"/>
        <v>13568044</v>
      </c>
    </row>
    <row r="14" spans="1:5" x14ac:dyDescent="0.25">
      <c r="A14" s="6" t="s">
        <v>614</v>
      </c>
      <c r="B14" s="6" t="s">
        <v>626</v>
      </c>
      <c r="C14" s="7">
        <f>'FERC Form 1 Inputs'!N24</f>
        <v>95914343</v>
      </c>
      <c r="D14" s="324">
        <v>0</v>
      </c>
      <c r="E14" s="9">
        <f t="shared" si="0"/>
        <v>95914343</v>
      </c>
    </row>
    <row r="15" spans="1:5" x14ac:dyDescent="0.25">
      <c r="A15" s="6" t="s">
        <v>615</v>
      </c>
      <c r="B15" s="6" t="s">
        <v>627</v>
      </c>
      <c r="C15" s="7">
        <f>'FERC Form 1 Inputs'!N25</f>
        <v>6160536</v>
      </c>
      <c r="D15" s="324">
        <v>0</v>
      </c>
      <c r="E15" s="9">
        <f t="shared" si="0"/>
        <v>6160536</v>
      </c>
    </row>
    <row r="16" spans="1:5" x14ac:dyDescent="0.25">
      <c r="A16" s="6" t="s">
        <v>616</v>
      </c>
      <c r="B16" s="6" t="s">
        <v>628</v>
      </c>
      <c r="C16" s="7">
        <f>'FERC Form 1 Inputs'!N26</f>
        <v>13229675</v>
      </c>
      <c r="D16" s="324">
        <v>0</v>
      </c>
      <c r="E16" s="9">
        <f t="shared" si="0"/>
        <v>13229675</v>
      </c>
    </row>
    <row r="17" spans="1:5" x14ac:dyDescent="0.25">
      <c r="A17" s="6" t="s">
        <v>617</v>
      </c>
      <c r="B17" s="6" t="s">
        <v>629</v>
      </c>
      <c r="C17" s="7">
        <f>'FERC Form 1 Inputs'!N27</f>
        <v>139278371</v>
      </c>
      <c r="D17" s="324">
        <v>1436977.13</v>
      </c>
      <c r="E17" s="9">
        <f t="shared" si="0"/>
        <v>137841393.87</v>
      </c>
    </row>
    <row r="18" spans="1:5" x14ac:dyDescent="0.25">
      <c r="A18" s="6" t="s">
        <v>618</v>
      </c>
      <c r="B18" s="6" t="s">
        <v>630</v>
      </c>
      <c r="C18" s="7">
        <f>'FERC Form 1 Inputs'!N28</f>
        <v>9590065</v>
      </c>
      <c r="D18" s="324">
        <v>0</v>
      </c>
      <c r="E18" s="9">
        <f t="shared" si="0"/>
        <v>9590065</v>
      </c>
    </row>
    <row r="19" spans="1:5" x14ac:dyDescent="0.25">
      <c r="A19" s="6" t="s">
        <v>619</v>
      </c>
      <c r="B19" s="6" t="s">
        <v>631</v>
      </c>
      <c r="C19" s="7">
        <f>'FERC Form 1 Inputs'!N29</f>
        <v>0</v>
      </c>
      <c r="D19" s="324">
        <v>0</v>
      </c>
      <c r="E19" s="9">
        <f t="shared" si="0"/>
        <v>0</v>
      </c>
    </row>
    <row r="20" spans="1:5" x14ac:dyDescent="0.25">
      <c r="A20" s="6" t="s">
        <v>399</v>
      </c>
      <c r="B20" s="6" t="s">
        <v>632</v>
      </c>
      <c r="C20" s="78">
        <f>'FERC Form 1 Inputs'!N30</f>
        <v>-931335</v>
      </c>
      <c r="D20" s="291">
        <v>0</v>
      </c>
      <c r="E20" s="87">
        <f t="shared" si="0"/>
        <v>-931335</v>
      </c>
    </row>
    <row r="21" spans="1:5" x14ac:dyDescent="0.25">
      <c r="A21" s="6" t="s">
        <v>398</v>
      </c>
      <c r="B21" s="6" t="s">
        <v>633</v>
      </c>
      <c r="C21" s="7">
        <f>SUM(C9:C20)</f>
        <v>1121528986</v>
      </c>
      <c r="D21" s="7">
        <f>SUM(D9:D20)</f>
        <v>136993169.25999999</v>
      </c>
      <c r="E21" s="9">
        <f>SUM(E9:E20)</f>
        <v>984535816.74000001</v>
      </c>
    </row>
  </sheetData>
  <mergeCells count="4">
    <mergeCell ref="A3:C3"/>
    <mergeCell ref="A4:D4"/>
    <mergeCell ref="A2:D2"/>
    <mergeCell ref="A1:D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Q49"/>
  <sheetViews>
    <sheetView zoomScale="80" zoomScaleNormal="80" workbookViewId="0">
      <selection sqref="A1:H1"/>
    </sheetView>
  </sheetViews>
  <sheetFormatPr defaultRowHeight="15" x14ac:dyDescent="0.25"/>
  <cols>
    <col min="1" max="1" width="5.28515625" style="6" bestFit="1" customWidth="1"/>
    <col min="2" max="2" width="47.5703125" style="6" bestFit="1" customWidth="1"/>
    <col min="3" max="6" width="9.140625" style="6"/>
    <col min="7" max="7" width="52.42578125" style="6" customWidth="1"/>
    <col min="8" max="8" width="1.7109375" style="6" customWidth="1"/>
    <col min="9" max="9" width="18.5703125" style="7" customWidth="1"/>
    <col min="10" max="10" width="1.7109375" style="6" customWidth="1"/>
    <col min="11" max="11" width="60" style="6" customWidth="1"/>
    <col min="12" max="12" width="32.140625" style="6" customWidth="1"/>
    <col min="13" max="13" width="1.5703125" style="6" bestFit="1" customWidth="1"/>
    <col min="14" max="14" width="15.28515625" style="6" bestFit="1" customWidth="1"/>
    <col min="15" max="15" width="13.42578125" style="6" bestFit="1" customWidth="1"/>
    <col min="16" max="16384" width="9.140625" style="6"/>
  </cols>
  <sheetData>
    <row r="1" spans="1:12" x14ac:dyDescent="0.25">
      <c r="A1" s="359" t="s">
        <v>0</v>
      </c>
      <c r="B1" s="359"/>
      <c r="C1" s="359"/>
      <c r="D1" s="359"/>
      <c r="E1" s="359"/>
      <c r="F1" s="359"/>
      <c r="G1" s="359"/>
      <c r="H1" s="359"/>
      <c r="I1" s="15" t="s">
        <v>405</v>
      </c>
      <c r="J1" s="26"/>
      <c r="K1" s="169"/>
    </row>
    <row r="2" spans="1:12" x14ac:dyDescent="0.25">
      <c r="A2" s="359" t="s">
        <v>200</v>
      </c>
      <c r="B2" s="359"/>
      <c r="C2" s="359"/>
      <c r="D2" s="359"/>
      <c r="E2" s="359"/>
      <c r="F2" s="359"/>
      <c r="G2" s="359"/>
      <c r="H2" s="359"/>
      <c r="I2" s="15" t="s">
        <v>646</v>
      </c>
      <c r="J2" s="26"/>
    </row>
    <row r="3" spans="1:12" x14ac:dyDescent="0.25">
      <c r="A3" s="359" t="s">
        <v>1254</v>
      </c>
      <c r="B3" s="359"/>
      <c r="C3" s="359"/>
      <c r="D3" s="359"/>
      <c r="E3" s="359"/>
      <c r="F3" s="359"/>
      <c r="G3" s="359"/>
      <c r="H3" s="359"/>
      <c r="I3" s="170"/>
      <c r="J3" s="26"/>
    </row>
    <row r="4" spans="1:12" x14ac:dyDescent="0.25">
      <c r="A4" s="359" t="s">
        <v>108</v>
      </c>
      <c r="B4" s="359"/>
      <c r="C4" s="359"/>
      <c r="D4" s="359"/>
      <c r="E4" s="359"/>
      <c r="F4" s="359"/>
      <c r="G4" s="359"/>
      <c r="H4" s="359"/>
      <c r="I4" s="26"/>
      <c r="J4" s="26"/>
    </row>
    <row r="5" spans="1:12" x14ac:dyDescent="0.25">
      <c r="A5" s="151"/>
      <c r="B5" s="151"/>
      <c r="C5" s="151"/>
      <c r="D5" s="151"/>
      <c r="E5" s="151"/>
      <c r="F5" s="151"/>
      <c r="G5" s="151"/>
      <c r="H5" s="151"/>
      <c r="I5" s="151"/>
      <c r="J5" s="151"/>
    </row>
    <row r="6" spans="1:12" x14ac:dyDescent="0.25">
      <c r="F6" s="153"/>
      <c r="G6" s="153"/>
      <c r="I6" s="75" t="s">
        <v>109</v>
      </c>
    </row>
    <row r="7" spans="1:12" x14ac:dyDescent="0.25">
      <c r="A7" s="76" t="s">
        <v>2</v>
      </c>
      <c r="F7" s="153"/>
      <c r="G7" s="77" t="s">
        <v>4</v>
      </c>
      <c r="H7" s="153"/>
      <c r="I7" s="75" t="s">
        <v>168</v>
      </c>
      <c r="J7" s="12"/>
    </row>
    <row r="9" spans="1:12" x14ac:dyDescent="0.25">
      <c r="A9" s="6">
        <v>1</v>
      </c>
      <c r="B9" s="15" t="s">
        <v>177</v>
      </c>
      <c r="G9" s="6" t="s">
        <v>496</v>
      </c>
      <c r="I9" s="7">
        <f>'Revenue Requirement'!I66</f>
        <v>322096973.17322081</v>
      </c>
    </row>
    <row r="11" spans="1:12" x14ac:dyDescent="0.25">
      <c r="B11" s="15" t="s">
        <v>110</v>
      </c>
    </row>
    <row r="12" spans="1:12" x14ac:dyDescent="0.25">
      <c r="A12" s="6">
        <v>2</v>
      </c>
      <c r="B12" s="6" t="s">
        <v>176</v>
      </c>
      <c r="G12" s="6" t="s">
        <v>316</v>
      </c>
      <c r="I12" s="7">
        <f>'Attach G - Acct 454'!G18</f>
        <v>6227619.7238621861</v>
      </c>
    </row>
    <row r="13" spans="1:12" x14ac:dyDescent="0.25">
      <c r="A13" s="6">
        <v>3</v>
      </c>
      <c r="B13" s="6" t="s">
        <v>199</v>
      </c>
      <c r="G13" s="6" t="s">
        <v>234</v>
      </c>
      <c r="I13" s="189">
        <f>'Attach I - Acct 456.1'!K97</f>
        <v>10263372.120000001</v>
      </c>
      <c r="K13" s="187"/>
      <c r="L13" s="187"/>
    </row>
    <row r="14" spans="1:12" x14ac:dyDescent="0.25">
      <c r="A14" s="6">
        <v>4</v>
      </c>
      <c r="B14" s="15" t="s">
        <v>111</v>
      </c>
      <c r="I14" s="7">
        <f>SUM(I12:I13)</f>
        <v>16490991.843862187</v>
      </c>
      <c r="K14" s="185"/>
      <c r="L14" s="185"/>
    </row>
    <row r="15" spans="1:12" x14ac:dyDescent="0.25">
      <c r="K15" s="185"/>
      <c r="L15" s="185"/>
    </row>
    <row r="16" spans="1:12" x14ac:dyDescent="0.25">
      <c r="A16" s="6">
        <v>5</v>
      </c>
      <c r="B16" s="15" t="s">
        <v>112</v>
      </c>
      <c r="G16" s="6" t="s">
        <v>268</v>
      </c>
      <c r="I16" s="7">
        <f>'Attach J - Prepayments'!E37</f>
        <v>0</v>
      </c>
      <c r="K16" s="185"/>
      <c r="L16" s="185"/>
    </row>
    <row r="17" spans="1:17" x14ac:dyDescent="0.25">
      <c r="K17" s="185"/>
      <c r="L17" s="185"/>
    </row>
    <row r="18" spans="1:17" x14ac:dyDescent="0.25">
      <c r="A18" s="6">
        <v>6</v>
      </c>
      <c r="B18" s="15" t="s">
        <v>193</v>
      </c>
      <c r="I18" s="324">
        <v>971491.32</v>
      </c>
      <c r="K18" s="185"/>
      <c r="L18" s="185"/>
    </row>
    <row r="19" spans="1:17" x14ac:dyDescent="0.25">
      <c r="I19" s="193"/>
      <c r="K19" s="185"/>
      <c r="L19" s="185"/>
    </row>
    <row r="20" spans="1:17" x14ac:dyDescent="0.25">
      <c r="A20" s="6">
        <v>7</v>
      </c>
      <c r="B20" s="15" t="s">
        <v>698</v>
      </c>
      <c r="G20" s="6" t="s">
        <v>675</v>
      </c>
      <c r="I20" s="193">
        <f>'Attach K - GridSouth'!D11</f>
        <v>0</v>
      </c>
      <c r="K20" s="185"/>
      <c r="L20" s="186"/>
      <c r="M20" s="9"/>
    </row>
    <row r="21" spans="1:17" x14ac:dyDescent="0.25">
      <c r="I21" s="193"/>
      <c r="K21" s="185"/>
      <c r="L21" s="212" t="s">
        <v>1136</v>
      </c>
      <c r="M21" s="275"/>
      <c r="N21" s="275"/>
      <c r="O21" s="275"/>
      <c r="P21" s="275"/>
      <c r="Q21" s="275"/>
    </row>
    <row r="22" spans="1:17" x14ac:dyDescent="0.25">
      <c r="A22" s="6">
        <v>8</v>
      </c>
      <c r="B22" s="15" t="s">
        <v>483</v>
      </c>
      <c r="G22" s="6" t="s">
        <v>507</v>
      </c>
      <c r="I22" s="324">
        <v>0</v>
      </c>
      <c r="K22" s="185"/>
      <c r="L22" s="185"/>
    </row>
    <row r="23" spans="1:17" x14ac:dyDescent="0.25">
      <c r="I23" s="193"/>
      <c r="K23" s="185"/>
      <c r="L23" s="185"/>
    </row>
    <row r="24" spans="1:17" x14ac:dyDescent="0.25">
      <c r="A24" s="6">
        <v>9</v>
      </c>
      <c r="B24" s="15" t="s">
        <v>194</v>
      </c>
      <c r="G24" s="274" t="s">
        <v>484</v>
      </c>
      <c r="H24" s="274"/>
      <c r="I24" s="193">
        <f>I9-I14+I16+I18+I20+I22</f>
        <v>306577472.64935863</v>
      </c>
      <c r="K24" s="187"/>
      <c r="L24" s="187"/>
      <c r="M24" s="9"/>
      <c r="N24" s="80"/>
    </row>
    <row r="25" spans="1:17" x14ac:dyDescent="0.25">
      <c r="A25" s="6">
        <v>10</v>
      </c>
      <c r="B25" s="15" t="s">
        <v>189</v>
      </c>
      <c r="G25" s="274" t="s">
        <v>1198</v>
      </c>
      <c r="H25" s="274"/>
      <c r="I25" s="248">
        <f>(1+0.0211)</f>
        <v>1.0210999999999999</v>
      </c>
      <c r="K25" s="185"/>
      <c r="L25" s="186"/>
      <c r="M25" s="9"/>
    </row>
    <row r="26" spans="1:17" x14ac:dyDescent="0.25">
      <c r="A26" s="6">
        <v>11</v>
      </c>
      <c r="B26" s="15" t="s">
        <v>655</v>
      </c>
      <c r="G26" s="274" t="s">
        <v>508</v>
      </c>
      <c r="H26" s="274"/>
      <c r="I26" s="219">
        <v>1</v>
      </c>
      <c r="K26" s="187"/>
      <c r="L26" s="187"/>
      <c r="M26" s="127"/>
      <c r="N26" s="127"/>
    </row>
    <row r="27" spans="1:17" x14ac:dyDescent="0.25">
      <c r="A27" s="6">
        <v>12</v>
      </c>
      <c r="B27" s="15" t="s">
        <v>596</v>
      </c>
      <c r="G27" s="274" t="s">
        <v>1199</v>
      </c>
      <c r="H27" s="274"/>
      <c r="I27" s="193">
        <f>(I24*I25)/I26</f>
        <v>313046257.32226008</v>
      </c>
      <c r="K27" s="186"/>
      <c r="L27" s="186"/>
      <c r="M27" s="9"/>
      <c r="N27" s="9"/>
      <c r="O27" s="80"/>
    </row>
    <row r="28" spans="1:17" x14ac:dyDescent="0.25">
      <c r="B28" s="15"/>
      <c r="G28" s="274"/>
      <c r="H28" s="274"/>
      <c r="I28" s="193"/>
      <c r="K28" s="186"/>
      <c r="L28" s="188"/>
      <c r="M28" s="95"/>
      <c r="N28" s="95"/>
      <c r="O28" s="80"/>
    </row>
    <row r="29" spans="1:17" x14ac:dyDescent="0.25">
      <c r="A29" s="6">
        <v>13</v>
      </c>
      <c r="B29" s="15" t="s">
        <v>283</v>
      </c>
      <c r="G29" s="212" t="s">
        <v>459</v>
      </c>
      <c r="I29" s="358">
        <v>-12516425.905041123</v>
      </c>
      <c r="K29" s="341"/>
      <c r="L29" s="188"/>
      <c r="M29" s="95"/>
      <c r="N29" s="9"/>
    </row>
    <row r="30" spans="1:17" x14ac:dyDescent="0.25">
      <c r="A30" s="6">
        <v>14</v>
      </c>
      <c r="B30" s="15" t="s">
        <v>600</v>
      </c>
      <c r="G30" s="6" t="s">
        <v>485</v>
      </c>
      <c r="I30" s="193">
        <f>I27+I29</f>
        <v>300529831.41721898</v>
      </c>
      <c r="K30" s="193"/>
      <c r="L30" s="188"/>
      <c r="M30" s="95"/>
      <c r="N30" s="9"/>
      <c r="O30" s="80"/>
    </row>
    <row r="31" spans="1:17" x14ac:dyDescent="0.25">
      <c r="B31" s="15"/>
      <c r="I31" s="193"/>
      <c r="K31" s="193"/>
      <c r="L31" s="188"/>
      <c r="M31" s="95"/>
      <c r="N31" s="95"/>
      <c r="O31" s="8"/>
    </row>
    <row r="32" spans="1:17" x14ac:dyDescent="0.25">
      <c r="A32" s="81">
        <v>15</v>
      </c>
      <c r="B32" s="15" t="s">
        <v>284</v>
      </c>
      <c r="G32" s="212" t="s">
        <v>460</v>
      </c>
      <c r="I32" s="358">
        <v>-12307167.881391695</v>
      </c>
      <c r="K32" s="341"/>
      <c r="L32" s="187"/>
      <c r="M32" s="95"/>
      <c r="N32" s="9"/>
      <c r="O32" s="8"/>
    </row>
    <row r="33" spans="1:14" x14ac:dyDescent="0.25">
      <c r="A33" s="6">
        <v>16</v>
      </c>
      <c r="B33" s="15" t="s">
        <v>599</v>
      </c>
      <c r="G33" s="6" t="s">
        <v>486</v>
      </c>
      <c r="I33" s="7">
        <f>I27+I32</f>
        <v>300739089.44086838</v>
      </c>
      <c r="K33" s="7"/>
      <c r="L33" s="74"/>
      <c r="M33" s="95"/>
      <c r="N33" s="9"/>
    </row>
    <row r="34" spans="1:14" x14ac:dyDescent="0.25">
      <c r="K34" s="7"/>
      <c r="L34" s="13"/>
      <c r="M34" s="141"/>
      <c r="N34" s="13"/>
    </row>
    <row r="35" spans="1:14" x14ac:dyDescent="0.25">
      <c r="A35" s="6">
        <v>17</v>
      </c>
      <c r="B35" s="15" t="s">
        <v>195</v>
      </c>
      <c r="G35" s="6" t="s">
        <v>1132</v>
      </c>
      <c r="I35" s="8">
        <f>'Attach K - GridSouth'!E20/12</f>
        <v>19434.583333333332</v>
      </c>
      <c r="K35" s="8"/>
      <c r="L35" s="13"/>
      <c r="M35" s="13"/>
      <c r="N35" s="9"/>
    </row>
    <row r="36" spans="1:14" x14ac:dyDescent="0.25">
      <c r="B36" s="15"/>
      <c r="K36" s="7"/>
      <c r="L36" s="13"/>
      <c r="M36" s="13"/>
      <c r="N36" s="13"/>
    </row>
    <row r="37" spans="1:14" x14ac:dyDescent="0.25">
      <c r="A37" s="6">
        <v>18</v>
      </c>
      <c r="B37" s="15" t="s">
        <v>423</v>
      </c>
      <c r="G37" s="6" t="s">
        <v>487</v>
      </c>
      <c r="I37" s="82">
        <f>ROUND(I33/I35/1000,2)</f>
        <v>15.47</v>
      </c>
      <c r="K37" s="82"/>
      <c r="L37" s="13"/>
      <c r="M37" s="13"/>
      <c r="N37" s="82"/>
    </row>
    <row r="38" spans="1:14" x14ac:dyDescent="0.25">
      <c r="I38" s="83"/>
      <c r="K38" s="13"/>
      <c r="L38" s="13"/>
      <c r="M38" s="13"/>
      <c r="N38" s="13"/>
    </row>
    <row r="39" spans="1:14" x14ac:dyDescent="0.25">
      <c r="A39" s="6">
        <v>19</v>
      </c>
      <c r="B39" s="15" t="s">
        <v>424</v>
      </c>
      <c r="G39" s="6" t="s">
        <v>488</v>
      </c>
      <c r="I39" s="166">
        <f>ROUND(I37/12,3)</f>
        <v>1.2889999999999999</v>
      </c>
      <c r="K39" s="13"/>
      <c r="L39" s="142"/>
      <c r="M39" s="13"/>
      <c r="N39" s="143"/>
    </row>
    <row r="40" spans="1:14" x14ac:dyDescent="0.25">
      <c r="I40" s="83"/>
      <c r="K40" s="13"/>
      <c r="L40" s="142"/>
      <c r="M40" s="13"/>
      <c r="N40" s="13"/>
    </row>
    <row r="41" spans="1:14" x14ac:dyDescent="0.25">
      <c r="A41" s="6">
        <v>20</v>
      </c>
      <c r="B41" s="15" t="s">
        <v>425</v>
      </c>
      <c r="G41" s="6" t="s">
        <v>489</v>
      </c>
      <c r="I41" s="166">
        <f>ROUND(I37/52,3)</f>
        <v>0.29799999999999999</v>
      </c>
      <c r="K41" s="13"/>
      <c r="L41" s="13"/>
      <c r="M41" s="13"/>
      <c r="N41" s="13"/>
    </row>
    <row r="42" spans="1:14" x14ac:dyDescent="0.25">
      <c r="I42" s="83"/>
      <c r="K42" s="13"/>
      <c r="L42" s="13"/>
      <c r="M42" s="13"/>
      <c r="N42" s="13"/>
    </row>
    <row r="43" spans="1:14" x14ac:dyDescent="0.25">
      <c r="B43" s="15" t="s">
        <v>426</v>
      </c>
      <c r="I43" s="83"/>
      <c r="K43" s="13"/>
      <c r="L43" s="13"/>
      <c r="M43" s="13"/>
      <c r="N43" s="13"/>
    </row>
    <row r="44" spans="1:14" x14ac:dyDescent="0.25">
      <c r="A44" s="6">
        <v>21</v>
      </c>
      <c r="B44" s="6" t="s">
        <v>113</v>
      </c>
      <c r="G44" s="6" t="s">
        <v>490</v>
      </c>
      <c r="I44" s="84">
        <f>ROUND(I41/5,5)</f>
        <v>5.96E-2</v>
      </c>
      <c r="K44" s="13"/>
      <c r="L44" s="13"/>
      <c r="M44" s="13"/>
      <c r="N44" s="13"/>
    </row>
    <row r="45" spans="1:14" x14ac:dyDescent="0.25">
      <c r="A45" s="6">
        <v>22</v>
      </c>
      <c r="B45" s="6" t="s">
        <v>114</v>
      </c>
      <c r="G45" s="6" t="s">
        <v>491</v>
      </c>
      <c r="I45" s="84">
        <f>ROUND(I41/7,5)</f>
        <v>4.2569999999999997E-2</v>
      </c>
      <c r="K45" s="13"/>
      <c r="L45" s="13"/>
      <c r="M45" s="13"/>
      <c r="N45" s="13"/>
    </row>
    <row r="46" spans="1:14" x14ac:dyDescent="0.25">
      <c r="I46" s="83"/>
      <c r="K46" s="13"/>
      <c r="L46" s="13"/>
      <c r="M46" s="13"/>
      <c r="N46" s="13"/>
    </row>
    <row r="47" spans="1:14" x14ac:dyDescent="0.25">
      <c r="B47" s="15" t="s">
        <v>427</v>
      </c>
      <c r="I47" s="83"/>
    </row>
    <row r="48" spans="1:14" x14ac:dyDescent="0.25">
      <c r="A48" s="6">
        <v>23</v>
      </c>
      <c r="B48" s="6" t="s">
        <v>1115</v>
      </c>
      <c r="G48" s="6" t="s">
        <v>492</v>
      </c>
      <c r="I48" s="84">
        <f>ROUND(I44/16,5)</f>
        <v>3.7299999999999998E-3</v>
      </c>
    </row>
    <row r="49" spans="1:9" x14ac:dyDescent="0.25">
      <c r="A49" s="6">
        <v>24</v>
      </c>
      <c r="B49" s="6" t="s">
        <v>1116</v>
      </c>
      <c r="G49" s="6" t="s">
        <v>493</v>
      </c>
      <c r="I49" s="84">
        <f>ROUND(I45/24,5)</f>
        <v>1.7700000000000001E-3</v>
      </c>
    </row>
  </sheetData>
  <mergeCells count="4">
    <mergeCell ref="A1:H1"/>
    <mergeCell ref="A2:H2"/>
    <mergeCell ref="A4:H4"/>
    <mergeCell ref="A3:H3"/>
  </mergeCells>
  <pageMargins left="0.2" right="0.2" top="0.75" bottom="0.75" header="0.3" footer="0.3"/>
  <pageSetup scale="60" orientation="portrait" r:id="rId1"/>
  <headerFooter>
    <oddFooter>&amp;L&amp;Z&amp;F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85"/>
  <sheetViews>
    <sheetView zoomScale="80" zoomScaleNormal="80" workbookViewId="0">
      <selection sqref="A1:I1"/>
    </sheetView>
  </sheetViews>
  <sheetFormatPr defaultColWidth="16.5703125" defaultRowHeight="15" x14ac:dyDescent="0.25"/>
  <cols>
    <col min="1" max="1" width="5.28515625" style="6" bestFit="1" customWidth="1"/>
    <col min="2" max="2" width="67.85546875" style="6" bestFit="1" customWidth="1"/>
    <col min="3" max="3" width="3.85546875" style="6" customWidth="1"/>
    <col min="4" max="4" width="35.28515625" style="153" bestFit="1" customWidth="1"/>
    <col min="5" max="5" width="3.5703125" style="6" customWidth="1"/>
    <col min="6" max="6" width="19.140625" style="6" customWidth="1"/>
    <col min="7" max="7" width="3.28515625" style="6" customWidth="1"/>
    <col min="8" max="8" width="16.5703125" style="6"/>
    <col min="9" max="9" width="15.140625" style="73" customWidth="1"/>
    <col min="10" max="10" width="24.28515625" style="6" bestFit="1" customWidth="1"/>
    <col min="11" max="11" width="105.140625" style="201" bestFit="1" customWidth="1"/>
    <col min="12" max="16384" width="16.5703125" style="6"/>
  </cols>
  <sheetData>
    <row r="1" spans="1:10" x14ac:dyDescent="0.25">
      <c r="A1" s="359" t="s">
        <v>0</v>
      </c>
      <c r="B1" s="359"/>
      <c r="C1" s="359"/>
      <c r="D1" s="359"/>
      <c r="E1" s="359"/>
      <c r="F1" s="359"/>
      <c r="G1" s="359"/>
      <c r="H1" s="359"/>
      <c r="I1" s="359"/>
      <c r="J1" s="15" t="s">
        <v>405</v>
      </c>
    </row>
    <row r="2" spans="1:10" x14ac:dyDescent="0.25">
      <c r="A2" s="359" t="s">
        <v>201</v>
      </c>
      <c r="B2" s="359"/>
      <c r="C2" s="359"/>
      <c r="D2" s="359"/>
      <c r="E2" s="359"/>
      <c r="F2" s="359"/>
      <c r="G2" s="359"/>
      <c r="H2" s="359"/>
      <c r="I2" s="359"/>
      <c r="J2" s="15" t="s">
        <v>647</v>
      </c>
    </row>
    <row r="3" spans="1:10" x14ac:dyDescent="0.25">
      <c r="A3" s="359" t="str">
        <f>+Summary!A3</f>
        <v>Utilizing Historic Cost Data for (2017) and Projected Net Plant at Year-End (2017)</v>
      </c>
      <c r="B3" s="359"/>
      <c r="C3" s="359"/>
      <c r="D3" s="359"/>
      <c r="E3" s="359"/>
      <c r="F3" s="359"/>
      <c r="G3" s="359"/>
      <c r="H3" s="359"/>
      <c r="I3" s="359"/>
    </row>
    <row r="4" spans="1:10" x14ac:dyDescent="0.25">
      <c r="A4" s="359" t="s">
        <v>1</v>
      </c>
      <c r="B4" s="359"/>
      <c r="C4" s="359"/>
      <c r="D4" s="359"/>
      <c r="E4" s="359"/>
      <c r="F4" s="359"/>
      <c r="G4" s="359"/>
      <c r="H4" s="359"/>
      <c r="I4" s="359"/>
      <c r="J4" s="153"/>
    </row>
    <row r="5" spans="1:10" x14ac:dyDescent="0.25">
      <c r="A5" s="151"/>
      <c r="B5" s="151"/>
      <c r="C5" s="151"/>
      <c r="D5" s="151"/>
      <c r="E5" s="151"/>
      <c r="F5" s="151"/>
      <c r="G5" s="151"/>
      <c r="H5" s="151"/>
      <c r="I5" s="151"/>
      <c r="J5" s="153"/>
    </row>
    <row r="6" spans="1:10" x14ac:dyDescent="0.25">
      <c r="J6" s="75" t="s">
        <v>7</v>
      </c>
    </row>
    <row r="7" spans="1:10" x14ac:dyDescent="0.25">
      <c r="A7" s="76" t="s">
        <v>2</v>
      </c>
      <c r="B7" s="15" t="s">
        <v>3</v>
      </c>
      <c r="D7" s="151" t="s">
        <v>4</v>
      </c>
      <c r="F7" s="75" t="s">
        <v>190</v>
      </c>
      <c r="H7" s="359" t="s">
        <v>6</v>
      </c>
      <c r="I7" s="359"/>
      <c r="J7" s="75" t="s">
        <v>168</v>
      </c>
    </row>
    <row r="8" spans="1:10" x14ac:dyDescent="0.25">
      <c r="F8" s="12"/>
      <c r="H8" s="153"/>
    </row>
    <row r="9" spans="1:10" x14ac:dyDescent="0.25">
      <c r="D9" s="168"/>
      <c r="F9" s="12"/>
      <c r="H9" s="168"/>
      <c r="J9" s="12"/>
    </row>
    <row r="10" spans="1:10" x14ac:dyDescent="0.25">
      <c r="B10" s="15" t="s">
        <v>695</v>
      </c>
      <c r="D10" s="168"/>
      <c r="F10" s="193"/>
      <c r="J10" s="7"/>
    </row>
    <row r="11" spans="1:10" x14ac:dyDescent="0.25">
      <c r="A11" s="6">
        <v>1</v>
      </c>
      <c r="B11" s="6" t="s">
        <v>9</v>
      </c>
      <c r="D11" s="168" t="s">
        <v>395</v>
      </c>
      <c r="F11" s="193">
        <f>'FERC Form 1 Inputs'!N14</f>
        <v>20969006811</v>
      </c>
      <c r="H11" s="6" t="s">
        <v>74</v>
      </c>
      <c r="J11" s="7"/>
    </row>
    <row r="12" spans="1:10" x14ac:dyDescent="0.25">
      <c r="A12" s="89" t="s">
        <v>216</v>
      </c>
      <c r="B12" s="6" t="s">
        <v>220</v>
      </c>
      <c r="D12" s="168" t="s">
        <v>535</v>
      </c>
      <c r="F12" s="263">
        <f>'Attach P - AFUDC'!C23</f>
        <v>260131319</v>
      </c>
      <c r="H12" s="6" t="s">
        <v>74</v>
      </c>
      <c r="J12" s="7"/>
    </row>
    <row r="13" spans="1:10" x14ac:dyDescent="0.25">
      <c r="A13" s="89" t="s">
        <v>244</v>
      </c>
      <c r="B13" s="6" t="s">
        <v>253</v>
      </c>
      <c r="D13" s="168" t="s">
        <v>246</v>
      </c>
      <c r="F13" s="193">
        <f>-'FERC Form 1 Inputs'!N11</f>
        <v>-198958161</v>
      </c>
      <c r="H13" s="6" t="s">
        <v>74</v>
      </c>
      <c r="J13" s="7"/>
    </row>
    <row r="14" spans="1:10" x14ac:dyDescent="0.25">
      <c r="A14" s="89" t="s">
        <v>245</v>
      </c>
      <c r="B14" s="6" t="s">
        <v>919</v>
      </c>
      <c r="D14" s="168" t="s">
        <v>920</v>
      </c>
      <c r="F14" s="193">
        <f>'FERC Form 1 Inputs'!N32</f>
        <v>0</v>
      </c>
      <c r="H14" s="6" t="s">
        <v>74</v>
      </c>
      <c r="J14" s="7"/>
    </row>
    <row r="15" spans="1:10" x14ac:dyDescent="0.25">
      <c r="A15" s="6">
        <v>2</v>
      </c>
      <c r="B15" s="6" t="s">
        <v>10</v>
      </c>
      <c r="D15" s="168" t="s">
        <v>396</v>
      </c>
      <c r="F15" s="193">
        <f>'FERC Form 1 Inputs'!N15</f>
        <v>3859092654.8299999</v>
      </c>
      <c r="H15" s="6" t="s">
        <v>75</v>
      </c>
      <c r="I15" s="124">
        <f>'Allocation Factors'!$H$13</f>
        <v>0.92469611331494961</v>
      </c>
      <c r="J15" s="7">
        <f>F15*I15</f>
        <v>3568487978.8435712</v>
      </c>
    </row>
    <row r="16" spans="1:10" x14ac:dyDescent="0.25">
      <c r="A16" s="89" t="s">
        <v>217</v>
      </c>
      <c r="B16" s="6" t="s">
        <v>221</v>
      </c>
      <c r="D16" s="168" t="s">
        <v>535</v>
      </c>
      <c r="F16" s="263">
        <f>'Attach P - AFUDC'!C34</f>
        <v>3830450</v>
      </c>
      <c r="H16" s="6" t="s">
        <v>75</v>
      </c>
      <c r="I16" s="124">
        <f>'Allocation Factors'!$H$13</f>
        <v>0.92469611331494961</v>
      </c>
      <c r="J16" s="7">
        <f>F16*I16</f>
        <v>3542002.2272472489</v>
      </c>
    </row>
    <row r="17" spans="1:13" x14ac:dyDescent="0.25">
      <c r="A17" s="89" t="s">
        <v>391</v>
      </c>
      <c r="B17" s="6" t="s">
        <v>392</v>
      </c>
      <c r="D17" s="168" t="s">
        <v>588</v>
      </c>
      <c r="F17" s="193">
        <f>'Attach R - Projection'!K11</f>
        <v>222518472</v>
      </c>
      <c r="H17" s="6" t="s">
        <v>1113</v>
      </c>
      <c r="I17" s="124">
        <f>'Allocation Factors'!$H$13/2</f>
        <v>0.4623480566574748</v>
      </c>
      <c r="J17" s="7">
        <f>F17*I17</f>
        <v>102880983.09959072</v>
      </c>
      <c r="L17" s="187"/>
      <c r="M17" s="185"/>
    </row>
    <row r="18" spans="1:13" x14ac:dyDescent="0.25">
      <c r="A18" s="6">
        <v>3</v>
      </c>
      <c r="B18" s="6" t="s">
        <v>11</v>
      </c>
      <c r="D18" s="168" t="s">
        <v>397</v>
      </c>
      <c r="F18" s="193">
        <f>'FERC Form 1 Inputs'!N16</f>
        <v>11349332808.17</v>
      </c>
      <c r="H18" s="6" t="s">
        <v>74</v>
      </c>
      <c r="I18" s="124"/>
      <c r="J18" s="7"/>
    </row>
    <row r="19" spans="1:13" x14ac:dyDescent="0.25">
      <c r="A19" s="6">
        <v>4</v>
      </c>
      <c r="B19" s="6" t="s">
        <v>12</v>
      </c>
      <c r="D19" s="168" t="s">
        <v>398</v>
      </c>
      <c r="F19" s="193">
        <f>'FERC Form 1 Inputs'!N17</f>
        <v>1121528986</v>
      </c>
      <c r="H19" s="6" t="s">
        <v>76</v>
      </c>
      <c r="I19" s="124">
        <f>'Allocation Factors'!$H$21</f>
        <v>3.5773423890158328E-2</v>
      </c>
      <c r="J19" s="7">
        <f>F19*I19</f>
        <v>40120931.821277447</v>
      </c>
    </row>
    <row r="20" spans="1:13" x14ac:dyDescent="0.25">
      <c r="A20" s="89" t="s">
        <v>247</v>
      </c>
      <c r="B20" s="6" t="s">
        <v>255</v>
      </c>
      <c r="D20" s="168" t="s">
        <v>399</v>
      </c>
      <c r="F20" s="193">
        <f>-'FERC Form 1 Inputs'!N18</f>
        <v>931335</v>
      </c>
      <c r="H20" s="6" t="s">
        <v>76</v>
      </c>
      <c r="I20" s="124">
        <f>'Allocation Factors'!$H$21</f>
        <v>3.5773423890158328E-2</v>
      </c>
      <c r="J20" s="7">
        <f>F20*I20</f>
        <v>33317.041738740605</v>
      </c>
    </row>
    <row r="21" spans="1:13" x14ac:dyDescent="0.25">
      <c r="A21" s="89" t="s">
        <v>318</v>
      </c>
      <c r="B21" s="6" t="s">
        <v>319</v>
      </c>
      <c r="D21" s="168" t="s">
        <v>584</v>
      </c>
      <c r="F21" s="193">
        <f>-'Schedule 1'!F7</f>
        <v>-136993169.25999999</v>
      </c>
      <c r="H21" s="6" t="s">
        <v>76</v>
      </c>
      <c r="I21" s="124">
        <f>'Allocation Factors'!$H$21</f>
        <v>3.5773423890158328E-2</v>
      </c>
      <c r="J21" s="7">
        <f>F21*I21</f>
        <v>-4900714.7139941873</v>
      </c>
    </row>
    <row r="22" spans="1:13" x14ac:dyDescent="0.25">
      <c r="A22" s="6">
        <v>5</v>
      </c>
      <c r="B22" s="6" t="s">
        <v>13</v>
      </c>
      <c r="D22" s="168" t="s">
        <v>400</v>
      </c>
      <c r="F22" s="189">
        <f>'FERC Form 1 Inputs'!N13</f>
        <v>943490978</v>
      </c>
      <c r="I22" s="124"/>
      <c r="J22" s="78">
        <f>'Attach L - Intangibles Gross'!H109</f>
        <v>37678387.711215459</v>
      </c>
    </row>
    <row r="23" spans="1:13" x14ac:dyDescent="0.25">
      <c r="A23" s="6">
        <v>6</v>
      </c>
      <c r="B23" s="15" t="s">
        <v>8</v>
      </c>
      <c r="D23" s="168"/>
      <c r="F23" s="193">
        <f>SUM(F11:F22)</f>
        <v>38393912483.739998</v>
      </c>
      <c r="H23" s="6" t="s">
        <v>132</v>
      </c>
      <c r="I23" s="124">
        <f>J23/F23</f>
        <v>9.7615550059345371E-2</v>
      </c>
      <c r="J23" s="7">
        <f>SUM(J11:J22)</f>
        <v>3747842886.0306468</v>
      </c>
    </row>
    <row r="24" spans="1:13" x14ac:dyDescent="0.25">
      <c r="D24" s="168"/>
      <c r="F24" s="193"/>
      <c r="I24" s="124"/>
      <c r="J24" s="7"/>
    </row>
    <row r="25" spans="1:13" x14ac:dyDescent="0.25">
      <c r="B25" s="15" t="s">
        <v>14</v>
      </c>
      <c r="D25" s="168"/>
      <c r="F25" s="193"/>
      <c r="I25" s="124"/>
      <c r="J25" s="7"/>
    </row>
    <row r="26" spans="1:13" x14ac:dyDescent="0.25">
      <c r="A26" s="6">
        <v>7</v>
      </c>
      <c r="B26" s="6" t="s">
        <v>16</v>
      </c>
      <c r="D26" s="168" t="s">
        <v>921</v>
      </c>
      <c r="F26" s="193">
        <f>'FERC Form 1 Inputs'!N33</f>
        <v>8371743113</v>
      </c>
      <c r="H26" s="6" t="s">
        <v>74</v>
      </c>
      <c r="I26" s="124"/>
      <c r="J26" s="7"/>
    </row>
    <row r="27" spans="1:13" x14ac:dyDescent="0.25">
      <c r="A27" s="89" t="s">
        <v>218</v>
      </c>
      <c r="B27" s="6" t="s">
        <v>220</v>
      </c>
      <c r="D27" s="168" t="s">
        <v>535</v>
      </c>
      <c r="F27" s="263">
        <f>'Attach P - AFUDC'!AR23</f>
        <v>81945739.038996592</v>
      </c>
      <c r="H27" s="6" t="s">
        <v>74</v>
      </c>
      <c r="J27" s="7"/>
    </row>
    <row r="28" spans="1:13" x14ac:dyDescent="0.25">
      <c r="A28" s="89" t="s">
        <v>223</v>
      </c>
      <c r="B28" s="6" t="s">
        <v>254</v>
      </c>
      <c r="D28" s="168" t="s">
        <v>696</v>
      </c>
      <c r="F28" s="193">
        <f>'Attach P - AFUDC'!C41+'Attach P - AFUDC'!C42+'Attach P - AFUDC'!C44</f>
        <v>-104126133</v>
      </c>
      <c r="H28" s="6" t="s">
        <v>74</v>
      </c>
      <c r="J28" s="7"/>
    </row>
    <row r="29" spans="1:13" x14ac:dyDescent="0.25">
      <c r="A29" s="6">
        <v>8</v>
      </c>
      <c r="B29" s="6" t="s">
        <v>17</v>
      </c>
      <c r="D29" s="168" t="s">
        <v>922</v>
      </c>
      <c r="F29" s="193">
        <f>'FERC Form 1 Inputs'!N34</f>
        <v>1401617026.1199999</v>
      </c>
      <c r="H29" s="6" t="s">
        <v>75</v>
      </c>
      <c r="I29" s="124">
        <f>'Allocation Factors'!$H$13</f>
        <v>0.92469611331494961</v>
      </c>
      <c r="J29" s="7">
        <f>F29*I29</f>
        <v>1296069816.4092221</v>
      </c>
    </row>
    <row r="30" spans="1:13" x14ac:dyDescent="0.25">
      <c r="A30" s="89" t="s">
        <v>219</v>
      </c>
      <c r="B30" s="6" t="s">
        <v>221</v>
      </c>
      <c r="D30" s="168" t="s">
        <v>535</v>
      </c>
      <c r="F30" s="263">
        <f>'Attach P - AFUDC'!AR34</f>
        <v>473019.66683599993</v>
      </c>
      <c r="H30" s="6" t="s">
        <v>75</v>
      </c>
      <c r="I30" s="124">
        <f>'Allocation Factors'!$H$13</f>
        <v>0.92469611331494961</v>
      </c>
      <c r="J30" s="7">
        <f>F30*I30</f>
        <v>437399.44744478149</v>
      </c>
    </row>
    <row r="31" spans="1:13" x14ac:dyDescent="0.25">
      <c r="A31" s="89" t="s">
        <v>393</v>
      </c>
      <c r="B31" s="6" t="s">
        <v>394</v>
      </c>
      <c r="D31" s="168" t="s">
        <v>588</v>
      </c>
      <c r="F31" s="193">
        <f>'Attach R - Projection'!K14</f>
        <v>2358695.8032</v>
      </c>
      <c r="H31" s="6" t="s">
        <v>75</v>
      </c>
      <c r="I31" s="124">
        <f>'Allocation Factors'!$H$13</f>
        <v>0.92469611331494961</v>
      </c>
      <c r="J31" s="7">
        <f>F31*I31</f>
        <v>2181076.8417113232</v>
      </c>
      <c r="L31" s="187"/>
      <c r="M31" s="185"/>
    </row>
    <row r="32" spans="1:13" x14ac:dyDescent="0.25">
      <c r="A32" s="6">
        <v>9</v>
      </c>
      <c r="B32" s="6" t="s">
        <v>18</v>
      </c>
      <c r="D32" s="168" t="s">
        <v>923</v>
      </c>
      <c r="F32" s="193">
        <f>'FERC Form 1 Inputs'!N35</f>
        <v>4657709406</v>
      </c>
      <c r="H32" s="6" t="s">
        <v>74</v>
      </c>
      <c r="I32" s="124"/>
      <c r="J32" s="7"/>
    </row>
    <row r="33" spans="1:14" x14ac:dyDescent="0.25">
      <c r="A33" s="6">
        <v>10</v>
      </c>
      <c r="B33" s="6" t="s">
        <v>19</v>
      </c>
      <c r="D33" s="168" t="s">
        <v>924</v>
      </c>
      <c r="F33" s="193">
        <f>'FERC Form 1 Inputs'!N36</f>
        <v>395580917</v>
      </c>
      <c r="H33" s="6" t="s">
        <v>76</v>
      </c>
      <c r="I33" s="124">
        <f>'Allocation Factors'!$H$21</f>
        <v>3.5773423890158328E-2</v>
      </c>
      <c r="J33" s="7">
        <f>F33*I33</f>
        <v>14151283.826698538</v>
      </c>
    </row>
    <row r="34" spans="1:14" x14ac:dyDescent="0.25">
      <c r="A34" s="89" t="s">
        <v>314</v>
      </c>
      <c r="B34" s="6" t="s">
        <v>256</v>
      </c>
      <c r="D34" s="168" t="s">
        <v>696</v>
      </c>
      <c r="F34" s="193">
        <f>'Attach P - AFUDC'!C43</f>
        <v>-173146</v>
      </c>
      <c r="H34" s="6" t="s">
        <v>76</v>
      </c>
      <c r="I34" s="124">
        <f>'Allocation Factors'!$H$21</f>
        <v>3.5773423890158328E-2</v>
      </c>
      <c r="J34" s="7">
        <f>F34*I34</f>
        <v>-6194.0252528853534</v>
      </c>
    </row>
    <row r="35" spans="1:14" x14ac:dyDescent="0.25">
      <c r="A35" s="89" t="s">
        <v>320</v>
      </c>
      <c r="B35" s="6" t="s">
        <v>321</v>
      </c>
      <c r="D35" s="168" t="s">
        <v>705</v>
      </c>
      <c r="F35" s="193">
        <f>-F33*'Schedule 1'!F60</f>
        <v>-48319645.943245381</v>
      </c>
      <c r="H35" s="6" t="s">
        <v>76</v>
      </c>
      <c r="I35" s="124">
        <f>'Allocation Factors'!$H$21</f>
        <v>3.5773423890158328E-2</v>
      </c>
      <c r="J35" s="7">
        <f>F35*I35</f>
        <v>-1728559.1765500861</v>
      </c>
    </row>
    <row r="36" spans="1:14" x14ac:dyDescent="0.25">
      <c r="A36" s="6">
        <v>11</v>
      </c>
      <c r="B36" s="6" t="s">
        <v>20</v>
      </c>
      <c r="D36" s="168" t="s">
        <v>178</v>
      </c>
      <c r="F36" s="189">
        <f>'FERC Form 1 Inputs'!N10</f>
        <v>550145243</v>
      </c>
      <c r="I36" s="124"/>
      <c r="J36" s="78">
        <f>'Attach M -Intangibles Acc Amort'!H107</f>
        <v>21543034.080245461</v>
      </c>
    </row>
    <row r="37" spans="1:14" x14ac:dyDescent="0.25">
      <c r="A37" s="6">
        <v>12</v>
      </c>
      <c r="B37" s="15" t="s">
        <v>15</v>
      </c>
      <c r="D37" s="168"/>
      <c r="F37" s="188">
        <f>SUM(F26:F36)</f>
        <v>15308954234.685787</v>
      </c>
      <c r="I37" s="124"/>
      <c r="J37" s="7">
        <f>SUM(J26:J36)</f>
        <v>1332647857.4035192</v>
      </c>
    </row>
    <row r="38" spans="1:14" x14ac:dyDescent="0.25">
      <c r="D38" s="168"/>
      <c r="F38" s="193"/>
      <c r="J38" s="7"/>
    </row>
    <row r="39" spans="1:14" x14ac:dyDescent="0.25">
      <c r="B39" s="15" t="s">
        <v>21</v>
      </c>
      <c r="D39" s="168"/>
      <c r="F39" s="193"/>
      <c r="J39" s="7"/>
    </row>
    <row r="40" spans="1:14" x14ac:dyDescent="0.25">
      <c r="A40" s="6">
        <v>13</v>
      </c>
      <c r="B40" s="6" t="s">
        <v>22</v>
      </c>
      <c r="D40" s="168" t="s">
        <v>450</v>
      </c>
      <c r="F40" s="193">
        <f>F11+F12-F26-F27-F28+F13+F14</f>
        <v>12680617249.961004</v>
      </c>
      <c r="J40" s="7">
        <f>J11+J12-J26-J27-J28+J13+J14</f>
        <v>0</v>
      </c>
    </row>
    <row r="41" spans="1:14" x14ac:dyDescent="0.25">
      <c r="A41" s="6">
        <v>14</v>
      </c>
      <c r="B41" s="6" t="s">
        <v>23</v>
      </c>
      <c r="D41" s="168" t="s">
        <v>451</v>
      </c>
      <c r="F41" s="193">
        <f>F15+F16+F17-F29-F30-F31</f>
        <v>2680992835.2399645</v>
      </c>
      <c r="J41" s="7">
        <f>J15+J16+J17-J29-J30-J31</f>
        <v>2376222671.4720306</v>
      </c>
    </row>
    <row r="42" spans="1:14" x14ac:dyDescent="0.25">
      <c r="A42" s="6">
        <v>15</v>
      </c>
      <c r="B42" s="6" t="s">
        <v>24</v>
      </c>
      <c r="D42" s="168" t="s">
        <v>40</v>
      </c>
      <c r="F42" s="193">
        <f>F18-F32</f>
        <v>6691623402.1700001</v>
      </c>
      <c r="J42" s="7">
        <f>J18-J32</f>
        <v>0</v>
      </c>
    </row>
    <row r="43" spans="1:14" x14ac:dyDescent="0.25">
      <c r="A43" s="6">
        <v>16</v>
      </c>
      <c r="B43" s="6" t="s">
        <v>25</v>
      </c>
      <c r="D43" s="168" t="s">
        <v>452</v>
      </c>
      <c r="F43" s="193">
        <f>F19+F20+F21-F33-F34-F35</f>
        <v>638379026.68324542</v>
      </c>
      <c r="J43" s="7">
        <f>J19+J20+J21-J33-J34-J35</f>
        <v>22837003.524126433</v>
      </c>
    </row>
    <row r="44" spans="1:14" x14ac:dyDescent="0.25">
      <c r="A44" s="6">
        <v>17</v>
      </c>
      <c r="B44" s="6" t="s">
        <v>26</v>
      </c>
      <c r="D44" s="168" t="s">
        <v>41</v>
      </c>
      <c r="F44" s="189">
        <f>F22-F36</f>
        <v>393345735</v>
      </c>
      <c r="J44" s="78">
        <f>J22-J36</f>
        <v>16135353.630969997</v>
      </c>
    </row>
    <row r="45" spans="1:14" x14ac:dyDescent="0.25">
      <c r="A45" s="6">
        <v>18</v>
      </c>
      <c r="B45" s="15" t="s">
        <v>27</v>
      </c>
      <c r="D45" s="168"/>
      <c r="F45" s="193">
        <f>SUM(F40:F44)</f>
        <v>23084958249.054218</v>
      </c>
      <c r="H45" s="6" t="s">
        <v>133</v>
      </c>
      <c r="I45" s="191">
        <f>J45/F45</f>
        <v>0.10462202281548752</v>
      </c>
      <c r="J45" s="7">
        <f>SUM(J40:J44)</f>
        <v>2415195028.6271272</v>
      </c>
      <c r="L45" s="187"/>
      <c r="M45" s="185"/>
      <c r="N45" s="185"/>
    </row>
    <row r="46" spans="1:14" x14ac:dyDescent="0.25">
      <c r="D46" s="168"/>
      <c r="F46" s="193"/>
      <c r="J46" s="7"/>
    </row>
    <row r="47" spans="1:14" x14ac:dyDescent="0.25">
      <c r="B47" s="15" t="s">
        <v>28</v>
      </c>
      <c r="D47" s="168"/>
      <c r="F47" s="193"/>
      <c r="J47" s="7"/>
    </row>
    <row r="48" spans="1:14" x14ac:dyDescent="0.25">
      <c r="A48" s="6">
        <v>19</v>
      </c>
      <c r="B48" s="6" t="s">
        <v>29</v>
      </c>
      <c r="D48" s="168" t="s">
        <v>401</v>
      </c>
      <c r="F48" s="193">
        <f>'FERC Form 1 Inputs'!N40</f>
        <v>2686883097</v>
      </c>
      <c r="I48" s="89" t="s">
        <v>388</v>
      </c>
      <c r="J48" s="7">
        <f>'Attach A - Acct 190'!H31+'Attach A - Acct 190'!H47</f>
        <v>811028.50291113311</v>
      </c>
    </row>
    <row r="49" spans="1:12" x14ac:dyDescent="0.25">
      <c r="A49" s="6">
        <v>20</v>
      </c>
      <c r="B49" s="6" t="s">
        <v>898</v>
      </c>
      <c r="D49" s="168" t="s">
        <v>899</v>
      </c>
      <c r="F49" s="193">
        <f>'FERC Form 1 Inputs'!N44</f>
        <v>0</v>
      </c>
      <c r="I49" s="89" t="s">
        <v>258</v>
      </c>
      <c r="J49" s="7">
        <f>'Attach B - Acct 281 - 282'!H15</f>
        <v>0</v>
      </c>
    </row>
    <row r="50" spans="1:12" x14ac:dyDescent="0.25">
      <c r="A50" s="6">
        <v>21</v>
      </c>
      <c r="B50" s="6" t="s">
        <v>697</v>
      </c>
      <c r="D50" s="153" t="s">
        <v>402</v>
      </c>
      <c r="F50" s="193">
        <f>-'FERC Form 1 Inputs'!N45</f>
        <v>-6579720785</v>
      </c>
      <c r="I50" s="89" t="s">
        <v>258</v>
      </c>
      <c r="J50" s="7">
        <f>'Attach B - Acct 281 - 282'!H26</f>
        <v>-563897327.53717327</v>
      </c>
    </row>
    <row r="51" spans="1:12" x14ac:dyDescent="0.25">
      <c r="A51" s="6">
        <v>22</v>
      </c>
      <c r="B51" s="6" t="s">
        <v>30</v>
      </c>
      <c r="D51" s="153" t="s">
        <v>403</v>
      </c>
      <c r="F51" s="189">
        <f>-'FERC Form 1 Inputs'!N46</f>
        <v>-2976389269</v>
      </c>
      <c r="I51" s="89" t="s">
        <v>259</v>
      </c>
      <c r="J51" s="78">
        <f>'Attach C - Acct 283'!H23+'Attach C - Acct 283'!H39</f>
        <v>-12314281.331635658</v>
      </c>
    </row>
    <row r="52" spans="1:12" x14ac:dyDescent="0.25">
      <c r="A52" s="6">
        <v>23</v>
      </c>
      <c r="B52" s="15" t="s">
        <v>31</v>
      </c>
      <c r="F52" s="193">
        <f>SUM(F48:F51)</f>
        <v>-6869226957</v>
      </c>
      <c r="J52" s="7">
        <f>SUM(J48:J51)</f>
        <v>-575400580.36589789</v>
      </c>
    </row>
    <row r="53" spans="1:12" x14ac:dyDescent="0.25">
      <c r="F53" s="193"/>
      <c r="J53" s="7"/>
    </row>
    <row r="54" spans="1:12" x14ac:dyDescent="0.25">
      <c r="B54" s="15" t="s">
        <v>213</v>
      </c>
      <c r="F54" s="193"/>
      <c r="J54" s="7"/>
    </row>
    <row r="55" spans="1:12" x14ac:dyDescent="0.25">
      <c r="A55" s="6">
        <v>24</v>
      </c>
      <c r="B55" s="6" t="s">
        <v>470</v>
      </c>
      <c r="D55" s="153" t="s">
        <v>531</v>
      </c>
      <c r="F55" s="193">
        <f>'Attach D - Acct 182'!C10+'Attach E - Acct 228'!C46</f>
        <v>-89513551</v>
      </c>
      <c r="H55" s="6" t="s">
        <v>76</v>
      </c>
      <c r="I55" s="73">
        <f>'Allocation Factors'!$H$21</f>
        <v>3.5773423890158328E-2</v>
      </c>
      <c r="J55" s="7">
        <f>F55*I55</f>
        <v>-3202206.203836306</v>
      </c>
    </row>
    <row r="56" spans="1:12" x14ac:dyDescent="0.25">
      <c r="A56" s="6">
        <v>25</v>
      </c>
      <c r="B56" s="6" t="s">
        <v>992</v>
      </c>
      <c r="D56" s="168" t="s">
        <v>532</v>
      </c>
      <c r="F56" s="193">
        <f>'Attach D - Acct 182'!C11+'Attach F - Acct 253-254'!C11+'Attach F - Acct 253-254'!C12+'Attach F - Acct 253-254'!C28+'Attach F - Acct 253-254'!C29</f>
        <v>360893578</v>
      </c>
      <c r="H56" s="6" t="s">
        <v>76</v>
      </c>
      <c r="I56" s="73">
        <f>'Allocation Factors'!$H$21</f>
        <v>3.5773423890158328E-2</v>
      </c>
      <c r="J56" s="7">
        <f>F56*I56</f>
        <v>12910398.945029918</v>
      </c>
    </row>
    <row r="57" spans="1:12" x14ac:dyDescent="0.25">
      <c r="A57" s="6">
        <v>26</v>
      </c>
      <c r="B57" s="6" t="s">
        <v>991</v>
      </c>
      <c r="D57" s="168" t="s">
        <v>429</v>
      </c>
      <c r="F57" s="193">
        <f>'FERC Form 1 Inputs'!N39</f>
        <v>2760098689</v>
      </c>
      <c r="I57" s="89" t="s">
        <v>260</v>
      </c>
      <c r="J57" s="7">
        <f>'Attach D - Acct 182'!H67</f>
        <v>0</v>
      </c>
    </row>
    <row r="58" spans="1:12" x14ac:dyDescent="0.25">
      <c r="A58" s="6">
        <v>27</v>
      </c>
      <c r="B58" s="6" t="s">
        <v>187</v>
      </c>
      <c r="D58" s="168" t="s">
        <v>188</v>
      </c>
      <c r="F58" s="188">
        <f>-'FERC Form 1 Inputs'!N3</f>
        <v>-491016994</v>
      </c>
      <c r="G58" s="13"/>
      <c r="H58" s="13"/>
      <c r="I58" s="113" t="s">
        <v>315</v>
      </c>
      <c r="J58" s="74">
        <f>'Attach E - Acct 228'!H28</f>
        <v>-187806.99315608165</v>
      </c>
    </row>
    <row r="59" spans="1:12" x14ac:dyDescent="0.25">
      <c r="A59" s="6">
        <v>28</v>
      </c>
      <c r="B59" s="156" t="s">
        <v>1040</v>
      </c>
      <c r="D59" s="168" t="s">
        <v>1035</v>
      </c>
      <c r="F59" s="189">
        <f>-'FERC Form 1 Inputs'!N4</f>
        <v>-99736918</v>
      </c>
      <c r="I59" s="113" t="s">
        <v>315</v>
      </c>
      <c r="J59" s="78">
        <f>'Attach E - Acct 228'!H10</f>
        <v>-9735874.1117938235</v>
      </c>
    </row>
    <row r="60" spans="1:12" x14ac:dyDescent="0.25">
      <c r="A60" s="6">
        <v>29</v>
      </c>
      <c r="B60" s="6" t="s">
        <v>214</v>
      </c>
      <c r="D60" s="168"/>
      <c r="F60" s="193">
        <f>SUM(F55:F59)</f>
        <v>2440724804</v>
      </c>
      <c r="J60" s="7">
        <f>SUM(J55:J59)</f>
        <v>-215488.36375629343</v>
      </c>
    </row>
    <row r="61" spans="1:12" x14ac:dyDescent="0.25">
      <c r="D61" s="168"/>
      <c r="F61" s="193"/>
      <c r="J61" s="7"/>
    </row>
    <row r="62" spans="1:12" x14ac:dyDescent="0.25">
      <c r="A62" s="6">
        <v>30</v>
      </c>
      <c r="B62" s="15" t="s">
        <v>32</v>
      </c>
      <c r="D62" s="168" t="s">
        <v>186</v>
      </c>
      <c r="F62" s="324">
        <f>1695755.28+9359</f>
        <v>1705114.28</v>
      </c>
      <c r="J62" s="7">
        <f>F62</f>
        <v>1705114.28</v>
      </c>
      <c r="K62" s="234"/>
      <c r="L62" s="185"/>
    </row>
    <row r="63" spans="1:12" x14ac:dyDescent="0.25">
      <c r="D63" s="168"/>
      <c r="F63" s="193"/>
      <c r="J63" s="7"/>
    </row>
    <row r="64" spans="1:12" x14ac:dyDescent="0.25">
      <c r="A64" s="6">
        <v>31</v>
      </c>
      <c r="B64" s="15" t="s">
        <v>494</v>
      </c>
      <c r="D64" s="168" t="s">
        <v>509</v>
      </c>
      <c r="F64" s="324">
        <v>0</v>
      </c>
      <c r="I64" s="220">
        <v>50</v>
      </c>
      <c r="J64" s="7">
        <f>F64*I64</f>
        <v>0</v>
      </c>
    </row>
    <row r="65" spans="1:11" x14ac:dyDescent="0.25">
      <c r="A65" s="6">
        <v>32</v>
      </c>
      <c r="B65" s="15" t="s">
        <v>495</v>
      </c>
      <c r="D65" s="168" t="s">
        <v>510</v>
      </c>
      <c r="F65" s="324">
        <v>0</v>
      </c>
      <c r="I65" s="124">
        <f>'Allocation Factors'!$H$13</f>
        <v>0.92469611331494961</v>
      </c>
      <c r="J65" s="7">
        <f>F65*I65</f>
        <v>0</v>
      </c>
    </row>
    <row r="66" spans="1:11" x14ac:dyDescent="0.25">
      <c r="D66" s="168"/>
      <c r="F66" s="193"/>
      <c r="J66" s="7"/>
    </row>
    <row r="67" spans="1:11" x14ac:dyDescent="0.25">
      <c r="B67" s="15" t="s">
        <v>693</v>
      </c>
      <c r="D67" s="168"/>
      <c r="F67" s="193"/>
      <c r="J67" s="7"/>
    </row>
    <row r="68" spans="1:11" x14ac:dyDescent="0.25">
      <c r="A68" s="6">
        <v>33</v>
      </c>
      <c r="B68" s="6" t="s">
        <v>33</v>
      </c>
      <c r="D68" s="168" t="s">
        <v>268</v>
      </c>
      <c r="F68" s="193">
        <f>'Attach J - Prepayments'!I39</f>
        <v>0</v>
      </c>
      <c r="H68" s="6" t="s">
        <v>95</v>
      </c>
      <c r="I68" s="220">
        <v>-1</v>
      </c>
      <c r="J68" s="7">
        <f>F68*I68</f>
        <v>0</v>
      </c>
    </row>
    <row r="69" spans="1:11" x14ac:dyDescent="0.25">
      <c r="A69" s="6">
        <v>34</v>
      </c>
      <c r="B69" s="6" t="s">
        <v>34</v>
      </c>
      <c r="D69" s="168" t="s">
        <v>268</v>
      </c>
      <c r="F69" s="188">
        <f>'Attach J - Prepayments'!K39</f>
        <v>0</v>
      </c>
      <c r="G69" s="13"/>
      <c r="H69" s="13" t="s">
        <v>95</v>
      </c>
      <c r="I69" s="221">
        <v>1</v>
      </c>
      <c r="J69" s="74">
        <f>F69*I69</f>
        <v>0</v>
      </c>
    </row>
    <row r="70" spans="1:11" x14ac:dyDescent="0.25">
      <c r="A70" s="89" t="s">
        <v>1034</v>
      </c>
      <c r="B70" s="6" t="s">
        <v>685</v>
      </c>
      <c r="D70" s="168" t="s">
        <v>268</v>
      </c>
      <c r="F70" s="189">
        <f>-'Attach J - Prepayments'!K51</f>
        <v>0</v>
      </c>
      <c r="H70" s="6" t="s">
        <v>95</v>
      </c>
      <c r="I70" s="220">
        <v>1</v>
      </c>
      <c r="J70" s="78">
        <f>F70*I70</f>
        <v>0</v>
      </c>
    </row>
    <row r="71" spans="1:11" x14ac:dyDescent="0.25">
      <c r="A71" s="6">
        <v>35</v>
      </c>
      <c r="B71" s="15" t="s">
        <v>35</v>
      </c>
      <c r="D71" s="168"/>
      <c r="F71" s="193">
        <f>SUM(F68:F70)</f>
        <v>0</v>
      </c>
      <c r="J71" s="7">
        <f>SUM(J68:J70)</f>
        <v>0</v>
      </c>
    </row>
    <row r="72" spans="1:11" x14ac:dyDescent="0.25">
      <c r="D72" s="168"/>
      <c r="F72" s="193"/>
      <c r="J72" s="7"/>
    </row>
    <row r="73" spans="1:11" x14ac:dyDescent="0.25">
      <c r="B73" s="15" t="s">
        <v>36</v>
      </c>
      <c r="D73" s="168"/>
      <c r="F73" s="193"/>
      <c r="J73" s="7"/>
    </row>
    <row r="74" spans="1:11" x14ac:dyDescent="0.25">
      <c r="A74" s="6">
        <v>36</v>
      </c>
      <c r="B74" s="6" t="s">
        <v>37</v>
      </c>
      <c r="D74" s="168" t="s">
        <v>428</v>
      </c>
      <c r="F74" s="193">
        <f>'Revenue Requirement'!I31/8</f>
        <v>7085509.9922435489</v>
      </c>
      <c r="H74" s="6" t="s">
        <v>75</v>
      </c>
      <c r="I74" s="124">
        <f>'Allocation Factors'!$H$13</f>
        <v>0.92469611331494961</v>
      </c>
      <c r="J74" s="7">
        <f>F74*I74</f>
        <v>6551943.5506818481</v>
      </c>
    </row>
    <row r="75" spans="1:11" x14ac:dyDescent="0.25">
      <c r="A75" s="6">
        <v>37</v>
      </c>
      <c r="B75" s="6" t="s">
        <v>481</v>
      </c>
      <c r="D75" s="168" t="s">
        <v>42</v>
      </c>
      <c r="F75" s="193">
        <f>'FERC Form 1 Inputs'!N37</f>
        <v>49052803</v>
      </c>
      <c r="H75" s="6" t="s">
        <v>75</v>
      </c>
      <c r="I75" s="124">
        <f>'Allocation Factors'!$H$13</f>
        <v>0.92469611331494961</v>
      </c>
      <c r="J75" s="7">
        <f>F75*I75</f>
        <v>45358936.281303898</v>
      </c>
    </row>
    <row r="76" spans="1:11" x14ac:dyDescent="0.25">
      <c r="A76" s="6">
        <v>38</v>
      </c>
      <c r="B76" s="6" t="s">
        <v>482</v>
      </c>
      <c r="D76" s="168" t="s">
        <v>43</v>
      </c>
      <c r="F76" s="193">
        <f>'FERC Form 1 Inputs'!N38</f>
        <v>44420013</v>
      </c>
      <c r="H76" s="6" t="s">
        <v>76</v>
      </c>
      <c r="I76" s="73">
        <f>'Allocation Factors'!$H$21</f>
        <v>3.5773423890158328E-2</v>
      </c>
      <c r="J76" s="7">
        <f>F76*I76</f>
        <v>1589055.9542553434</v>
      </c>
    </row>
    <row r="77" spans="1:11" x14ac:dyDescent="0.25">
      <c r="A77" s="6">
        <v>39</v>
      </c>
      <c r="B77" s="6" t="s">
        <v>38</v>
      </c>
      <c r="D77" s="168" t="s">
        <v>689</v>
      </c>
      <c r="F77" s="291">
        <v>23690607</v>
      </c>
      <c r="H77" s="6" t="s">
        <v>77</v>
      </c>
      <c r="I77" s="73">
        <f>'Rate Base'!$I$23</f>
        <v>9.7615550059345371E-2</v>
      </c>
      <c r="J77" s="78">
        <f>F77*I77</f>
        <v>2312571.633544778</v>
      </c>
      <c r="K77" s="234"/>
    </row>
    <row r="78" spans="1:11" x14ac:dyDescent="0.25">
      <c r="A78" s="6">
        <v>40</v>
      </c>
      <c r="B78" s="15" t="s">
        <v>39</v>
      </c>
      <c r="D78" s="168"/>
      <c r="F78" s="7">
        <f>SUM(F74:F77)</f>
        <v>124248932.99224356</v>
      </c>
      <c r="J78" s="7">
        <f>SUM(J74:J77)</f>
        <v>55812507.419785865</v>
      </c>
    </row>
    <row r="79" spans="1:11" x14ac:dyDescent="0.25">
      <c r="D79" s="168"/>
      <c r="F79" s="7"/>
      <c r="J79" s="7"/>
    </row>
    <row r="80" spans="1:11" x14ac:dyDescent="0.25">
      <c r="A80" s="6">
        <v>41</v>
      </c>
      <c r="B80" s="157" t="s">
        <v>1111</v>
      </c>
      <c r="D80" s="168"/>
      <c r="F80" s="20">
        <f>F45+F52+F60+F64+F65+F71+F78+F62</f>
        <v>18782410143.326462</v>
      </c>
      <c r="J80" s="20">
        <f>J45+J52+J60+J71+J78+J62+J64+J65</f>
        <v>1897096581.597259</v>
      </c>
    </row>
    <row r="81" spans="4:9" x14ac:dyDescent="0.25">
      <c r="D81" s="168"/>
    </row>
    <row r="82" spans="4:9" x14ac:dyDescent="0.25">
      <c r="D82" s="168"/>
    </row>
    <row r="83" spans="4:9" x14ac:dyDescent="0.25">
      <c r="D83" s="168"/>
      <c r="F83" s="9"/>
    </row>
    <row r="85" spans="4:9" x14ac:dyDescent="0.25">
      <c r="D85" s="6"/>
      <c r="F85" s="8"/>
      <c r="I85" s="6"/>
    </row>
  </sheetData>
  <mergeCells count="5">
    <mergeCell ref="A1:I1"/>
    <mergeCell ref="A2:I2"/>
    <mergeCell ref="A4:I4"/>
    <mergeCell ref="A3:I3"/>
    <mergeCell ref="H7:I7"/>
  </mergeCells>
  <pageMargins left="0.7" right="0.7" top="0.75" bottom="0.75" header="0.3" footer="0.3"/>
  <pageSetup scale="4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7"/>
  <sheetViews>
    <sheetView zoomScale="80" zoomScaleNormal="80" workbookViewId="0">
      <selection sqref="A1:H1"/>
    </sheetView>
  </sheetViews>
  <sheetFormatPr defaultColWidth="8.5703125" defaultRowHeight="15" x14ac:dyDescent="0.25"/>
  <cols>
    <col min="1" max="1" width="6.7109375" style="6" bestFit="1" customWidth="1"/>
    <col min="2" max="2" width="71.85546875" style="6" customWidth="1"/>
    <col min="3" max="3" width="28.85546875" style="153" customWidth="1"/>
    <col min="4" max="4" width="1.5703125" style="153" customWidth="1"/>
    <col min="5" max="5" width="15.5703125" style="7" bestFit="1" customWidth="1"/>
    <col min="6" max="6" width="1.7109375" style="6" customWidth="1"/>
    <col min="7" max="7" width="13" style="6" customWidth="1"/>
    <col min="8" max="8" width="10.42578125" style="6" bestFit="1" customWidth="1"/>
    <col min="9" max="9" width="19.7109375" style="6" bestFit="1" customWidth="1"/>
    <col min="10" max="10" width="21.7109375" style="6" customWidth="1"/>
    <col min="11" max="11" width="23.140625" style="6" customWidth="1"/>
    <col min="12" max="16384" width="8.5703125" style="6"/>
  </cols>
  <sheetData>
    <row r="1" spans="1:9" x14ac:dyDescent="0.25">
      <c r="A1" s="359" t="s">
        <v>0</v>
      </c>
      <c r="B1" s="359"/>
      <c r="C1" s="359"/>
      <c r="D1" s="359"/>
      <c r="E1" s="359"/>
      <c r="F1" s="359"/>
      <c r="G1" s="359"/>
      <c r="H1" s="359"/>
      <c r="I1" s="15" t="s">
        <v>405</v>
      </c>
    </row>
    <row r="2" spans="1:9" x14ac:dyDescent="0.25">
      <c r="A2" s="359" t="s">
        <v>201</v>
      </c>
      <c r="B2" s="359"/>
      <c r="C2" s="359"/>
      <c r="D2" s="359"/>
      <c r="E2" s="359"/>
      <c r="F2" s="359"/>
      <c r="G2" s="359"/>
      <c r="H2" s="359"/>
      <c r="I2" s="15" t="s">
        <v>648</v>
      </c>
    </row>
    <row r="3" spans="1:9" x14ac:dyDescent="0.25">
      <c r="A3" s="359" t="str">
        <f>+Summary!A3</f>
        <v>Utilizing Historic Cost Data for (2017) and Projected Net Plant at Year-End (2017)</v>
      </c>
      <c r="B3" s="359"/>
      <c r="C3" s="359"/>
      <c r="D3" s="359"/>
      <c r="E3" s="359"/>
      <c r="F3" s="359"/>
      <c r="G3" s="359"/>
      <c r="H3" s="359"/>
      <c r="I3" s="332"/>
    </row>
    <row r="4" spans="1:9" x14ac:dyDescent="0.25">
      <c r="A4" s="359" t="s">
        <v>78</v>
      </c>
      <c r="B4" s="359"/>
      <c r="C4" s="359"/>
      <c r="D4" s="359"/>
      <c r="E4" s="359"/>
      <c r="F4" s="359"/>
      <c r="G4" s="359"/>
      <c r="H4" s="359"/>
      <c r="I4" s="332"/>
    </row>
    <row r="5" spans="1:9" x14ac:dyDescent="0.25">
      <c r="A5" s="332"/>
      <c r="B5" s="332"/>
      <c r="C5" s="332"/>
      <c r="D5" s="332"/>
      <c r="E5" s="332"/>
      <c r="F5" s="332"/>
      <c r="G5" s="332"/>
      <c r="H5" s="332"/>
      <c r="I5" s="332"/>
    </row>
    <row r="6" spans="1:9" x14ac:dyDescent="0.25">
      <c r="A6" s="331"/>
      <c r="B6" s="331"/>
      <c r="C6" s="334"/>
      <c r="D6" s="334"/>
      <c r="E6" s="193"/>
      <c r="F6" s="331"/>
      <c r="G6" s="331"/>
      <c r="H6" s="331"/>
      <c r="I6" s="75" t="s">
        <v>7</v>
      </c>
    </row>
    <row r="7" spans="1:9" x14ac:dyDescent="0.25">
      <c r="A7" s="15" t="s">
        <v>2</v>
      </c>
      <c r="B7" s="15" t="s">
        <v>79</v>
      </c>
      <c r="C7" s="332" t="s">
        <v>4</v>
      </c>
      <c r="D7" s="334"/>
      <c r="E7" s="75" t="s">
        <v>5</v>
      </c>
      <c r="F7" s="331"/>
      <c r="G7" s="359" t="s">
        <v>6</v>
      </c>
      <c r="H7" s="359"/>
      <c r="I7" s="75" t="s">
        <v>168</v>
      </c>
    </row>
    <row r="8" spans="1:9" x14ac:dyDescent="0.25">
      <c r="A8" s="331"/>
      <c r="B8" s="331"/>
      <c r="C8" s="334"/>
      <c r="D8" s="334"/>
      <c r="E8" s="12"/>
      <c r="F8" s="331"/>
      <c r="G8" s="334"/>
      <c r="H8" s="331"/>
      <c r="I8" s="331"/>
    </row>
    <row r="9" spans="1:9" x14ac:dyDescent="0.25">
      <c r="A9" s="331"/>
      <c r="B9" s="331"/>
      <c r="C9" s="334"/>
      <c r="D9" s="334"/>
      <c r="E9" s="12"/>
      <c r="F9" s="331"/>
      <c r="G9" s="334"/>
      <c r="H9" s="331"/>
      <c r="I9" s="12"/>
    </row>
    <row r="10" spans="1:9" x14ac:dyDescent="0.25">
      <c r="A10" s="89"/>
      <c r="B10" s="15" t="s">
        <v>306</v>
      </c>
      <c r="C10" s="334"/>
      <c r="D10" s="334"/>
      <c r="E10" s="193"/>
      <c r="F10" s="331"/>
      <c r="G10" s="331"/>
      <c r="H10" s="331"/>
      <c r="I10" s="193"/>
    </row>
    <row r="11" spans="1:9" x14ac:dyDescent="0.25">
      <c r="A11" s="89">
        <v>1</v>
      </c>
      <c r="B11" s="331" t="s">
        <v>80</v>
      </c>
      <c r="C11" s="334" t="s">
        <v>91</v>
      </c>
      <c r="D11" s="334"/>
      <c r="E11" s="193">
        <f>'FERC Form 1 Inputs'!N47</f>
        <v>52389317.68</v>
      </c>
      <c r="F11" s="331"/>
      <c r="G11" s="331"/>
      <c r="H11" s="331"/>
      <c r="I11" s="193"/>
    </row>
    <row r="12" spans="1:9" x14ac:dyDescent="0.25">
      <c r="A12" s="89">
        <v>2</v>
      </c>
      <c r="B12" s="116" t="s">
        <v>317</v>
      </c>
      <c r="C12" s="334" t="s">
        <v>709</v>
      </c>
      <c r="D12" s="334"/>
      <c r="E12" s="188">
        <f>-('FERC Form 1 Inputs'!N48+'FERC Form 1 Inputs'!N49+'FERC Form 1 Inputs'!N50+'FERC Form 1 Inputs'!N51+'FERC Form 1 Inputs'!N55)</f>
        <v>-13168188</v>
      </c>
      <c r="F12" s="331"/>
      <c r="G12" s="331"/>
      <c r="H12" s="117"/>
      <c r="I12" s="188"/>
    </row>
    <row r="13" spans="1:9" x14ac:dyDescent="0.25">
      <c r="A13" s="89" t="s">
        <v>412</v>
      </c>
      <c r="B13" s="116" t="s">
        <v>688</v>
      </c>
      <c r="C13" s="334" t="s">
        <v>637</v>
      </c>
      <c r="D13" s="334"/>
      <c r="E13" s="189">
        <f>-'Schedule 1'!F17</f>
        <v>3622486.04</v>
      </c>
      <c r="F13" s="331"/>
      <c r="G13" s="331"/>
      <c r="H13" s="117"/>
      <c r="I13" s="189"/>
    </row>
    <row r="14" spans="1:9" x14ac:dyDescent="0.25">
      <c r="A14" s="89">
        <v>3</v>
      </c>
      <c r="B14" s="331" t="s">
        <v>81</v>
      </c>
      <c r="C14" s="334"/>
      <c r="D14" s="334"/>
      <c r="E14" s="193">
        <f>SUM(E11:E13)</f>
        <v>42843615.719999999</v>
      </c>
      <c r="F14" s="331"/>
      <c r="G14" s="331" t="s">
        <v>75</v>
      </c>
      <c r="H14" s="319">
        <f>'Allocation Factors'!$H$13</f>
        <v>0.92469611331494961</v>
      </c>
      <c r="I14" s="193">
        <f>E14*H14</f>
        <v>39617324.936643273</v>
      </c>
    </row>
    <row r="15" spans="1:9" x14ac:dyDescent="0.25">
      <c r="A15" s="89"/>
      <c r="B15" s="331"/>
      <c r="C15" s="334"/>
      <c r="D15" s="334"/>
      <c r="E15" s="193"/>
      <c r="F15" s="331"/>
      <c r="G15" s="331"/>
      <c r="H15" s="118"/>
      <c r="I15" s="193"/>
    </row>
    <row r="16" spans="1:9" x14ac:dyDescent="0.25">
      <c r="A16" s="89">
        <v>4</v>
      </c>
      <c r="B16" s="331" t="s">
        <v>1202</v>
      </c>
      <c r="C16" s="334" t="s">
        <v>1203</v>
      </c>
      <c r="D16" s="334"/>
      <c r="E16" s="193">
        <f>'FERC Form 1 Inputs'!N56</f>
        <v>401226368.31999999</v>
      </c>
      <c r="F16" s="331"/>
      <c r="G16" s="331"/>
      <c r="H16" s="118"/>
      <c r="I16" s="193"/>
    </row>
    <row r="17" spans="1:9" s="274" customFormat="1" x14ac:dyDescent="0.25">
      <c r="A17" s="89" t="s">
        <v>1204</v>
      </c>
      <c r="B17" s="331" t="s">
        <v>1205</v>
      </c>
      <c r="C17" s="334" t="s">
        <v>592</v>
      </c>
      <c r="D17" s="334"/>
      <c r="E17" s="324">
        <v>-24819558</v>
      </c>
      <c r="F17" s="331"/>
      <c r="G17" s="331"/>
      <c r="H17" s="118"/>
      <c r="I17" s="193"/>
    </row>
    <row r="18" spans="1:9" s="274" customFormat="1" x14ac:dyDescent="0.25">
      <c r="A18" s="89"/>
      <c r="B18" s="331" t="s">
        <v>1206</v>
      </c>
      <c r="C18" s="334"/>
      <c r="D18" s="334"/>
      <c r="E18" s="193"/>
      <c r="F18" s="331"/>
      <c r="G18" s="331"/>
      <c r="H18" s="118"/>
      <c r="I18" s="193"/>
    </row>
    <row r="19" spans="1:9" x14ac:dyDescent="0.25">
      <c r="A19" s="89">
        <v>5</v>
      </c>
      <c r="B19" s="116" t="s">
        <v>82</v>
      </c>
      <c r="C19" s="334" t="s">
        <v>92</v>
      </c>
      <c r="D19" s="334"/>
      <c r="E19" s="193">
        <f>'FERC Form 1 Inputs'!N57</f>
        <v>10862755</v>
      </c>
      <c r="F19" s="331"/>
      <c r="G19" s="331"/>
      <c r="H19" s="118"/>
      <c r="I19" s="193"/>
    </row>
    <row r="20" spans="1:9" x14ac:dyDescent="0.25">
      <c r="A20" s="89">
        <v>6</v>
      </c>
      <c r="B20" s="116" t="s">
        <v>83</v>
      </c>
      <c r="C20" s="334" t="s">
        <v>93</v>
      </c>
      <c r="D20" s="334"/>
      <c r="E20" s="193">
        <f>'FERC Form 1 Inputs'!N58</f>
        <v>11375477</v>
      </c>
      <c r="F20" s="331"/>
      <c r="G20" s="331"/>
      <c r="H20" s="118"/>
      <c r="I20" s="193"/>
    </row>
    <row r="21" spans="1:9" x14ac:dyDescent="0.25">
      <c r="A21" s="89">
        <v>7</v>
      </c>
      <c r="B21" s="116" t="s">
        <v>84</v>
      </c>
      <c r="C21" s="334" t="s">
        <v>94</v>
      </c>
      <c r="D21" s="334"/>
      <c r="E21" s="193">
        <f>'FERC Form 1 Inputs'!N59</f>
        <v>-0.25</v>
      </c>
      <c r="F21" s="331"/>
      <c r="G21" s="331"/>
      <c r="H21" s="118"/>
      <c r="I21" s="193"/>
    </row>
    <row r="22" spans="1:9" x14ac:dyDescent="0.25">
      <c r="A22" s="89">
        <v>8</v>
      </c>
      <c r="B22" s="116" t="s">
        <v>192</v>
      </c>
      <c r="C22" s="334" t="s">
        <v>180</v>
      </c>
      <c r="D22" s="334"/>
      <c r="E22" s="189">
        <f>'FERC Form 1 Inputs'!N60</f>
        <v>3707130</v>
      </c>
      <c r="F22" s="331"/>
      <c r="G22" s="331"/>
      <c r="H22" s="118"/>
      <c r="I22" s="189"/>
    </row>
    <row r="23" spans="1:9" x14ac:dyDescent="0.25">
      <c r="A23" s="89">
        <v>9</v>
      </c>
      <c r="B23" s="331" t="s">
        <v>85</v>
      </c>
      <c r="C23" s="334"/>
      <c r="D23" s="334"/>
      <c r="E23" s="193">
        <f>E16-E19-E20-E21-E22</f>
        <v>375281006.56999999</v>
      </c>
      <c r="F23" s="331"/>
      <c r="G23" s="331" t="s">
        <v>76</v>
      </c>
      <c r="H23" s="319">
        <f>'Allocation Factors'!$H$21</f>
        <v>3.5773423890158328E-2</v>
      </c>
      <c r="I23" s="193">
        <f>E23*H23</f>
        <v>13425086.525953902</v>
      </c>
    </row>
    <row r="24" spans="1:9" x14ac:dyDescent="0.25">
      <c r="A24" s="89"/>
      <c r="B24" s="331"/>
      <c r="C24" s="334"/>
      <c r="D24" s="334"/>
      <c r="E24" s="193"/>
      <c r="F24" s="331"/>
      <c r="G24" s="331"/>
      <c r="H24" s="331"/>
      <c r="I24" s="193"/>
    </row>
    <row r="25" spans="1:9" x14ac:dyDescent="0.25">
      <c r="A25" s="89">
        <v>10</v>
      </c>
      <c r="B25" s="331" t="s">
        <v>86</v>
      </c>
      <c r="C25" s="334" t="s">
        <v>92</v>
      </c>
      <c r="D25" s="334"/>
      <c r="E25" s="193">
        <f>'FERC Form 1 Inputs'!N57</f>
        <v>10862755</v>
      </c>
      <c r="F25" s="331"/>
      <c r="G25" s="331" t="s">
        <v>77</v>
      </c>
      <c r="H25" s="319">
        <f>'Rate Base'!$I$23</f>
        <v>9.7615550059345371E-2</v>
      </c>
      <c r="I25" s="193">
        <f t="shared" ref="I25:I28" si="0">E25*H25</f>
        <v>1060373.8044849043</v>
      </c>
    </row>
    <row r="26" spans="1:9" x14ac:dyDescent="0.25">
      <c r="A26" s="89" t="s">
        <v>324</v>
      </c>
      <c r="B26" s="331" t="s">
        <v>322</v>
      </c>
      <c r="C26" s="334" t="s">
        <v>706</v>
      </c>
      <c r="D26" s="334"/>
      <c r="E26" s="193">
        <f>-E25*'Schedule 1'!F64</f>
        <v>-38621.5483162163</v>
      </c>
      <c r="F26" s="331"/>
      <c r="G26" s="331" t="s">
        <v>77</v>
      </c>
      <c r="H26" s="319">
        <f>'Rate Base'!$I$23</f>
        <v>9.7615550059345371E-2</v>
      </c>
      <c r="I26" s="193">
        <f t="shared" si="0"/>
        <v>-3770.0636830310382</v>
      </c>
    </row>
    <row r="27" spans="1:9" x14ac:dyDescent="0.25">
      <c r="A27" s="89">
        <v>11</v>
      </c>
      <c r="B27" s="331" t="s">
        <v>87</v>
      </c>
      <c r="C27" s="334" t="s">
        <v>993</v>
      </c>
      <c r="D27" s="334"/>
      <c r="E27" s="193">
        <f>'FERC Form 1 Inputs'!N64</f>
        <v>2795583</v>
      </c>
      <c r="F27" s="331"/>
      <c r="G27" s="331" t="s">
        <v>75</v>
      </c>
      <c r="H27" s="319">
        <f>'Allocation Factors'!$H$13</f>
        <v>0.92469611331494961</v>
      </c>
      <c r="I27" s="193">
        <f t="shared" si="0"/>
        <v>2585064.7345493468</v>
      </c>
    </row>
    <row r="28" spans="1:9" x14ac:dyDescent="0.25">
      <c r="A28" s="89">
        <v>12</v>
      </c>
      <c r="B28" s="331" t="s">
        <v>413</v>
      </c>
      <c r="C28" s="334" t="s">
        <v>902</v>
      </c>
      <c r="D28" s="334"/>
      <c r="E28" s="324">
        <v>0</v>
      </c>
      <c r="F28" s="331"/>
      <c r="G28" s="331" t="s">
        <v>95</v>
      </c>
      <c r="H28" s="319"/>
      <c r="I28" s="193">
        <f t="shared" si="0"/>
        <v>0</v>
      </c>
    </row>
    <row r="29" spans="1:9" x14ac:dyDescent="0.25">
      <c r="A29" s="89">
        <v>13</v>
      </c>
      <c r="B29" s="331" t="s">
        <v>1207</v>
      </c>
      <c r="C29" s="334"/>
      <c r="D29" s="334"/>
      <c r="E29" s="193"/>
      <c r="F29" s="331"/>
      <c r="G29" s="331"/>
      <c r="H29" s="319"/>
      <c r="I29" s="193"/>
    </row>
    <row r="30" spans="1:9" s="274" customFormat="1" x14ac:dyDescent="0.25">
      <c r="A30" s="89" t="s">
        <v>1208</v>
      </c>
      <c r="B30" s="331" t="s">
        <v>1207</v>
      </c>
      <c r="C30" s="334"/>
      <c r="D30" s="334"/>
      <c r="E30" s="193"/>
      <c r="F30" s="331"/>
      <c r="G30" s="331"/>
      <c r="H30" s="319"/>
      <c r="I30" s="193"/>
    </row>
    <row r="31" spans="1:9" x14ac:dyDescent="0.25">
      <c r="A31" s="89">
        <v>14</v>
      </c>
      <c r="B31" s="15" t="s">
        <v>591</v>
      </c>
      <c r="C31" s="334"/>
      <c r="D31" s="334"/>
      <c r="E31" s="193"/>
      <c r="F31" s="331"/>
      <c r="G31" s="331"/>
      <c r="H31" s="319"/>
      <c r="I31" s="20">
        <f>I14+I23+I25+I27+I28+I26</f>
        <v>56684079.937948391</v>
      </c>
    </row>
    <row r="32" spans="1:9" x14ac:dyDescent="0.25">
      <c r="A32" s="89"/>
      <c r="B32" s="15"/>
      <c r="C32" s="334"/>
      <c r="D32" s="334"/>
      <c r="E32" s="193"/>
      <c r="F32" s="331"/>
      <c r="G32" s="331"/>
      <c r="H32" s="319"/>
      <c r="I32" s="193"/>
    </row>
    <row r="33" spans="1:11" x14ac:dyDescent="0.25">
      <c r="A33" s="89"/>
      <c r="B33" s="15" t="s">
        <v>88</v>
      </c>
      <c r="C33" s="334"/>
      <c r="D33" s="334"/>
      <c r="E33" s="193"/>
      <c r="F33" s="331"/>
      <c r="G33" s="331"/>
      <c r="H33" s="119"/>
      <c r="I33" s="193"/>
    </row>
    <row r="34" spans="1:11" x14ac:dyDescent="0.25">
      <c r="A34" s="89">
        <v>15</v>
      </c>
      <c r="B34" s="331" t="s">
        <v>90</v>
      </c>
      <c r="C34" s="334" t="s">
        <v>182</v>
      </c>
      <c r="D34" s="334"/>
      <c r="E34" s="193">
        <f>'FERC Form 1 Inputs'!N61</f>
        <v>73626960.019999996</v>
      </c>
      <c r="F34" s="331"/>
      <c r="G34" s="331" t="s">
        <v>75</v>
      </c>
      <c r="H34" s="319">
        <f>'Allocation Factors'!$H$13</f>
        <v>0.92469611331494961</v>
      </c>
      <c r="I34" s="193">
        <f t="shared" ref="I34:I39" si="1">E34*H34</f>
        <v>68082563.765689179</v>
      </c>
    </row>
    <row r="35" spans="1:11" x14ac:dyDescent="0.25">
      <c r="A35" s="89" t="s">
        <v>251</v>
      </c>
      <c r="B35" s="331" t="s">
        <v>252</v>
      </c>
      <c r="C35" s="334" t="s">
        <v>535</v>
      </c>
      <c r="D35" s="334"/>
      <c r="E35" s="263">
        <f>'Attach P - AFUDC'!AQ34</f>
        <v>81205.539999999994</v>
      </c>
      <c r="F35" s="331"/>
      <c r="G35" s="331" t="s">
        <v>75</v>
      </c>
      <c r="H35" s="319">
        <f>'Allocation Factors'!$H$13</f>
        <v>0.92469611331494961</v>
      </c>
      <c r="I35" s="193">
        <f t="shared" si="1"/>
        <v>75090.44721764166</v>
      </c>
    </row>
    <row r="36" spans="1:11" x14ac:dyDescent="0.25">
      <c r="A36" s="89" t="s">
        <v>498</v>
      </c>
      <c r="B36" s="331" t="s">
        <v>497</v>
      </c>
      <c r="C36" s="334" t="s">
        <v>510</v>
      </c>
      <c r="D36" s="334"/>
      <c r="E36" s="324">
        <v>0</v>
      </c>
      <c r="F36" s="331"/>
      <c r="G36" s="331" t="s">
        <v>75</v>
      </c>
      <c r="H36" s="319">
        <f>'Allocation Factors'!$H$13</f>
        <v>0.92469611331494961</v>
      </c>
      <c r="I36" s="193">
        <f t="shared" si="1"/>
        <v>0</v>
      </c>
    </row>
    <row r="37" spans="1:11" x14ac:dyDescent="0.25">
      <c r="A37" s="89" t="s">
        <v>499</v>
      </c>
      <c r="B37" s="331" t="s">
        <v>411</v>
      </c>
      <c r="C37" s="334" t="s">
        <v>588</v>
      </c>
      <c r="D37" s="334"/>
      <c r="E37" s="193">
        <f>'Attach R - Projection'!K14</f>
        <v>2358695.8032</v>
      </c>
      <c r="F37" s="331"/>
      <c r="G37" s="331" t="s">
        <v>75</v>
      </c>
      <c r="H37" s="319">
        <f>'Allocation Factors'!$H$13</f>
        <v>0.92469611331494961</v>
      </c>
      <c r="I37" s="193">
        <f t="shared" si="1"/>
        <v>2181076.8417113232</v>
      </c>
      <c r="J37" s="192"/>
      <c r="K37" s="194"/>
    </row>
    <row r="38" spans="1:11" x14ac:dyDescent="0.25">
      <c r="A38" s="89">
        <v>16</v>
      </c>
      <c r="B38" s="331" t="s">
        <v>414</v>
      </c>
      <c r="C38" s="334" t="s">
        <v>386</v>
      </c>
      <c r="D38" s="334"/>
      <c r="E38" s="193">
        <f>'FERC Form 1 Inputs'!N62</f>
        <v>55459780.729999997</v>
      </c>
      <c r="F38" s="331"/>
      <c r="G38" s="331" t="s">
        <v>76</v>
      </c>
      <c r="H38" s="319">
        <f>'Allocation Factors'!$H$21</f>
        <v>3.5773423890158328E-2</v>
      </c>
      <c r="I38" s="193">
        <f t="shared" si="1"/>
        <v>1983986.2449095245</v>
      </c>
    </row>
    <row r="39" spans="1:11" x14ac:dyDescent="0.25">
      <c r="A39" s="89" t="s">
        <v>323</v>
      </c>
      <c r="B39" s="331" t="s">
        <v>325</v>
      </c>
      <c r="C39" s="334" t="s">
        <v>707</v>
      </c>
      <c r="D39" s="334"/>
      <c r="E39" s="193">
        <f>-E38*'Schedule 1'!F60</f>
        <v>-6774333.2749380898</v>
      </c>
      <c r="F39" s="331"/>
      <c r="G39" s="331" t="s">
        <v>76</v>
      </c>
      <c r="H39" s="319">
        <f>'Allocation Factors'!$H$21</f>
        <v>3.5773423890158328E-2</v>
      </c>
      <c r="I39" s="193">
        <f t="shared" si="1"/>
        <v>-242341.09581756475</v>
      </c>
    </row>
    <row r="40" spans="1:11" x14ac:dyDescent="0.25">
      <c r="A40" s="89">
        <v>17</v>
      </c>
      <c r="B40" s="331" t="s">
        <v>179</v>
      </c>
      <c r="C40" s="334" t="s">
        <v>105</v>
      </c>
      <c r="D40" s="334"/>
      <c r="E40" s="193">
        <f>'FERC Form 1 Inputs'!N63</f>
        <v>46058198.730000004</v>
      </c>
      <c r="F40" s="331"/>
      <c r="G40" s="331" t="s">
        <v>380</v>
      </c>
      <c r="H40" s="319"/>
      <c r="I40" s="188">
        <f>'Attach N -Intangibles Amort Exp'!H117</f>
        <v>1006776.022851561</v>
      </c>
    </row>
    <row r="41" spans="1:11" x14ac:dyDescent="0.25">
      <c r="A41" s="89">
        <v>18</v>
      </c>
      <c r="B41" s="331" t="s">
        <v>500</v>
      </c>
      <c r="C41" s="334" t="s">
        <v>511</v>
      </c>
      <c r="D41" s="334"/>
      <c r="E41" s="291">
        <v>0</v>
      </c>
      <c r="F41" s="331"/>
      <c r="G41" s="331" t="s">
        <v>75</v>
      </c>
      <c r="H41" s="319">
        <f>'Allocation Factors'!$H$13</f>
        <v>0.92469611331494961</v>
      </c>
      <c r="I41" s="189">
        <f>E41*H41</f>
        <v>0</v>
      </c>
    </row>
    <row r="42" spans="1:11" x14ac:dyDescent="0.25">
      <c r="A42" s="89">
        <v>19</v>
      </c>
      <c r="B42" s="15" t="s">
        <v>89</v>
      </c>
      <c r="C42" s="334"/>
      <c r="D42" s="334"/>
      <c r="E42" s="188">
        <f>SUM(E34:E41)</f>
        <v>170810507.54826191</v>
      </c>
      <c r="F42" s="331"/>
      <c r="G42" s="331"/>
      <c r="H42" s="331"/>
      <c r="I42" s="188">
        <f>SUM(I34:I41)</f>
        <v>73087152.226561666</v>
      </c>
    </row>
    <row r="43" spans="1:11" x14ac:dyDescent="0.25">
      <c r="A43" s="89"/>
      <c r="B43" s="120"/>
      <c r="C43" s="334"/>
      <c r="D43" s="334"/>
      <c r="E43" s="188"/>
      <c r="F43" s="331"/>
      <c r="G43" s="331"/>
      <c r="H43" s="331"/>
      <c r="I43" s="188"/>
    </row>
    <row r="44" spans="1:11" x14ac:dyDescent="0.25">
      <c r="A44" s="89"/>
      <c r="B44" s="331"/>
      <c r="C44" s="334"/>
      <c r="D44" s="334"/>
      <c r="E44" s="193"/>
      <c r="F44" s="331"/>
      <c r="G44" s="331"/>
      <c r="H44" s="331"/>
      <c r="I44" s="193"/>
    </row>
    <row r="45" spans="1:11" x14ac:dyDescent="0.25">
      <c r="A45" s="89"/>
      <c r="B45" s="15" t="s">
        <v>310</v>
      </c>
      <c r="C45" s="334"/>
      <c r="D45" s="334"/>
      <c r="E45" s="193"/>
      <c r="F45" s="331"/>
      <c r="G45" s="331"/>
      <c r="H45" s="331"/>
      <c r="I45" s="193"/>
    </row>
    <row r="46" spans="1:11" x14ac:dyDescent="0.25">
      <c r="A46" s="89">
        <v>20</v>
      </c>
      <c r="B46" s="331" t="s">
        <v>96</v>
      </c>
      <c r="C46" s="334" t="s">
        <v>233</v>
      </c>
      <c r="D46" s="334"/>
      <c r="E46" s="193">
        <f>'FERC Form 1 Inputs'!N41</f>
        <v>47319953.689999998</v>
      </c>
      <c r="F46" s="331"/>
      <c r="G46" s="331" t="s">
        <v>76</v>
      </c>
      <c r="H46" s="319">
        <f>'Allocation Factors'!$H$21</f>
        <v>3.5773423890158328E-2</v>
      </c>
      <c r="I46" s="193">
        <f>E46*H46</f>
        <v>1692796.7618150315</v>
      </c>
    </row>
    <row r="47" spans="1:11" x14ac:dyDescent="0.25">
      <c r="A47" s="89">
        <v>21</v>
      </c>
      <c r="B47" s="331" t="s">
        <v>97</v>
      </c>
      <c r="C47" s="334" t="s">
        <v>311</v>
      </c>
      <c r="D47" s="334"/>
      <c r="E47" s="263">
        <f>'FERC Form 1 Inputs'!N42+3774002</f>
        <v>205070309.36000001</v>
      </c>
      <c r="F47" s="331"/>
      <c r="G47" s="331" t="s">
        <v>77</v>
      </c>
      <c r="H47" s="319">
        <f>'Rate Base'!$I$23</f>
        <v>9.7615550059345371E-2</v>
      </c>
      <c r="I47" s="193">
        <f>E47*H47</f>
        <v>20018051.049016524</v>
      </c>
    </row>
    <row r="48" spans="1:11" x14ac:dyDescent="0.25">
      <c r="A48" s="89" t="s">
        <v>501</v>
      </c>
      <c r="B48" s="331" t="s">
        <v>326</v>
      </c>
      <c r="C48" s="334" t="s">
        <v>1209</v>
      </c>
      <c r="D48" s="334"/>
      <c r="E48" s="189">
        <f>-E47*'Schedule 1'!F64</f>
        <v>-729109.03920494055</v>
      </c>
      <c r="F48" s="331"/>
      <c r="G48" s="331" t="s">
        <v>77</v>
      </c>
      <c r="H48" s="319">
        <f>'Rate Base'!$I$23</f>
        <v>9.7615550059345371E-2</v>
      </c>
      <c r="I48" s="189">
        <f>E48*H48</f>
        <v>-71172.379915231082</v>
      </c>
    </row>
    <row r="49" spans="1:11" x14ac:dyDescent="0.25">
      <c r="A49" s="89">
        <v>22</v>
      </c>
      <c r="B49" s="15" t="s">
        <v>98</v>
      </c>
      <c r="C49" s="334"/>
      <c r="D49" s="334"/>
      <c r="E49" s="188">
        <f>SUM(E46:E48)</f>
        <v>251661154.01079506</v>
      </c>
      <c r="F49" s="331"/>
      <c r="G49" s="331"/>
      <c r="H49" s="331"/>
      <c r="I49" s="188">
        <f>SUM(I46:I48)</f>
        <v>21639675.430916324</v>
      </c>
    </row>
    <row r="50" spans="1:11" x14ac:dyDescent="0.25">
      <c r="A50" s="89"/>
      <c r="B50" s="331"/>
      <c r="C50" s="334"/>
      <c r="D50" s="334"/>
      <c r="E50" s="188"/>
      <c r="F50" s="331"/>
      <c r="G50" s="331"/>
      <c r="H50" s="331"/>
      <c r="I50" s="188"/>
    </row>
    <row r="51" spans="1:11" x14ac:dyDescent="0.25">
      <c r="A51" s="89"/>
      <c r="B51" s="15" t="s">
        <v>99</v>
      </c>
      <c r="C51" s="334"/>
      <c r="D51" s="334"/>
      <c r="E51" s="188"/>
      <c r="F51" s="318"/>
      <c r="G51" s="318"/>
      <c r="H51" s="318"/>
      <c r="I51" s="188"/>
    </row>
    <row r="52" spans="1:11" x14ac:dyDescent="0.25">
      <c r="A52" s="89">
        <v>23</v>
      </c>
      <c r="B52" s="331" t="s">
        <v>960</v>
      </c>
      <c r="C52" s="334"/>
      <c r="D52" s="334"/>
      <c r="E52" s="193"/>
      <c r="F52" s="331"/>
      <c r="G52" s="331"/>
      <c r="H52" s="331"/>
      <c r="I52" s="20">
        <f>'Rate Base'!J80*'Allocation Factors'!H42</f>
        <v>140585480.43721384</v>
      </c>
    </row>
    <row r="53" spans="1:11" x14ac:dyDescent="0.25">
      <c r="A53" s="89"/>
      <c r="B53" s="331"/>
      <c r="C53" s="334"/>
      <c r="D53" s="334"/>
      <c r="E53" s="193"/>
      <c r="F53" s="331"/>
      <c r="G53" s="331"/>
      <c r="H53" s="331"/>
      <c r="I53" s="193"/>
    </row>
    <row r="54" spans="1:11" x14ac:dyDescent="0.25">
      <c r="A54" s="89"/>
      <c r="B54" s="15" t="s">
        <v>100</v>
      </c>
      <c r="C54" s="334"/>
      <c r="D54" s="334"/>
      <c r="E54" s="193"/>
      <c r="F54" s="331"/>
      <c r="G54" s="331"/>
      <c r="H54" s="331"/>
      <c r="I54" s="193"/>
    </row>
    <row r="55" spans="1:11" x14ac:dyDescent="0.25">
      <c r="A55" s="89">
        <v>24</v>
      </c>
      <c r="B55" s="331" t="s">
        <v>101</v>
      </c>
      <c r="C55" s="334" t="s">
        <v>312</v>
      </c>
      <c r="D55" s="334"/>
      <c r="E55" s="248">
        <v>3.3799999999999997E-2</v>
      </c>
      <c r="F55" s="331"/>
      <c r="G55" s="331"/>
      <c r="H55" s="331"/>
      <c r="I55" s="193"/>
    </row>
    <row r="56" spans="1:11" x14ac:dyDescent="0.25">
      <c r="A56" s="89">
        <v>25</v>
      </c>
      <c r="B56" s="331" t="s">
        <v>102</v>
      </c>
      <c r="C56" s="334"/>
      <c r="D56" s="334"/>
      <c r="E56" s="342">
        <v>0.21</v>
      </c>
      <c r="F56" s="318"/>
      <c r="G56" s="318"/>
      <c r="H56" s="318"/>
      <c r="I56" s="188"/>
    </row>
    <row r="57" spans="1:11" x14ac:dyDescent="0.25">
      <c r="A57" s="89">
        <v>26</v>
      </c>
      <c r="B57" s="120" t="s">
        <v>1013</v>
      </c>
      <c r="C57" s="334"/>
      <c r="D57" s="334"/>
      <c r="E57" s="121">
        <f>E55+(E56*(1-E55))</f>
        <v>0.23670199999999997</v>
      </c>
      <c r="F57" s="318"/>
      <c r="G57" s="318"/>
      <c r="H57" s="318"/>
      <c r="I57" s="188"/>
    </row>
    <row r="58" spans="1:11" x14ac:dyDescent="0.25">
      <c r="A58" s="89">
        <v>27</v>
      </c>
      <c r="B58" s="331" t="s">
        <v>103</v>
      </c>
      <c r="C58" s="334"/>
      <c r="D58" s="334"/>
      <c r="E58" s="121">
        <f>E57/(1-E57)*(1-'Allocation Factors'!H40/'Allocation Factors'!H42)</f>
        <v>0.2192744660386341</v>
      </c>
      <c r="F58" s="318"/>
      <c r="G58" s="318"/>
      <c r="H58" s="318"/>
      <c r="I58" s="188"/>
      <c r="K58" s="121"/>
    </row>
    <row r="59" spans="1:11" x14ac:dyDescent="0.25">
      <c r="A59" s="89">
        <v>28</v>
      </c>
      <c r="B59" s="15" t="s">
        <v>1014</v>
      </c>
      <c r="C59" s="334"/>
      <c r="D59" s="334"/>
      <c r="E59" s="122">
        <f>1/(1-E57)</f>
        <v>1.3101043105052024</v>
      </c>
      <c r="F59" s="318"/>
      <c r="G59" s="318"/>
      <c r="H59" s="318"/>
      <c r="I59" s="188"/>
      <c r="K59" s="122"/>
    </row>
    <row r="60" spans="1:11" x14ac:dyDescent="0.25">
      <c r="A60" s="89">
        <v>29</v>
      </c>
      <c r="B60" s="331" t="s">
        <v>183</v>
      </c>
      <c r="C60" s="334" t="s">
        <v>106</v>
      </c>
      <c r="D60" s="334"/>
      <c r="E60" s="188">
        <f>-'FERC Form 1 Inputs'!N43</f>
        <v>-5298340</v>
      </c>
      <c r="F60" s="318"/>
      <c r="G60" s="318"/>
      <c r="H60" s="318"/>
      <c r="I60" s="188"/>
    </row>
    <row r="61" spans="1:11" x14ac:dyDescent="0.25">
      <c r="A61" s="89">
        <v>30</v>
      </c>
      <c r="B61" s="331" t="s">
        <v>502</v>
      </c>
      <c r="C61" s="334"/>
      <c r="D61" s="334"/>
      <c r="E61" s="188">
        <f>I52*E58</f>
        <v>30826806.155654904</v>
      </c>
      <c r="F61" s="318"/>
      <c r="G61" s="318"/>
      <c r="H61" s="318"/>
      <c r="I61" s="188">
        <f>I52*E58</f>
        <v>30826806.155654904</v>
      </c>
    </row>
    <row r="62" spans="1:11" x14ac:dyDescent="0.25">
      <c r="A62" s="89">
        <v>31</v>
      </c>
      <c r="B62" s="331" t="s">
        <v>504</v>
      </c>
      <c r="C62" s="334"/>
      <c r="D62" s="334"/>
      <c r="E62" s="189">
        <f>E59*E60</f>
        <v>-6941378.0725221336</v>
      </c>
      <c r="F62" s="318"/>
      <c r="G62" s="318" t="s">
        <v>107</v>
      </c>
      <c r="H62" s="319">
        <f>'Rate Base'!$I$45</f>
        <v>0.10462202281548752</v>
      </c>
      <c r="I62" s="189">
        <f>E62*H62</f>
        <v>-726221.01507433539</v>
      </c>
    </row>
    <row r="63" spans="1:11" x14ac:dyDescent="0.25">
      <c r="A63" s="89">
        <v>32</v>
      </c>
      <c r="B63" s="15" t="s">
        <v>104</v>
      </c>
      <c r="C63" s="334"/>
      <c r="D63" s="334"/>
      <c r="E63" s="188"/>
      <c r="F63" s="318"/>
      <c r="G63" s="318"/>
      <c r="H63" s="319"/>
      <c r="I63" s="123">
        <f>SUM(I61:I62)</f>
        <v>30100585.140580568</v>
      </c>
    </row>
    <row r="64" spans="1:11" x14ac:dyDescent="0.25">
      <c r="A64" s="89"/>
      <c r="B64" s="15"/>
      <c r="E64" s="74"/>
      <c r="F64" s="13"/>
      <c r="G64" s="13"/>
      <c r="H64" s="13"/>
      <c r="I64" s="74"/>
    </row>
    <row r="65" spans="1:9" x14ac:dyDescent="0.25">
      <c r="A65" s="89"/>
      <c r="B65" s="15"/>
      <c r="E65" s="74"/>
      <c r="I65" s="74"/>
    </row>
    <row r="66" spans="1:9" x14ac:dyDescent="0.25">
      <c r="A66" s="89">
        <v>33</v>
      </c>
      <c r="B66" s="15" t="s">
        <v>503</v>
      </c>
      <c r="I66" s="20">
        <f>I31+I42+I49+I52+I63</f>
        <v>322096973.17322081</v>
      </c>
    </row>
    <row r="67" spans="1:9" x14ac:dyDescent="0.25">
      <c r="A67" s="89"/>
      <c r="I67" s="7"/>
    </row>
  </sheetData>
  <mergeCells count="5">
    <mergeCell ref="G7:H7"/>
    <mergeCell ref="A1:H1"/>
    <mergeCell ref="A2:H2"/>
    <mergeCell ref="A3:H3"/>
    <mergeCell ref="A4:H4"/>
  </mergeCells>
  <pageMargins left="0.7" right="0.7" top="0.75" bottom="0.75" header="0.3" footer="0.3"/>
  <pageSetup scale="47" orientation="portrait" r:id="rId1"/>
  <ignoredErrors>
    <ignoredError sqref="I40"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44"/>
  <sheetViews>
    <sheetView zoomScale="80" zoomScaleNormal="80" workbookViewId="0">
      <selection sqref="A1:G1"/>
    </sheetView>
  </sheetViews>
  <sheetFormatPr defaultRowHeight="15" x14ac:dyDescent="0.25"/>
  <cols>
    <col min="1" max="1" width="9.28515625" style="6" customWidth="1"/>
    <col min="2" max="2" width="60.28515625" style="6" customWidth="1"/>
    <col min="3" max="3" width="7.42578125" style="6" customWidth="1"/>
    <col min="4" max="4" width="22.5703125" style="153" customWidth="1"/>
    <col min="5" max="5" width="1.7109375" style="6" customWidth="1"/>
    <col min="6" max="6" width="10.85546875" style="6" customWidth="1"/>
    <col min="7" max="7" width="1.7109375" style="6" customWidth="1"/>
    <col min="8" max="8" width="24.28515625" style="7" bestFit="1" customWidth="1"/>
    <col min="9" max="9" width="112.42578125" style="201" bestFit="1" customWidth="1"/>
    <col min="10" max="10" width="1.28515625" style="6" customWidth="1"/>
    <col min="11" max="11" width="29.85546875" style="6" bestFit="1" customWidth="1"/>
    <col min="12" max="12" width="23.140625" style="6" customWidth="1"/>
    <col min="13" max="16384" width="9.140625" style="6"/>
  </cols>
  <sheetData>
    <row r="1" spans="1:15" x14ac:dyDescent="0.25">
      <c r="A1" s="359" t="s">
        <v>0</v>
      </c>
      <c r="B1" s="359"/>
      <c r="C1" s="359"/>
      <c r="D1" s="359"/>
      <c r="E1" s="359"/>
      <c r="F1" s="359"/>
      <c r="G1" s="359"/>
      <c r="H1" s="15" t="s">
        <v>405</v>
      </c>
    </row>
    <row r="2" spans="1:15" x14ac:dyDescent="0.25">
      <c r="A2" s="359" t="s">
        <v>201</v>
      </c>
      <c r="B2" s="359"/>
      <c r="C2" s="359"/>
      <c r="D2" s="359"/>
      <c r="E2" s="359"/>
      <c r="F2" s="359"/>
      <c r="G2" s="359"/>
      <c r="H2" s="15" t="s">
        <v>649</v>
      </c>
    </row>
    <row r="3" spans="1:15" x14ac:dyDescent="0.25">
      <c r="A3" s="359" t="str">
        <f>+Summary!A3</f>
        <v>Utilizing Historic Cost Data for (2017) and Projected Net Plant at Year-End (2017)</v>
      </c>
      <c r="B3" s="359"/>
      <c r="C3" s="359"/>
      <c r="D3" s="359"/>
      <c r="E3" s="359"/>
      <c r="F3" s="359"/>
      <c r="G3" s="359"/>
      <c r="H3" s="26"/>
      <c r="I3" s="150"/>
    </row>
    <row r="4" spans="1:15" x14ac:dyDescent="0.25">
      <c r="A4" s="359" t="s">
        <v>44</v>
      </c>
      <c r="B4" s="359"/>
      <c r="C4" s="359"/>
      <c r="D4" s="359"/>
      <c r="E4" s="359"/>
      <c r="F4" s="359"/>
      <c r="G4" s="359"/>
      <c r="H4" s="167"/>
    </row>
    <row r="5" spans="1:15" x14ac:dyDescent="0.25">
      <c r="D5" s="168"/>
      <c r="E5" s="7"/>
    </row>
    <row r="6" spans="1:15" x14ac:dyDescent="0.25">
      <c r="A6" s="76" t="s">
        <v>2</v>
      </c>
      <c r="D6" s="167" t="s">
        <v>4</v>
      </c>
      <c r="H6" s="75" t="s">
        <v>5</v>
      </c>
    </row>
    <row r="7" spans="1:15" x14ac:dyDescent="0.25">
      <c r="B7" s="15" t="s">
        <v>45</v>
      </c>
      <c r="C7" s="15"/>
      <c r="D7" s="168"/>
      <c r="E7" s="12"/>
    </row>
    <row r="8" spans="1:15" x14ac:dyDescent="0.25">
      <c r="A8" s="6">
        <v>1</v>
      </c>
      <c r="B8" s="6" t="s">
        <v>46</v>
      </c>
      <c r="D8" s="168" t="s">
        <v>477</v>
      </c>
      <c r="H8" s="193">
        <f>'Rate Base'!F15+'Rate Base'!F16+'Rate Base'!F17</f>
        <v>4085441576.8299999</v>
      </c>
      <c r="K8" s="196"/>
    </row>
    <row r="9" spans="1:15" x14ac:dyDescent="0.25">
      <c r="A9" s="6">
        <v>2</v>
      </c>
      <c r="B9" s="6" t="s">
        <v>73</v>
      </c>
      <c r="D9" s="168" t="s">
        <v>585</v>
      </c>
      <c r="H9" s="324">
        <f>223964602+27827719</f>
        <v>251792321</v>
      </c>
      <c r="I9" s="234"/>
      <c r="K9" s="196"/>
    </row>
    <row r="10" spans="1:15" x14ac:dyDescent="0.25">
      <c r="A10" s="89">
        <v>3</v>
      </c>
      <c r="B10" s="6" t="s">
        <v>115</v>
      </c>
      <c r="D10" s="168" t="s">
        <v>918</v>
      </c>
      <c r="H10" s="188">
        <f>'FERC Form 1 Inputs'!N72</f>
        <v>8356471</v>
      </c>
      <c r="I10" s="204"/>
      <c r="K10" s="196"/>
    </row>
    <row r="11" spans="1:15" x14ac:dyDescent="0.25">
      <c r="A11" s="89" t="s">
        <v>524</v>
      </c>
      <c r="B11" s="6" t="s">
        <v>961</v>
      </c>
      <c r="D11" s="168" t="s">
        <v>586</v>
      </c>
      <c r="G11" s="74"/>
      <c r="H11" s="291">
        <v>47500837.560000002</v>
      </c>
      <c r="I11" s="234"/>
      <c r="K11" s="197"/>
      <c r="L11" s="171"/>
      <c r="M11" s="175"/>
      <c r="N11" s="175"/>
      <c r="O11" s="174"/>
    </row>
    <row r="12" spans="1:15" x14ac:dyDescent="0.25">
      <c r="A12" s="6">
        <v>4</v>
      </c>
      <c r="B12" s="6" t="s">
        <v>47</v>
      </c>
      <c r="D12" s="168"/>
      <c r="H12" s="193">
        <f>H8-H9-H10-H11</f>
        <v>3777791947.27</v>
      </c>
      <c r="K12" s="197"/>
    </row>
    <row r="13" spans="1:15" x14ac:dyDescent="0.25">
      <c r="A13" s="6">
        <v>5</v>
      </c>
      <c r="B13" s="15" t="s">
        <v>48</v>
      </c>
      <c r="C13" s="15"/>
      <c r="D13" s="168" t="s">
        <v>215</v>
      </c>
      <c r="H13" s="106">
        <f>H12/H8</f>
        <v>0.92469611331494961</v>
      </c>
      <c r="K13" s="197"/>
    </row>
    <row r="14" spans="1:15" x14ac:dyDescent="0.25">
      <c r="D14" s="168"/>
      <c r="H14" s="193"/>
      <c r="K14" s="197"/>
    </row>
    <row r="15" spans="1:15" x14ac:dyDescent="0.25">
      <c r="B15" s="15" t="s">
        <v>49</v>
      </c>
      <c r="C15" s="15"/>
      <c r="D15" s="168"/>
      <c r="H15" s="193"/>
      <c r="K15" s="197"/>
    </row>
    <row r="16" spans="1:15" x14ac:dyDescent="0.25">
      <c r="A16" s="6">
        <v>6</v>
      </c>
      <c r="B16" s="6" t="s">
        <v>50</v>
      </c>
      <c r="D16" s="168" t="s">
        <v>533</v>
      </c>
      <c r="H16" s="263">
        <v>706339407.5</v>
      </c>
      <c r="I16" s="217"/>
      <c r="K16" s="197"/>
    </row>
    <row r="17" spans="1:11" x14ac:dyDescent="0.25">
      <c r="A17" s="6">
        <v>7</v>
      </c>
      <c r="B17" s="6" t="s">
        <v>51</v>
      </c>
      <c r="D17" s="168" t="s">
        <v>534</v>
      </c>
      <c r="H17" s="343">
        <v>112323762</v>
      </c>
      <c r="I17" s="217"/>
      <c r="J17" s="54"/>
      <c r="K17" s="196"/>
    </row>
    <row r="18" spans="1:11" x14ac:dyDescent="0.25">
      <c r="A18" s="6">
        <v>8</v>
      </c>
      <c r="B18" s="6" t="s">
        <v>710</v>
      </c>
      <c r="D18" s="168" t="s">
        <v>711</v>
      </c>
      <c r="H18" s="7">
        <f>H16-H17</f>
        <v>594015645.5</v>
      </c>
      <c r="K18" s="196"/>
    </row>
    <row r="19" spans="1:11" x14ac:dyDescent="0.25">
      <c r="A19" s="6">
        <v>9</v>
      </c>
      <c r="B19" s="6" t="s">
        <v>52</v>
      </c>
      <c r="D19" s="168" t="s">
        <v>64</v>
      </c>
      <c r="H19" s="7">
        <f>'FERC Form 1 Inputs'!N66</f>
        <v>22980494</v>
      </c>
      <c r="J19" s="97"/>
    </row>
    <row r="20" spans="1:11" x14ac:dyDescent="0.25">
      <c r="A20" s="6">
        <v>10</v>
      </c>
      <c r="B20" s="15" t="s">
        <v>181</v>
      </c>
      <c r="C20" s="15"/>
      <c r="D20" s="168"/>
      <c r="H20" s="106">
        <f>H19/H18</f>
        <v>3.8686681359472709E-2</v>
      </c>
    </row>
    <row r="21" spans="1:11" x14ac:dyDescent="0.25">
      <c r="A21" s="6">
        <v>11</v>
      </c>
      <c r="B21" s="15" t="s">
        <v>469</v>
      </c>
      <c r="C21" s="15"/>
      <c r="D21" s="168"/>
      <c r="H21" s="106">
        <f>H13*H20</f>
        <v>3.5773423890158328E-2</v>
      </c>
    </row>
    <row r="22" spans="1:11" x14ac:dyDescent="0.25">
      <c r="D22" s="168"/>
    </row>
    <row r="23" spans="1:11" x14ac:dyDescent="0.25">
      <c r="B23" s="15" t="s">
        <v>53</v>
      </c>
      <c r="C23" s="15"/>
      <c r="D23" s="168"/>
    </row>
    <row r="24" spans="1:11" x14ac:dyDescent="0.25">
      <c r="A24" s="6">
        <v>12</v>
      </c>
      <c r="B24" s="6" t="s">
        <v>54</v>
      </c>
      <c r="D24" s="168" t="s">
        <v>175</v>
      </c>
      <c r="H24" s="78">
        <f>'FERC Form 1 Inputs'!N9</f>
        <v>456705534</v>
      </c>
    </row>
    <row r="25" spans="1:11" x14ac:dyDescent="0.25">
      <c r="A25" s="6">
        <v>13</v>
      </c>
      <c r="B25" s="6" t="s">
        <v>55</v>
      </c>
      <c r="D25" s="168"/>
      <c r="H25" s="7">
        <f>SUM(H24:H24)</f>
        <v>456705534</v>
      </c>
    </row>
    <row r="26" spans="1:11" x14ac:dyDescent="0.25">
      <c r="D26" s="168"/>
    </row>
    <row r="27" spans="1:11" x14ac:dyDescent="0.25">
      <c r="A27" s="6">
        <v>14</v>
      </c>
      <c r="B27" s="6" t="s">
        <v>56</v>
      </c>
      <c r="D27" s="168" t="s">
        <v>65</v>
      </c>
      <c r="H27" s="7">
        <f>'FERC Form 1 Inputs'!N5</f>
        <v>10088892779</v>
      </c>
    </row>
    <row r="28" spans="1:11" x14ac:dyDescent="0.25">
      <c r="A28" s="6">
        <v>15</v>
      </c>
      <c r="B28" s="6" t="s">
        <v>57</v>
      </c>
      <c r="D28" s="168" t="s">
        <v>66</v>
      </c>
      <c r="H28" s="7">
        <f>'FERC Form 1 Inputs'!N2</f>
        <v>63880032</v>
      </c>
    </row>
    <row r="29" spans="1:11" x14ac:dyDescent="0.25">
      <c r="A29" s="6">
        <v>16</v>
      </c>
      <c r="B29" s="6" t="s">
        <v>58</v>
      </c>
      <c r="D29" s="168" t="s">
        <v>67</v>
      </c>
      <c r="H29" s="78">
        <f>'FERC Form 1 Inputs'!N8</f>
        <v>0</v>
      </c>
    </row>
    <row r="30" spans="1:11" x14ac:dyDescent="0.25">
      <c r="A30" s="6">
        <v>17</v>
      </c>
      <c r="B30" s="6" t="s">
        <v>59</v>
      </c>
      <c r="D30" s="168"/>
      <c r="H30" s="7">
        <f>H27-H28+H29</f>
        <v>10025012747</v>
      </c>
    </row>
    <row r="31" spans="1:11" x14ac:dyDescent="0.25">
      <c r="D31" s="168"/>
    </row>
    <row r="32" spans="1:11" x14ac:dyDescent="0.25">
      <c r="B32" s="6" t="s">
        <v>60</v>
      </c>
      <c r="D32" s="168"/>
    </row>
    <row r="33" spans="1:8" x14ac:dyDescent="0.25">
      <c r="A33" s="6">
        <v>18</v>
      </c>
      <c r="B33" s="6" t="s">
        <v>61</v>
      </c>
      <c r="D33" s="168" t="s">
        <v>68</v>
      </c>
      <c r="H33" s="7">
        <f>'FERC Form 1 Inputs'!N6</f>
        <v>11365886081</v>
      </c>
    </row>
    <row r="34" spans="1:8" x14ac:dyDescent="0.25">
      <c r="A34" s="6">
        <v>19</v>
      </c>
      <c r="B34" s="6" t="s">
        <v>63</v>
      </c>
      <c r="D34" s="168" t="s">
        <v>69</v>
      </c>
      <c r="H34" s="78">
        <f>'FERC Form 1 Inputs'!N7</f>
        <v>4810163</v>
      </c>
    </row>
    <row r="35" spans="1:8" x14ac:dyDescent="0.25">
      <c r="A35" s="6">
        <v>20</v>
      </c>
      <c r="B35" s="6" t="s">
        <v>62</v>
      </c>
      <c r="D35" s="168"/>
      <c r="H35" s="7">
        <f>H33-H34</f>
        <v>11361075918</v>
      </c>
    </row>
    <row r="36" spans="1:8" x14ac:dyDescent="0.25">
      <c r="D36" s="168"/>
    </row>
    <row r="37" spans="1:8" x14ac:dyDescent="0.25">
      <c r="A37" s="6">
        <v>21</v>
      </c>
      <c r="B37" s="26" t="s">
        <v>430</v>
      </c>
      <c r="C37" s="26"/>
      <c r="D37" s="168"/>
      <c r="H37" s="20">
        <f>H30+H35</f>
        <v>21386088665</v>
      </c>
    </row>
    <row r="38" spans="1:8" x14ac:dyDescent="0.25">
      <c r="D38" s="168"/>
    </row>
    <row r="39" spans="1:8" ht="17.25" x14ac:dyDescent="0.4">
      <c r="B39" s="109" t="s">
        <v>694</v>
      </c>
      <c r="C39" s="109"/>
      <c r="D39" s="110" t="s">
        <v>70</v>
      </c>
      <c r="F39" s="110" t="s">
        <v>71</v>
      </c>
      <c r="G39" s="102"/>
      <c r="H39" s="111" t="s">
        <v>72</v>
      </c>
    </row>
    <row r="40" spans="1:8" x14ac:dyDescent="0.25">
      <c r="A40" s="6">
        <v>22</v>
      </c>
      <c r="B40" s="13" t="s">
        <v>56</v>
      </c>
      <c r="C40" s="13"/>
      <c r="D40" s="112">
        <f>1-D41</f>
        <v>0.47599999999999998</v>
      </c>
      <c r="F40" s="88">
        <f>ROUND(H25/H30,4)</f>
        <v>4.5600000000000002E-2</v>
      </c>
      <c r="G40" s="88"/>
      <c r="H40" s="88">
        <f>D40*F40</f>
        <v>2.1705599999999999E-2</v>
      </c>
    </row>
    <row r="41" spans="1:8" x14ac:dyDescent="0.25">
      <c r="A41" s="6">
        <v>23</v>
      </c>
      <c r="B41" s="13" t="s">
        <v>525</v>
      </c>
      <c r="C41" s="113"/>
      <c r="D41" s="112">
        <f>IF((H35/H37)&lt;0.524,H35/H37,0.524)</f>
        <v>0.52400000000000002</v>
      </c>
      <c r="F41" s="248">
        <v>0.1</v>
      </c>
      <c r="G41" s="88"/>
      <c r="H41" s="114">
        <f>D41*F41</f>
        <v>5.2400000000000002E-2</v>
      </c>
    </row>
    <row r="42" spans="1:8" x14ac:dyDescent="0.25">
      <c r="A42" s="6">
        <v>24</v>
      </c>
      <c r="B42" s="13" t="s">
        <v>1012</v>
      </c>
      <c r="C42" s="13"/>
      <c r="D42" s="168"/>
      <c r="H42" s="115">
        <f>SUM(H40:H41)</f>
        <v>7.4105599999999994E-2</v>
      </c>
    </row>
    <row r="43" spans="1:8" x14ac:dyDescent="0.25">
      <c r="D43" s="168"/>
    </row>
    <row r="44" spans="1:8" x14ac:dyDescent="0.25">
      <c r="D44" s="168"/>
    </row>
  </sheetData>
  <mergeCells count="4">
    <mergeCell ref="A1:G1"/>
    <mergeCell ref="A2:G2"/>
    <mergeCell ref="A4:G4"/>
    <mergeCell ref="A3:G3"/>
  </mergeCells>
  <pageMargins left="0.7" right="0.7" top="0.75" bottom="0.75" header="0.3" footer="0.3"/>
  <pageSetup scale="6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80" zoomScaleNormal="80" workbookViewId="0">
      <selection sqref="A1:B1"/>
    </sheetView>
  </sheetViews>
  <sheetFormatPr defaultRowHeight="15" x14ac:dyDescent="0.25"/>
  <cols>
    <col min="1" max="1" width="8" style="6" customWidth="1"/>
    <col min="2" max="2" width="127.85546875" style="6" customWidth="1"/>
    <col min="3" max="3" width="18.42578125" style="6" bestFit="1" customWidth="1"/>
    <col min="4" max="10" width="9.140625" style="6"/>
    <col min="11" max="11" width="23.140625" style="6" customWidth="1"/>
    <col min="12" max="16384" width="9.140625" style="6"/>
  </cols>
  <sheetData>
    <row r="1" spans="1:8" x14ac:dyDescent="0.25">
      <c r="A1" s="359" t="s">
        <v>0</v>
      </c>
      <c r="B1" s="359"/>
      <c r="C1" s="15" t="s">
        <v>405</v>
      </c>
      <c r="D1" s="10"/>
      <c r="H1" s="10"/>
    </row>
    <row r="2" spans="1:8" x14ac:dyDescent="0.25">
      <c r="A2" s="359" t="s">
        <v>201</v>
      </c>
      <c r="B2" s="359"/>
      <c r="C2" s="15" t="s">
        <v>650</v>
      </c>
      <c r="D2" s="10"/>
      <c r="H2" s="10"/>
    </row>
    <row r="3" spans="1:8" x14ac:dyDescent="0.25">
      <c r="A3" s="359"/>
      <c r="B3" s="359"/>
    </row>
    <row r="4" spans="1:8" x14ac:dyDescent="0.25">
      <c r="A4" s="359" t="s">
        <v>222</v>
      </c>
      <c r="B4" s="359"/>
    </row>
    <row r="7" spans="1:8" ht="21" x14ac:dyDescent="0.35">
      <c r="B7" s="107" t="s">
        <v>184</v>
      </c>
    </row>
    <row r="8" spans="1:8" ht="18.75" x14ac:dyDescent="0.3">
      <c r="B8" s="27" t="s">
        <v>250</v>
      </c>
    </row>
    <row r="9" spans="1:8" ht="18.75" x14ac:dyDescent="0.3">
      <c r="B9" s="27" t="s">
        <v>248</v>
      </c>
    </row>
    <row r="10" spans="1:8" ht="18.75" x14ac:dyDescent="0.3">
      <c r="B10" s="27" t="s">
        <v>185</v>
      </c>
    </row>
    <row r="11" spans="1:8" ht="18.75" x14ac:dyDescent="0.3">
      <c r="B11" s="27" t="s">
        <v>669</v>
      </c>
    </row>
    <row r="12" spans="1:8" ht="18.75" x14ac:dyDescent="0.3">
      <c r="B12" s="27" t="s">
        <v>670</v>
      </c>
    </row>
    <row r="13" spans="1:8" ht="18.75" x14ac:dyDescent="0.3">
      <c r="B13" s="27" t="s">
        <v>307</v>
      </c>
    </row>
    <row r="14" spans="1:8" ht="18.75" x14ac:dyDescent="0.3">
      <c r="B14" s="27" t="s">
        <v>308</v>
      </c>
    </row>
    <row r="15" spans="1:8" ht="18.75" x14ac:dyDescent="0.3">
      <c r="B15" s="27" t="s">
        <v>309</v>
      </c>
    </row>
    <row r="16" spans="1:8" ht="18.75" x14ac:dyDescent="0.3">
      <c r="B16" s="108" t="s">
        <v>671</v>
      </c>
    </row>
    <row r="17" spans="2:2" ht="18.75" x14ac:dyDescent="0.3">
      <c r="B17" s="27" t="s">
        <v>672</v>
      </c>
    </row>
    <row r="18" spans="2:2" ht="18.75" x14ac:dyDescent="0.3">
      <c r="B18" s="27" t="s">
        <v>690</v>
      </c>
    </row>
    <row r="19" spans="2:2" ht="18.75" x14ac:dyDescent="0.3">
      <c r="B19" s="27" t="s">
        <v>313</v>
      </c>
    </row>
    <row r="20" spans="2:2" ht="18.75" x14ac:dyDescent="0.3">
      <c r="B20" s="27" t="s">
        <v>691</v>
      </c>
    </row>
    <row r="21" spans="2:2" ht="18.75" x14ac:dyDescent="0.3">
      <c r="B21" s="27" t="s">
        <v>692</v>
      </c>
    </row>
    <row r="22" spans="2:2" ht="18.75" x14ac:dyDescent="0.3">
      <c r="B22" s="27" t="s">
        <v>667</v>
      </c>
    </row>
    <row r="23" spans="2:2" ht="18.75" x14ac:dyDescent="0.3">
      <c r="B23" s="249" t="s">
        <v>1210</v>
      </c>
    </row>
    <row r="24" spans="2:2" s="274" customFormat="1" ht="18.75" x14ac:dyDescent="0.3">
      <c r="B24" s="249" t="s">
        <v>1211</v>
      </c>
    </row>
    <row r="25" spans="2:2" s="274" customFormat="1" ht="18.75" x14ac:dyDescent="0.3">
      <c r="B25" s="249" t="s">
        <v>1212</v>
      </c>
    </row>
    <row r="26" spans="2:2" s="274" customFormat="1" ht="18.75" x14ac:dyDescent="0.3">
      <c r="B26" s="249" t="s">
        <v>1213</v>
      </c>
    </row>
    <row r="27" spans="2:2" s="274" customFormat="1" ht="18.75" x14ac:dyDescent="0.3">
      <c r="B27" s="249" t="s">
        <v>1214</v>
      </c>
    </row>
    <row r="28" spans="2:2" s="274" customFormat="1" ht="18.75" x14ac:dyDescent="0.3">
      <c r="B28" s="249" t="s">
        <v>1215</v>
      </c>
    </row>
    <row r="29" spans="2:2" ht="18.75" x14ac:dyDescent="0.3">
      <c r="B29" s="28" t="s">
        <v>327</v>
      </c>
    </row>
    <row r="30" spans="2:2" ht="18.75" x14ac:dyDescent="0.3">
      <c r="B30" s="28" t="s">
        <v>708</v>
      </c>
    </row>
    <row r="31" spans="2:2" ht="18.75" x14ac:dyDescent="0.3">
      <c r="B31" s="28" t="s">
        <v>673</v>
      </c>
    </row>
    <row r="32" spans="2:2" ht="18.75" x14ac:dyDescent="0.3">
      <c r="B32" s="27" t="s">
        <v>674</v>
      </c>
    </row>
    <row r="33" spans="2:2" ht="18.75" x14ac:dyDescent="0.3">
      <c r="B33" s="27" t="s">
        <v>657</v>
      </c>
    </row>
    <row r="34" spans="2:2" ht="18.75" x14ac:dyDescent="0.3">
      <c r="B34" s="27" t="s">
        <v>658</v>
      </c>
    </row>
    <row r="35" spans="2:2" ht="18.75" x14ac:dyDescent="0.3">
      <c r="B35" s="27" t="s">
        <v>659</v>
      </c>
    </row>
    <row r="36" spans="2:2" ht="18.75" x14ac:dyDescent="0.3">
      <c r="B36" s="27" t="s">
        <v>660</v>
      </c>
    </row>
    <row r="37" spans="2:2" ht="18.75" x14ac:dyDescent="0.3">
      <c r="B37" s="27" t="s">
        <v>668</v>
      </c>
    </row>
    <row r="38" spans="2:2" ht="18.75" x14ac:dyDescent="0.3">
      <c r="B38" s="27" t="s">
        <v>505</v>
      </c>
    </row>
    <row r="39" spans="2:2" ht="18.75" x14ac:dyDescent="0.3">
      <c r="B39" s="27" t="s">
        <v>506</v>
      </c>
    </row>
    <row r="40" spans="2:2" ht="18.75" x14ac:dyDescent="0.3">
      <c r="B40" s="27" t="s">
        <v>656</v>
      </c>
    </row>
    <row r="41" spans="2:2" ht="18.75" x14ac:dyDescent="0.3">
      <c r="B41" s="27" t="s">
        <v>687</v>
      </c>
    </row>
    <row r="42" spans="2:2" ht="18.75" x14ac:dyDescent="0.3">
      <c r="B42" s="27" t="s">
        <v>661</v>
      </c>
    </row>
    <row r="43" spans="2:2" ht="18.75" x14ac:dyDescent="0.3">
      <c r="B43" s="27" t="s">
        <v>582</v>
      </c>
    </row>
    <row r="44" spans="2:2" ht="18.75" x14ac:dyDescent="0.3">
      <c r="B44" s="27" t="s">
        <v>1032</v>
      </c>
    </row>
    <row r="45" spans="2:2" ht="18.75" x14ac:dyDescent="0.3">
      <c r="B45" s="27" t="s">
        <v>903</v>
      </c>
    </row>
    <row r="46" spans="2:2" ht="18.75" x14ac:dyDescent="0.3">
      <c r="B46" s="27" t="s">
        <v>904</v>
      </c>
    </row>
  </sheetData>
  <mergeCells count="4">
    <mergeCell ref="A1:B1"/>
    <mergeCell ref="A4:B4"/>
    <mergeCell ref="A2:B2"/>
    <mergeCell ref="A3:B3"/>
  </mergeCells>
  <pageMargins left="0.7" right="0.7" top="0.75" bottom="0.75" header="0.3" footer="0.3"/>
  <pageSetup scale="6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64"/>
  <sheetViews>
    <sheetView zoomScale="80" zoomScaleNormal="80" workbookViewId="0">
      <selection sqref="A1:E1"/>
    </sheetView>
  </sheetViews>
  <sheetFormatPr defaultRowHeight="15" x14ac:dyDescent="0.25"/>
  <cols>
    <col min="1" max="1" width="8" style="6" customWidth="1"/>
    <col min="2" max="2" width="54.42578125" style="6" customWidth="1"/>
    <col min="3" max="3" width="30.28515625" style="6" customWidth="1"/>
    <col min="4" max="4" width="49.42578125" style="153" bestFit="1" customWidth="1"/>
    <col min="5" max="5" width="1.7109375" style="6" customWidth="1"/>
    <col min="6" max="6" width="22.85546875" style="6" customWidth="1"/>
    <col min="7" max="7" width="21.140625" style="6" customWidth="1"/>
    <col min="8" max="8" width="29.85546875" style="6" customWidth="1"/>
    <col min="9" max="9" width="14.28515625" style="6" bestFit="1" customWidth="1"/>
    <col min="10" max="10" width="9.140625" style="6"/>
    <col min="11" max="11" width="23.140625" style="6" customWidth="1"/>
    <col min="12" max="16384" width="9.140625" style="6"/>
  </cols>
  <sheetData>
    <row r="1" spans="1:12" x14ac:dyDescent="0.25">
      <c r="A1" s="359" t="s">
        <v>0</v>
      </c>
      <c r="B1" s="359"/>
      <c r="C1" s="359"/>
      <c r="D1" s="359"/>
      <c r="E1" s="359"/>
      <c r="F1" s="15" t="s">
        <v>405</v>
      </c>
      <c r="H1" s="10"/>
      <c r="I1" s="10"/>
      <c r="J1" s="10"/>
      <c r="K1" s="10"/>
      <c r="L1" s="10"/>
    </row>
    <row r="2" spans="1:12" x14ac:dyDescent="0.25">
      <c r="A2" s="359" t="s">
        <v>201</v>
      </c>
      <c r="B2" s="359"/>
      <c r="C2" s="359"/>
      <c r="D2" s="359"/>
      <c r="E2" s="359"/>
      <c r="F2" s="15" t="s">
        <v>651</v>
      </c>
      <c r="H2" s="10"/>
      <c r="I2" s="10"/>
      <c r="J2" s="10"/>
      <c r="K2" s="10"/>
      <c r="L2" s="153"/>
    </row>
    <row r="3" spans="1:12" x14ac:dyDescent="0.25">
      <c r="A3" s="359" t="str">
        <f>+Summary!A3</f>
        <v>Utilizing Historic Cost Data for (2017) and Projected Net Plant at Year-End (2017)</v>
      </c>
      <c r="B3" s="359"/>
      <c r="C3" s="359"/>
      <c r="D3" s="359"/>
      <c r="E3" s="359"/>
      <c r="F3" s="213"/>
      <c r="G3" s="213"/>
      <c r="H3" s="213"/>
      <c r="I3" s="213"/>
    </row>
    <row r="4" spans="1:12" x14ac:dyDescent="0.25">
      <c r="A4" s="359" t="s">
        <v>369</v>
      </c>
      <c r="B4" s="359"/>
      <c r="C4" s="359"/>
      <c r="D4" s="359"/>
      <c r="E4" s="359"/>
      <c r="F4" s="167"/>
      <c r="G4" s="168"/>
      <c r="H4" s="7"/>
    </row>
    <row r="5" spans="1:12" x14ac:dyDescent="0.25">
      <c r="D5" s="168"/>
    </row>
    <row r="6" spans="1:12" x14ac:dyDescent="0.25">
      <c r="A6" s="167" t="s">
        <v>448</v>
      </c>
      <c r="D6" s="167" t="s">
        <v>4</v>
      </c>
      <c r="F6" s="167" t="s">
        <v>1279</v>
      </c>
    </row>
    <row r="7" spans="1:12" x14ac:dyDescent="0.25">
      <c r="A7" s="6">
        <v>1</v>
      </c>
      <c r="B7" s="6" t="s">
        <v>467</v>
      </c>
      <c r="D7" s="168" t="s">
        <v>594</v>
      </c>
      <c r="F7" s="7">
        <f>'Attach S1 - SOC GP'!D21</f>
        <v>136993169.25999999</v>
      </c>
    </row>
    <row r="8" spans="1:12" x14ac:dyDescent="0.25">
      <c r="A8" s="6">
        <v>2</v>
      </c>
      <c r="B8" s="6" t="s">
        <v>478</v>
      </c>
      <c r="D8" s="168" t="s">
        <v>332</v>
      </c>
      <c r="F8" s="263">
        <f>'Attach L - Intangibles Gross'!C75+'Attach L - Intangibles Gross'!C90+'Attach L - Intangibles Gross'!C91+'Attach L - Intangibles Gross'!C93</f>
        <v>3439385</v>
      </c>
      <c r="G8" s="234"/>
      <c r="H8" s="173"/>
    </row>
    <row r="9" spans="1:12" x14ac:dyDescent="0.25">
      <c r="A9" s="6">
        <v>3</v>
      </c>
      <c r="B9" s="6" t="s">
        <v>479</v>
      </c>
      <c r="D9" s="168" t="s">
        <v>476</v>
      </c>
      <c r="F9" s="193">
        <f>'Rate Base'!F35</f>
        <v>-48319645.943245381</v>
      </c>
      <c r="H9" s="173"/>
    </row>
    <row r="10" spans="1:12" x14ac:dyDescent="0.25">
      <c r="A10" s="6">
        <v>4</v>
      </c>
      <c r="B10" s="6" t="s">
        <v>480</v>
      </c>
      <c r="D10" s="168" t="s">
        <v>368</v>
      </c>
      <c r="F10" s="343">
        <f>-('Attach M -Intangibles Acc Amort'!C71+'Attach M -Intangibles Acc Amort'!C86+'Attach M -Intangibles Acc Amort'!C87+'Attach M -Intangibles Acc Amort'!C89)</f>
        <v>-3397562.2399999998</v>
      </c>
      <c r="G10" s="234"/>
      <c r="H10" s="239"/>
    </row>
    <row r="11" spans="1:12" x14ac:dyDescent="0.25">
      <c r="A11" s="6">
        <v>5</v>
      </c>
      <c r="B11" s="15" t="s">
        <v>370</v>
      </c>
      <c r="D11" s="168" t="s">
        <v>522</v>
      </c>
      <c r="F11" s="20">
        <f>SUM(F7:F10)</f>
        <v>88715346.076754615</v>
      </c>
      <c r="H11" s="171"/>
    </row>
    <row r="12" spans="1:12" x14ac:dyDescent="0.25">
      <c r="D12" s="168"/>
      <c r="F12" s="193"/>
    </row>
    <row r="13" spans="1:12" x14ac:dyDescent="0.25">
      <c r="A13" s="6">
        <v>6</v>
      </c>
      <c r="B13" s="6" t="s">
        <v>36</v>
      </c>
      <c r="D13" s="168" t="s">
        <v>636</v>
      </c>
      <c r="F13" s="189">
        <f>(F24-F20-F21-F23)/8</f>
        <v>754831.24478952703</v>
      </c>
    </row>
    <row r="14" spans="1:12" x14ac:dyDescent="0.25">
      <c r="A14" s="6">
        <v>7</v>
      </c>
      <c r="B14" s="15" t="s">
        <v>371</v>
      </c>
      <c r="D14" s="168" t="s">
        <v>523</v>
      </c>
      <c r="F14" s="20">
        <f>F11+F13</f>
        <v>89470177.321544141</v>
      </c>
    </row>
    <row r="15" spans="1:12" x14ac:dyDescent="0.25">
      <c r="D15" s="168"/>
      <c r="F15" s="193"/>
    </row>
    <row r="16" spans="1:12" x14ac:dyDescent="0.25">
      <c r="A16" s="6">
        <v>8</v>
      </c>
      <c r="B16" s="6" t="s">
        <v>372</v>
      </c>
      <c r="D16" s="168" t="s">
        <v>587</v>
      </c>
      <c r="F16" s="193">
        <f>'FERC Form 1 Inputs'!N48+'FERC Form 1 Inputs'!N49+'FERC Form 1 Inputs'!N50+'FERC Form 1 Inputs'!N51</f>
        <v>10530733</v>
      </c>
    </row>
    <row r="17" spans="1:7" x14ac:dyDescent="0.25">
      <c r="A17" s="6" t="s">
        <v>514</v>
      </c>
      <c r="B17" s="6" t="s">
        <v>654</v>
      </c>
      <c r="D17" s="168" t="s">
        <v>546</v>
      </c>
      <c r="F17" s="193">
        <f>'Attach Q - 561.1-561.4'!B19</f>
        <v>-3622486.04</v>
      </c>
    </row>
    <row r="18" spans="1:7" x14ac:dyDescent="0.25">
      <c r="A18" s="6" t="s">
        <v>516</v>
      </c>
      <c r="B18" s="6" t="s">
        <v>512</v>
      </c>
      <c r="D18" s="168" t="s">
        <v>546</v>
      </c>
      <c r="F18" s="188">
        <f>'Attach Q - 561.1-561.4'!B20</f>
        <v>-908218.55</v>
      </c>
    </row>
    <row r="19" spans="1:7" x14ac:dyDescent="0.25">
      <c r="A19" s="6" t="s">
        <v>515</v>
      </c>
      <c r="B19" s="6" t="s">
        <v>513</v>
      </c>
      <c r="D19" s="168" t="s">
        <v>546</v>
      </c>
      <c r="F19" s="188">
        <f>'Attach Q - 561.1-561.4'!B21</f>
        <v>0</v>
      </c>
    </row>
    <row r="20" spans="1:7" x14ac:dyDescent="0.25">
      <c r="A20" s="6">
        <v>9</v>
      </c>
      <c r="B20" s="6" t="s">
        <v>373</v>
      </c>
      <c r="D20" s="168" t="s">
        <v>653</v>
      </c>
      <c r="F20" s="188">
        <f>-'Revenue Requirement'!E39</f>
        <v>6774333.2749380898</v>
      </c>
    </row>
    <row r="21" spans="1:7" x14ac:dyDescent="0.25">
      <c r="A21" s="6">
        <v>10</v>
      </c>
      <c r="B21" s="6" t="s">
        <v>390</v>
      </c>
      <c r="D21" s="168" t="s">
        <v>380</v>
      </c>
      <c r="F21" s="263">
        <f>'Attach N -Intangibles Amort Exp'!C78+'Attach N -Intangibles Amort Exp'!C93+'Attach N -Intangibles Amort Exp'!C94+'Attach N -Intangibles Amort Exp'!C97</f>
        <v>134688</v>
      </c>
      <c r="G21" s="234"/>
    </row>
    <row r="22" spans="1:7" x14ac:dyDescent="0.25">
      <c r="A22" s="6">
        <v>11</v>
      </c>
      <c r="B22" s="6" t="s">
        <v>374</v>
      </c>
      <c r="D22" s="168" t="s">
        <v>449</v>
      </c>
      <c r="F22" s="193">
        <f>-'Revenue Requirement'!E26</f>
        <v>38621.5483162163</v>
      </c>
      <c r="G22" s="201"/>
    </row>
    <row r="23" spans="1:7" x14ac:dyDescent="0.25">
      <c r="A23" s="6">
        <v>12</v>
      </c>
      <c r="B23" s="6" t="s">
        <v>375</v>
      </c>
      <c r="D23" s="168" t="s">
        <v>905</v>
      </c>
      <c r="F23" s="189">
        <f>-'Revenue Requirement'!E48</f>
        <v>729109.03920494055</v>
      </c>
    </row>
    <row r="24" spans="1:7" x14ac:dyDescent="0.25">
      <c r="A24" s="6">
        <v>13</v>
      </c>
      <c r="B24" s="15" t="s">
        <v>376</v>
      </c>
      <c r="D24" s="168" t="s">
        <v>520</v>
      </c>
      <c r="F24" s="20">
        <f>SUM(F16:F23)</f>
        <v>13676780.272459246</v>
      </c>
    </row>
    <row r="25" spans="1:7" x14ac:dyDescent="0.25">
      <c r="D25" s="168"/>
      <c r="F25" s="331"/>
    </row>
    <row r="26" spans="1:7" x14ac:dyDescent="0.25">
      <c r="A26" s="6">
        <v>14</v>
      </c>
      <c r="B26" s="6" t="s">
        <v>377</v>
      </c>
      <c r="D26" s="168" t="s">
        <v>521</v>
      </c>
      <c r="F26" s="20">
        <f>F14*'Allocation Factors'!H42</f>
        <v>6630241.1725194212</v>
      </c>
    </row>
    <row r="27" spans="1:7" x14ac:dyDescent="0.25">
      <c r="A27" s="6">
        <v>15</v>
      </c>
      <c r="B27" s="6" t="s">
        <v>100</v>
      </c>
      <c r="D27" s="168" t="s">
        <v>652</v>
      </c>
      <c r="F27" s="23">
        <f>F26*'Revenue Requirement'!E58</f>
        <v>1453842.5928115633</v>
      </c>
      <c r="G27" s="9"/>
    </row>
    <row r="28" spans="1:7" x14ac:dyDescent="0.25">
      <c r="D28" s="168"/>
      <c r="F28" s="331"/>
    </row>
    <row r="29" spans="1:7" x14ac:dyDescent="0.25">
      <c r="A29" s="6">
        <v>16</v>
      </c>
      <c r="B29" s="6" t="s">
        <v>378</v>
      </c>
      <c r="D29" s="168" t="s">
        <v>666</v>
      </c>
      <c r="F29" s="23">
        <f>F24+F26+F27</f>
        <v>21760864.037790231</v>
      </c>
    </row>
    <row r="30" spans="1:7" x14ac:dyDescent="0.25">
      <c r="A30" s="6">
        <v>17</v>
      </c>
      <c r="B30" s="6" t="s">
        <v>379</v>
      </c>
      <c r="D30" s="168" t="s">
        <v>595</v>
      </c>
      <c r="F30" s="193">
        <f>'Attach I - Acct 456.1'!K96</f>
        <v>268644.68</v>
      </c>
    </row>
    <row r="31" spans="1:7" x14ac:dyDescent="0.25">
      <c r="D31" s="168"/>
      <c r="F31" s="193"/>
    </row>
    <row r="32" spans="1:7" x14ac:dyDescent="0.25">
      <c r="A32" s="6">
        <v>18</v>
      </c>
      <c r="B32" s="15" t="s">
        <v>189</v>
      </c>
      <c r="D32" s="279" t="s">
        <v>1198</v>
      </c>
      <c r="E32" s="274"/>
      <c r="F32" s="248">
        <f>(1+0.0211)</f>
        <v>1.0210999999999999</v>
      </c>
    </row>
    <row r="33" spans="1:15" x14ac:dyDescent="0.25">
      <c r="A33" s="6">
        <v>19</v>
      </c>
      <c r="B33" s="15" t="s">
        <v>404</v>
      </c>
      <c r="D33" s="279" t="s">
        <v>1200</v>
      </c>
      <c r="E33" s="274">
        <v>0</v>
      </c>
      <c r="F33" s="20">
        <f>(F29-F30)*F32</f>
        <v>21945705.186239604</v>
      </c>
    </row>
    <row r="34" spans="1:15" x14ac:dyDescent="0.25">
      <c r="B34" s="15"/>
      <c r="D34" s="168"/>
      <c r="F34" s="72"/>
      <c r="I34" s="212" t="s">
        <v>1136</v>
      </c>
      <c r="J34" s="275"/>
      <c r="K34" s="275"/>
      <c r="L34" s="275"/>
      <c r="M34" s="275"/>
      <c r="N34" s="275"/>
      <c r="O34" s="275"/>
    </row>
    <row r="35" spans="1:15" x14ac:dyDescent="0.25">
      <c r="A35" s="6">
        <v>20</v>
      </c>
      <c r="B35" s="6" t="s">
        <v>465</v>
      </c>
      <c r="D35" s="211" t="s">
        <v>463</v>
      </c>
      <c r="F35" s="340">
        <v>10144332.573799616</v>
      </c>
      <c r="G35" s="270"/>
    </row>
    <row r="36" spans="1:15" x14ac:dyDescent="0.25">
      <c r="A36" s="6">
        <v>21</v>
      </c>
      <c r="B36" s="15" t="s">
        <v>597</v>
      </c>
      <c r="D36" s="168" t="s">
        <v>519</v>
      </c>
      <c r="F36" s="105">
        <f>F33+F35</f>
        <v>32090037.760039218</v>
      </c>
      <c r="G36" s="331"/>
    </row>
    <row r="37" spans="1:15" x14ac:dyDescent="0.25">
      <c r="B37" s="15"/>
      <c r="D37" s="168"/>
      <c r="G37" s="331"/>
    </row>
    <row r="38" spans="1:15" x14ac:dyDescent="0.25">
      <c r="A38" s="6">
        <v>22</v>
      </c>
      <c r="B38" s="6" t="s">
        <v>466</v>
      </c>
      <c r="D38" s="211" t="s">
        <v>464</v>
      </c>
      <c r="F38" s="340">
        <v>10420748.853768678</v>
      </c>
      <c r="G38" s="270"/>
      <c r="H38" s="196"/>
    </row>
    <row r="39" spans="1:15" x14ac:dyDescent="0.25">
      <c r="A39" s="6">
        <v>23</v>
      </c>
      <c r="B39" s="15" t="s">
        <v>598</v>
      </c>
      <c r="D39" s="168" t="s">
        <v>518</v>
      </c>
      <c r="F39" s="105">
        <f>F33+F38</f>
        <v>32366454.040008284</v>
      </c>
    </row>
    <row r="40" spans="1:15" x14ac:dyDescent="0.25">
      <c r="D40" s="168"/>
    </row>
    <row r="41" spans="1:15" x14ac:dyDescent="0.25">
      <c r="A41" s="6">
        <v>24</v>
      </c>
      <c r="B41" s="6" t="s">
        <v>462</v>
      </c>
      <c r="D41" s="168" t="s">
        <v>959</v>
      </c>
      <c r="F41" s="8">
        <f>Summary!I35</f>
        <v>19434.583333333332</v>
      </c>
      <c r="I41" s="7"/>
    </row>
    <row r="42" spans="1:15" x14ac:dyDescent="0.25">
      <c r="D42" s="168"/>
      <c r="I42" s="8"/>
    </row>
    <row r="43" spans="1:15" x14ac:dyDescent="0.25">
      <c r="A43" s="6">
        <v>25</v>
      </c>
      <c r="B43" s="6" t="s">
        <v>453</v>
      </c>
      <c r="D43" s="168" t="s">
        <v>517</v>
      </c>
      <c r="F43" s="82">
        <f>ROUND(F39/F41/1000,2)</f>
        <v>1.67</v>
      </c>
      <c r="I43" s="8"/>
    </row>
    <row r="44" spans="1:15" x14ac:dyDescent="0.25">
      <c r="A44" s="6">
        <v>26</v>
      </c>
      <c r="B44" s="6" t="s">
        <v>455</v>
      </c>
      <c r="D44" s="168" t="s">
        <v>662</v>
      </c>
      <c r="F44" s="84">
        <f>ROUND(F43/12,5)</f>
        <v>0.13916999999999999</v>
      </c>
    </row>
    <row r="45" spans="1:15" x14ac:dyDescent="0.25">
      <c r="A45" s="6">
        <v>27</v>
      </c>
      <c r="B45" s="6" t="s">
        <v>454</v>
      </c>
      <c r="D45" s="168" t="s">
        <v>663</v>
      </c>
      <c r="F45" s="84">
        <f>ROUND(F43/52,5)</f>
        <v>3.2120000000000003E-2</v>
      </c>
      <c r="I45" s="8"/>
    </row>
    <row r="46" spans="1:15" x14ac:dyDescent="0.25">
      <c r="A46" s="6">
        <v>28</v>
      </c>
      <c r="B46" s="6" t="s">
        <v>456</v>
      </c>
      <c r="D46" s="168" t="s">
        <v>664</v>
      </c>
      <c r="F46" s="84">
        <f>ROUND(F43/365,5)</f>
        <v>4.5799999999999999E-3</v>
      </c>
    </row>
    <row r="47" spans="1:15" x14ac:dyDescent="0.25">
      <c r="A47" s="6">
        <v>29</v>
      </c>
      <c r="B47" s="6" t="s">
        <v>457</v>
      </c>
      <c r="D47" s="168" t="s">
        <v>665</v>
      </c>
      <c r="F47" s="84">
        <f>ROUND(F43/8760,5)</f>
        <v>1.9000000000000001E-4</v>
      </c>
    </row>
    <row r="48" spans="1:15" x14ac:dyDescent="0.25">
      <c r="D48" s="168"/>
      <c r="F48" s="86"/>
    </row>
    <row r="49" spans="1:9" x14ac:dyDescent="0.25">
      <c r="B49" s="15" t="s">
        <v>426</v>
      </c>
      <c r="D49" s="6"/>
      <c r="I49" s="83"/>
    </row>
    <row r="50" spans="1:9" x14ac:dyDescent="0.25">
      <c r="A50" s="6">
        <v>30</v>
      </c>
      <c r="B50" s="6" t="s">
        <v>113</v>
      </c>
      <c r="D50" s="168" t="s">
        <v>700</v>
      </c>
      <c r="F50" s="84">
        <f>ROUND(F45/5,5)</f>
        <v>6.4200000000000004E-3</v>
      </c>
    </row>
    <row r="51" spans="1:9" x14ac:dyDescent="0.25">
      <c r="A51" s="6">
        <v>31</v>
      </c>
      <c r="B51" s="6" t="s">
        <v>114</v>
      </c>
      <c r="D51" s="153" t="s">
        <v>699</v>
      </c>
      <c r="F51" s="84">
        <f>ROUND(F45/7,5)</f>
        <v>4.5900000000000003E-3</v>
      </c>
    </row>
    <row r="52" spans="1:9" x14ac:dyDescent="0.25">
      <c r="D52" s="6"/>
      <c r="F52" s="83"/>
    </row>
    <row r="53" spans="1:9" x14ac:dyDescent="0.25">
      <c r="B53" s="15" t="s">
        <v>427</v>
      </c>
      <c r="D53" s="6"/>
      <c r="F53" s="83"/>
    </row>
    <row r="54" spans="1:9" x14ac:dyDescent="0.25">
      <c r="A54" s="6">
        <v>32</v>
      </c>
      <c r="B54" s="6" t="s">
        <v>1115</v>
      </c>
      <c r="D54" s="153" t="s">
        <v>702</v>
      </c>
      <c r="F54" s="84">
        <f>ROUND(F50/16,5)</f>
        <v>4.0000000000000002E-4</v>
      </c>
    </row>
    <row r="55" spans="1:9" x14ac:dyDescent="0.25">
      <c r="A55" s="6">
        <v>33</v>
      </c>
      <c r="B55" s="6" t="s">
        <v>1116</v>
      </c>
      <c r="D55" s="153" t="s">
        <v>701</v>
      </c>
      <c r="F55" s="84">
        <f>ROUND(F51/24,5)</f>
        <v>1.9000000000000001E-4</v>
      </c>
    </row>
    <row r="56" spans="1:9" x14ac:dyDescent="0.25">
      <c r="D56" s="6"/>
      <c r="I56" s="84"/>
    </row>
    <row r="57" spans="1:9" x14ac:dyDescent="0.25">
      <c r="B57" s="6" t="s">
        <v>416</v>
      </c>
      <c r="F57" s="86"/>
    </row>
    <row r="58" spans="1:9" x14ac:dyDescent="0.25">
      <c r="A58" s="6">
        <v>34</v>
      </c>
      <c r="B58" s="6" t="s">
        <v>417</v>
      </c>
      <c r="D58" s="153" t="s">
        <v>419</v>
      </c>
      <c r="F58" s="7">
        <f>$F$7</f>
        <v>136993169.25999999</v>
      </c>
    </row>
    <row r="59" spans="1:9" x14ac:dyDescent="0.25">
      <c r="A59" s="6">
        <v>35</v>
      </c>
      <c r="B59" s="6" t="s">
        <v>418</v>
      </c>
      <c r="D59" s="153" t="s">
        <v>458</v>
      </c>
      <c r="F59" s="7">
        <f>'Rate Base'!F19</f>
        <v>1121528986</v>
      </c>
    </row>
    <row r="60" spans="1:9" x14ac:dyDescent="0.25">
      <c r="A60" s="6">
        <v>36</v>
      </c>
      <c r="B60" s="6" t="s">
        <v>420</v>
      </c>
      <c r="D60" s="153" t="s">
        <v>703</v>
      </c>
      <c r="F60" s="106">
        <f>F58/F59</f>
        <v>0.12214857660397552</v>
      </c>
    </row>
    <row r="62" spans="1:9" x14ac:dyDescent="0.25">
      <c r="A62" s="6">
        <v>37</v>
      </c>
      <c r="B62" s="6" t="s">
        <v>417</v>
      </c>
      <c r="D62" s="153" t="s">
        <v>419</v>
      </c>
      <c r="F62" s="7">
        <f>$F$7</f>
        <v>136993169.25999999</v>
      </c>
    </row>
    <row r="63" spans="1:9" x14ac:dyDescent="0.25">
      <c r="A63" s="6">
        <v>38</v>
      </c>
      <c r="B63" s="6" t="s">
        <v>421</v>
      </c>
      <c r="D63" s="153" t="s">
        <v>906</v>
      </c>
      <c r="F63" s="7">
        <f>'Rate Base'!F23-'Rate Base'!F21</f>
        <v>38530905653</v>
      </c>
    </row>
    <row r="64" spans="1:9" x14ac:dyDescent="0.25">
      <c r="A64" s="6">
        <v>39</v>
      </c>
      <c r="B64" s="6" t="s">
        <v>422</v>
      </c>
      <c r="D64" s="153" t="s">
        <v>704</v>
      </c>
      <c r="F64" s="106">
        <f>F62/F63</f>
        <v>3.555410051705695E-3</v>
      </c>
    </row>
  </sheetData>
  <mergeCells count="4">
    <mergeCell ref="A1:E1"/>
    <mergeCell ref="A2:E2"/>
    <mergeCell ref="A4:E4"/>
    <mergeCell ref="A3:E3"/>
  </mergeCells>
  <pageMargins left="0.7" right="0.7" top="0.75" bottom="0.75" header="0.3" footer="0.3"/>
  <pageSetup scale="5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zoomScale="80" zoomScaleNormal="80" workbookViewId="0">
      <selection sqref="A1:G1"/>
    </sheetView>
  </sheetViews>
  <sheetFormatPr defaultColWidth="0.7109375" defaultRowHeight="15" x14ac:dyDescent="0.25"/>
  <cols>
    <col min="1" max="1" width="50.85546875" style="6" customWidth="1"/>
    <col min="2" max="2" width="1.7109375" style="6" customWidth="1"/>
    <col min="3" max="3" width="17.5703125" style="6" bestFit="1" customWidth="1"/>
    <col min="4" max="4" width="1.7109375" style="6" customWidth="1"/>
    <col min="5" max="5" width="14" style="6" bestFit="1" customWidth="1"/>
    <col min="6" max="6" width="10.42578125" style="6" bestFit="1" customWidth="1"/>
    <col min="7" max="7" width="1.7109375" style="6" customWidth="1"/>
    <col min="8" max="8" width="18.42578125" style="6" bestFit="1" customWidth="1"/>
    <col min="9" max="10" width="12.7109375" style="6" customWidth="1"/>
    <col min="11" max="11" width="23.140625" style="6" customWidth="1"/>
    <col min="12" max="11385" width="12.7109375" style="6" customWidth="1"/>
    <col min="11386" max="16384" width="0.7109375" style="6"/>
  </cols>
  <sheetData>
    <row r="1" spans="1:10" x14ac:dyDescent="0.25">
      <c r="A1" s="359" t="s">
        <v>0</v>
      </c>
      <c r="B1" s="359"/>
      <c r="C1" s="359"/>
      <c r="D1" s="359"/>
      <c r="E1" s="359"/>
      <c r="F1" s="359"/>
      <c r="G1" s="359"/>
      <c r="H1" s="151" t="s">
        <v>406</v>
      </c>
    </row>
    <row r="2" spans="1:10" x14ac:dyDescent="0.25">
      <c r="A2" s="359" t="s">
        <v>116</v>
      </c>
      <c r="B2" s="359"/>
      <c r="C2" s="359"/>
      <c r="D2" s="359"/>
      <c r="E2" s="359"/>
      <c r="F2" s="359"/>
      <c r="G2" s="359"/>
      <c r="H2" s="151" t="s">
        <v>388</v>
      </c>
    </row>
    <row r="3" spans="1:10" x14ac:dyDescent="0.25">
      <c r="A3" s="359"/>
      <c r="B3" s="359"/>
      <c r="C3" s="359"/>
      <c r="D3" s="359"/>
      <c r="E3" s="359"/>
      <c r="F3" s="359"/>
      <c r="G3" s="359"/>
    </row>
    <row r="4" spans="1:10" x14ac:dyDescent="0.25">
      <c r="A4" s="359" t="s">
        <v>117</v>
      </c>
      <c r="B4" s="359"/>
      <c r="C4" s="359"/>
      <c r="D4" s="359"/>
      <c r="E4" s="359"/>
      <c r="F4" s="359"/>
      <c r="G4" s="359"/>
      <c r="H4" s="10"/>
    </row>
    <row r="6" spans="1:10" x14ac:dyDescent="0.25">
      <c r="C6" s="151" t="s">
        <v>130</v>
      </c>
      <c r="D6" s="15"/>
      <c r="E6" s="15"/>
      <c r="F6" s="15"/>
      <c r="G6" s="15"/>
      <c r="H6" s="15"/>
    </row>
    <row r="7" spans="1:10" x14ac:dyDescent="0.25">
      <c r="C7" s="222">
        <v>43100</v>
      </c>
      <c r="D7" s="15"/>
      <c r="E7" s="359" t="s">
        <v>128</v>
      </c>
      <c r="F7" s="359"/>
      <c r="G7" s="15"/>
      <c r="H7" s="15"/>
    </row>
    <row r="8" spans="1:10" x14ac:dyDescent="0.25">
      <c r="C8" s="152" t="s">
        <v>131</v>
      </c>
      <c r="D8" s="15"/>
      <c r="E8" s="360" t="s">
        <v>129</v>
      </c>
      <c r="F8" s="360"/>
      <c r="G8" s="15"/>
      <c r="H8" s="152" t="s">
        <v>127</v>
      </c>
    </row>
    <row r="9" spans="1:10" x14ac:dyDescent="0.25">
      <c r="C9" s="153"/>
    </row>
    <row r="10" spans="1:10" x14ac:dyDescent="0.25">
      <c r="A10" s="17" t="s">
        <v>415</v>
      </c>
      <c r="C10" s="251">
        <f>2686883097-SUM(C11:C29)</f>
        <v>2573813372</v>
      </c>
      <c r="E10" s="331" t="s">
        <v>138</v>
      </c>
      <c r="F10" s="223">
        <v>0</v>
      </c>
      <c r="H10" s="5">
        <f>C10*F10</f>
        <v>0</v>
      </c>
    </row>
    <row r="11" spans="1:10" x14ac:dyDescent="0.25">
      <c r="A11" s="17" t="s">
        <v>118</v>
      </c>
      <c r="B11" s="4"/>
      <c r="C11" s="328">
        <v>0</v>
      </c>
      <c r="D11" s="331"/>
      <c r="E11" s="331" t="s">
        <v>76</v>
      </c>
      <c r="F11" s="58">
        <f>'Allocation Factors'!$H$21</f>
        <v>3.5773423890158328E-2</v>
      </c>
      <c r="H11" s="5">
        <f>C11*F11</f>
        <v>0</v>
      </c>
      <c r="J11" s="8"/>
    </row>
    <row r="12" spans="1:10" x14ac:dyDescent="0.25">
      <c r="A12" s="17" t="s">
        <v>939</v>
      </c>
      <c r="B12" s="4"/>
      <c r="C12" s="328">
        <v>0</v>
      </c>
      <c r="D12" s="331"/>
      <c r="E12" s="331" t="s">
        <v>138</v>
      </c>
      <c r="F12" s="250">
        <v>0</v>
      </c>
      <c r="H12" s="5">
        <f t="shared" ref="H12:H20" si="0">C12*F12</f>
        <v>0</v>
      </c>
    </row>
    <row r="13" spans="1:10" x14ac:dyDescent="0.25">
      <c r="A13" s="17" t="s">
        <v>119</v>
      </c>
      <c r="B13" s="4"/>
      <c r="C13" s="328">
        <f>1375317+800061</f>
        <v>2175378</v>
      </c>
      <c r="D13" s="331"/>
      <c r="E13" s="331" t="s">
        <v>76</v>
      </c>
      <c r="F13" s="58">
        <f>'Allocation Factors'!$H$21</f>
        <v>3.5773423890158328E-2</v>
      </c>
      <c r="H13" s="5">
        <f t="shared" si="0"/>
        <v>77820.719315324837</v>
      </c>
    </row>
    <row r="14" spans="1:10" x14ac:dyDescent="0.25">
      <c r="A14" s="17" t="s">
        <v>120</v>
      </c>
      <c r="B14" s="4"/>
      <c r="C14" s="328">
        <f>419160+243837</f>
        <v>662997</v>
      </c>
      <c r="D14" s="331"/>
      <c r="E14" s="331" t="s">
        <v>107</v>
      </c>
      <c r="F14" s="58">
        <f>'Rate Base'!$I$45</f>
        <v>0.10462202281548752</v>
      </c>
      <c r="H14" s="5">
        <f t="shared" si="0"/>
        <v>69364.087260599772</v>
      </c>
    </row>
    <row r="15" spans="1:10" x14ac:dyDescent="0.25">
      <c r="A15" s="17" t="s">
        <v>940</v>
      </c>
      <c r="B15" s="4"/>
      <c r="C15" s="328">
        <f>402343+234055</f>
        <v>636398</v>
      </c>
      <c r="D15" s="331"/>
      <c r="E15" s="331" t="s">
        <v>76</v>
      </c>
      <c r="F15" s="58">
        <f>'Allocation Factors'!$H$21</f>
        <v>3.5773423890158328E-2</v>
      </c>
      <c r="H15" s="5">
        <f t="shared" si="0"/>
        <v>22766.135416848978</v>
      </c>
    </row>
    <row r="16" spans="1:10" x14ac:dyDescent="0.25">
      <c r="A16" s="17" t="s">
        <v>965</v>
      </c>
      <c r="B16" s="4"/>
      <c r="C16" s="328">
        <f>-10655940+8528+-6193900</f>
        <v>-16841312</v>
      </c>
      <c r="D16" s="331"/>
      <c r="E16" s="331" t="s">
        <v>76</v>
      </c>
      <c r="F16" s="58">
        <f>'Allocation Factors'!$H$21</f>
        <v>3.5773423890158328E-2</v>
      </c>
      <c r="H16" s="5">
        <f t="shared" ref="H16" si="1">C16*F16</f>
        <v>-602471.39304241014</v>
      </c>
    </row>
    <row r="17" spans="1:8" x14ac:dyDescent="0.25">
      <c r="A17" s="17" t="s">
        <v>196</v>
      </c>
      <c r="B17" s="4"/>
      <c r="C17" s="328">
        <f>8340550-2514410+3389230</f>
        <v>9215370</v>
      </c>
      <c r="D17" s="331"/>
      <c r="E17" s="331" t="s">
        <v>76</v>
      </c>
      <c r="F17" s="58">
        <f>'Allocation Factors'!$H$21</f>
        <v>3.5773423890158328E-2</v>
      </c>
      <c r="H17" s="5">
        <f t="shared" si="0"/>
        <v>329665.33731464832</v>
      </c>
    </row>
    <row r="18" spans="1:8" x14ac:dyDescent="0.25">
      <c r="A18" s="17" t="s">
        <v>121</v>
      </c>
      <c r="B18" s="4"/>
      <c r="C18" s="328">
        <f>-105388+-61306</f>
        <v>-166694</v>
      </c>
      <c r="D18" s="331"/>
      <c r="E18" s="331" t="s">
        <v>107</v>
      </c>
      <c r="F18" s="58">
        <f>'Rate Base'!$I$45</f>
        <v>0.10462202281548752</v>
      </c>
      <c r="H18" s="5">
        <f t="shared" si="0"/>
        <v>-17439.863471204877</v>
      </c>
    </row>
    <row r="19" spans="1:8" x14ac:dyDescent="0.25">
      <c r="A19" s="17" t="s">
        <v>941</v>
      </c>
      <c r="B19" s="4"/>
      <c r="C19" s="328">
        <f>26811552+15597037</f>
        <v>42408589</v>
      </c>
      <c r="D19" s="331"/>
      <c r="E19" s="331" t="s">
        <v>138</v>
      </c>
      <c r="F19" s="58">
        <v>0</v>
      </c>
      <c r="H19" s="5">
        <f t="shared" si="0"/>
        <v>0</v>
      </c>
    </row>
    <row r="20" spans="1:8" x14ac:dyDescent="0.25">
      <c r="A20" s="17" t="s">
        <v>197</v>
      </c>
      <c r="B20" s="4"/>
      <c r="C20" s="328">
        <f>17532129-8825879+6728683</f>
        <v>15434933</v>
      </c>
      <c r="D20" s="331"/>
      <c r="E20" s="331" t="s">
        <v>76</v>
      </c>
      <c r="F20" s="58">
        <f>'Allocation Factors'!$H$21</f>
        <v>3.5773423890158328E-2</v>
      </c>
      <c r="H20" s="5">
        <f t="shared" si="0"/>
        <v>552160.4009251931</v>
      </c>
    </row>
    <row r="21" spans="1:8" x14ac:dyDescent="0.25">
      <c r="A21" s="17" t="s">
        <v>966</v>
      </c>
      <c r="B21" s="4"/>
      <c r="C21" s="328">
        <f>1643357+955987</f>
        <v>2599344</v>
      </c>
      <c r="D21" s="331"/>
      <c r="E21" s="331" t="s">
        <v>138</v>
      </c>
      <c r="F21" s="58">
        <v>0</v>
      </c>
      <c r="H21" s="5">
        <f t="shared" ref="H21" si="2">C21*F21</f>
        <v>0</v>
      </c>
    </row>
    <row r="22" spans="1:8" x14ac:dyDescent="0.25">
      <c r="A22" s="17" t="s">
        <v>942</v>
      </c>
      <c r="C22" s="328">
        <v>0</v>
      </c>
      <c r="D22" s="331"/>
      <c r="E22" s="331" t="s">
        <v>76</v>
      </c>
      <c r="F22" s="58">
        <f>'Allocation Factors'!$H$21</f>
        <v>3.5773423890158328E-2</v>
      </c>
      <c r="H22" s="5">
        <f>C22*F22</f>
        <v>0</v>
      </c>
    </row>
    <row r="23" spans="1:8" x14ac:dyDescent="0.25">
      <c r="A23" s="17" t="s">
        <v>123</v>
      </c>
      <c r="C23" s="328">
        <v>0</v>
      </c>
      <c r="D23" s="331"/>
      <c r="E23" s="331" t="s">
        <v>76</v>
      </c>
      <c r="F23" s="58">
        <f>'Allocation Factors'!$H$21</f>
        <v>3.5773423890158328E-2</v>
      </c>
      <c r="H23" s="5">
        <f>C23*F23</f>
        <v>0</v>
      </c>
    </row>
    <row r="24" spans="1:8" x14ac:dyDescent="0.25">
      <c r="A24" s="17" t="s">
        <v>249</v>
      </c>
      <c r="C24" s="328">
        <f>13692423+37616827</f>
        <v>51309250</v>
      </c>
      <c r="D24" s="331"/>
      <c r="E24" s="331" t="s">
        <v>138</v>
      </c>
      <c r="F24" s="223">
        <v>0</v>
      </c>
      <c r="H24" s="5">
        <f t="shared" ref="H24:H29" si="3">C24*F24</f>
        <v>0</v>
      </c>
    </row>
    <row r="25" spans="1:8" x14ac:dyDescent="0.25">
      <c r="A25" s="17" t="s">
        <v>124</v>
      </c>
      <c r="C25" s="328">
        <f>1271615+739734</f>
        <v>2011349</v>
      </c>
      <c r="D25" s="331"/>
      <c r="E25" s="331" t="s">
        <v>138</v>
      </c>
      <c r="F25" s="58">
        <v>0</v>
      </c>
      <c r="H25" s="5">
        <f t="shared" si="3"/>
        <v>0</v>
      </c>
    </row>
    <row r="26" spans="1:8" x14ac:dyDescent="0.25">
      <c r="A26" s="17" t="s">
        <v>943</v>
      </c>
      <c r="C26" s="328">
        <v>0</v>
      </c>
      <c r="D26" s="331"/>
      <c r="E26" s="331" t="s">
        <v>76</v>
      </c>
      <c r="F26" s="58">
        <f>'Allocation Factors'!$H$21</f>
        <v>3.5773423890158328E-2</v>
      </c>
      <c r="H26" s="5">
        <f t="shared" si="3"/>
        <v>0</v>
      </c>
    </row>
    <row r="27" spans="1:8" x14ac:dyDescent="0.25">
      <c r="A27" s="17" t="s">
        <v>944</v>
      </c>
      <c r="C27" s="328">
        <v>0</v>
      </c>
      <c r="D27" s="331"/>
      <c r="E27" s="331" t="s">
        <v>76</v>
      </c>
      <c r="F27" s="58">
        <f>'Allocation Factors'!$H$21</f>
        <v>3.5773423890158328E-2</v>
      </c>
      <c r="H27" s="5">
        <f t="shared" si="3"/>
        <v>0</v>
      </c>
    </row>
    <row r="28" spans="1:8" x14ac:dyDescent="0.25">
      <c r="A28" s="17" t="s">
        <v>125</v>
      </c>
      <c r="C28" s="328">
        <f>78476+45652</f>
        <v>124128</v>
      </c>
      <c r="D28" s="331"/>
      <c r="E28" s="331" t="s">
        <v>107</v>
      </c>
      <c r="F28" s="58">
        <f>'Rate Base'!$I$45</f>
        <v>0.10462202281548752</v>
      </c>
      <c r="H28" s="5">
        <f t="shared" si="3"/>
        <v>12986.522448040834</v>
      </c>
    </row>
    <row r="29" spans="1:8" x14ac:dyDescent="0.25">
      <c r="A29" s="17" t="s">
        <v>126</v>
      </c>
      <c r="C29" s="328">
        <f>2212766+1287229</f>
        <v>3499995</v>
      </c>
      <c r="D29" s="331"/>
      <c r="E29" s="331" t="s">
        <v>107</v>
      </c>
      <c r="F29" s="58">
        <f>'Rate Base'!$I$45</f>
        <v>0.10462202281548752</v>
      </c>
      <c r="H29" s="5">
        <f t="shared" si="3"/>
        <v>366176.55674409226</v>
      </c>
    </row>
    <row r="30" spans="1:8" x14ac:dyDescent="0.25">
      <c r="C30" s="153"/>
      <c r="F30" s="58"/>
    </row>
    <row r="31" spans="1:8" x14ac:dyDescent="0.25">
      <c r="A31" s="19" t="s">
        <v>265</v>
      </c>
      <c r="B31" s="3"/>
      <c r="C31" s="61">
        <f>SUM(C10:C29)</f>
        <v>2686883097</v>
      </c>
      <c r="F31" s="58"/>
      <c r="G31" s="5"/>
      <c r="H31" s="61">
        <f>SUM(H10:H29)</f>
        <v>811028.50291113311</v>
      </c>
    </row>
    <row r="32" spans="1:8" x14ac:dyDescent="0.25">
      <c r="A32" s="9"/>
      <c r="B32" s="9"/>
      <c r="C32" s="8"/>
      <c r="F32" s="58"/>
    </row>
    <row r="33" spans="1:8" x14ac:dyDescent="0.25">
      <c r="A33" s="9"/>
      <c r="B33" s="9"/>
      <c r="C33" s="9"/>
    </row>
    <row r="34" spans="1:8" x14ac:dyDescent="0.25">
      <c r="C34" s="8"/>
    </row>
    <row r="35" spans="1:8" x14ac:dyDescent="0.25">
      <c r="A35" s="359" t="s">
        <v>0</v>
      </c>
      <c r="B35" s="359"/>
      <c r="C35" s="359"/>
      <c r="D35" s="359"/>
      <c r="E35" s="359"/>
      <c r="F35" s="359"/>
      <c r="G35" s="359"/>
      <c r="H35" s="359"/>
    </row>
    <row r="36" spans="1:8" x14ac:dyDescent="0.25">
      <c r="A36" s="359" t="s">
        <v>116</v>
      </c>
      <c r="B36" s="359"/>
      <c r="C36" s="359"/>
      <c r="D36" s="359"/>
      <c r="E36" s="359"/>
      <c r="F36" s="359"/>
      <c r="G36" s="359"/>
      <c r="H36" s="359"/>
    </row>
    <row r="37" spans="1:8" x14ac:dyDescent="0.25">
      <c r="A37" s="15"/>
      <c r="B37" s="15"/>
      <c r="C37" s="15"/>
      <c r="D37" s="15"/>
      <c r="E37" s="151"/>
      <c r="F37" s="151"/>
      <c r="G37" s="20"/>
      <c r="H37" s="15"/>
    </row>
    <row r="38" spans="1:8" x14ac:dyDescent="0.25">
      <c r="A38" s="359" t="s">
        <v>907</v>
      </c>
      <c r="B38" s="359"/>
      <c r="C38" s="359"/>
      <c r="D38" s="359"/>
      <c r="E38" s="359"/>
      <c r="F38" s="359"/>
      <c r="G38" s="359"/>
      <c r="H38" s="359"/>
    </row>
    <row r="40" spans="1:8" x14ac:dyDescent="0.25">
      <c r="C40" s="151" t="s">
        <v>130</v>
      </c>
      <c r="D40" s="15"/>
      <c r="E40" s="15"/>
      <c r="F40" s="15"/>
      <c r="G40" s="15"/>
      <c r="H40" s="15"/>
    </row>
    <row r="41" spans="1:8" x14ac:dyDescent="0.25">
      <c r="C41" s="16">
        <f>+C7</f>
        <v>43100</v>
      </c>
      <c r="D41" s="15"/>
      <c r="E41" s="359" t="s">
        <v>128</v>
      </c>
      <c r="F41" s="359"/>
      <c r="G41" s="15"/>
      <c r="H41" s="15"/>
    </row>
    <row r="42" spans="1:8" x14ac:dyDescent="0.25">
      <c r="C42" s="152" t="s">
        <v>131</v>
      </c>
      <c r="D42" s="15"/>
      <c r="E42" s="360" t="s">
        <v>129</v>
      </c>
      <c r="F42" s="360"/>
      <c r="G42" s="15"/>
      <c r="H42" s="152" t="s">
        <v>127</v>
      </c>
    </row>
    <row r="43" spans="1:8" x14ac:dyDescent="0.25">
      <c r="C43" s="153"/>
    </row>
    <row r="44" spans="1:8" x14ac:dyDescent="0.25">
      <c r="A44" s="17" t="s">
        <v>196</v>
      </c>
      <c r="B44" s="4"/>
      <c r="C44" s="322"/>
      <c r="E44" s="6" t="s">
        <v>76</v>
      </c>
      <c r="F44" s="58">
        <f>'Allocation Factors'!$H$21</f>
        <v>3.5773423890158328E-2</v>
      </c>
      <c r="H44" s="5">
        <f>C44*F44</f>
        <v>0</v>
      </c>
    </row>
    <row r="45" spans="1:8" x14ac:dyDescent="0.25">
      <c r="A45" s="17" t="s">
        <v>197</v>
      </c>
      <c r="B45" s="4"/>
      <c r="C45" s="322"/>
      <c r="E45" s="6" t="s">
        <v>76</v>
      </c>
      <c r="F45" s="58">
        <f>'Allocation Factors'!$H$21</f>
        <v>3.5773423890158328E-2</v>
      </c>
      <c r="H45" s="5">
        <f>C45*F45</f>
        <v>0</v>
      </c>
    </row>
    <row r="46" spans="1:8" x14ac:dyDescent="0.25">
      <c r="C46" s="153"/>
    </row>
    <row r="47" spans="1:8" x14ac:dyDescent="0.25">
      <c r="A47" s="19" t="s">
        <v>265</v>
      </c>
      <c r="C47" s="61">
        <f>SUM(C44:C45)</f>
        <v>0</v>
      </c>
      <c r="H47" s="61">
        <f>SUM(H44:H46)</f>
        <v>0</v>
      </c>
    </row>
  </sheetData>
  <sortState ref="A10:I67">
    <sortCondition ref="A10"/>
  </sortState>
  <mergeCells count="11">
    <mergeCell ref="E41:F41"/>
    <mergeCell ref="E42:F42"/>
    <mergeCell ref="A35:H35"/>
    <mergeCell ref="A36:H36"/>
    <mergeCell ref="A38:H38"/>
    <mergeCell ref="E7:F7"/>
    <mergeCell ref="E8:F8"/>
    <mergeCell ref="A3:G3"/>
    <mergeCell ref="A2:G2"/>
    <mergeCell ref="A1:G1"/>
    <mergeCell ref="A4:G4"/>
  </mergeCells>
  <pageMargins left="0.7" right="0.7" top="0.75" bottom="0.75" header="0.3" footer="0.3"/>
  <pageSetup scale="7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22</vt:i4>
      </vt:variant>
    </vt:vector>
  </HeadingPairs>
  <TitlesOfParts>
    <vt:vector size="49" baseType="lpstr">
      <vt:lpstr>FERC Form 1 Inputs</vt:lpstr>
      <vt:lpstr>Data Requests</vt:lpstr>
      <vt:lpstr>Summary</vt:lpstr>
      <vt:lpstr>Rate Base</vt:lpstr>
      <vt:lpstr>Revenue Requirement</vt:lpstr>
      <vt:lpstr>Allocation Factors</vt:lpstr>
      <vt:lpstr> Notes</vt:lpstr>
      <vt:lpstr>Schedule 1</vt:lpstr>
      <vt:lpstr>Attach A - Acct 190</vt:lpstr>
      <vt:lpstr>Attach B - Acct 281 - 282</vt:lpstr>
      <vt:lpstr>Attach C - Acct 283</vt:lpstr>
      <vt:lpstr>Attach D - Acct 182</vt:lpstr>
      <vt:lpstr>Attach E - Acct 228</vt:lpstr>
      <vt:lpstr>Attach F - Acct 253-254</vt:lpstr>
      <vt:lpstr>Attach G - Acct 454</vt:lpstr>
      <vt:lpstr>Attach H - Acct 454.3</vt:lpstr>
      <vt:lpstr>Attach I - Acct 456.1</vt:lpstr>
      <vt:lpstr>Attach J - Prepayments</vt:lpstr>
      <vt:lpstr>Attach K - GridSouth</vt:lpstr>
      <vt:lpstr>Attach L - Intangibles Gross</vt:lpstr>
      <vt:lpstr>Attach M -Intangibles Acc Amort</vt:lpstr>
      <vt:lpstr>Attach N -Intangibles Amort Exp</vt:lpstr>
      <vt:lpstr>Attach O - Depr Rates</vt:lpstr>
      <vt:lpstr>Attach P - AFUDC</vt:lpstr>
      <vt:lpstr>Attach Q - 561.1-561.4</vt:lpstr>
      <vt:lpstr>Attach R - Projection</vt:lpstr>
      <vt:lpstr>Attach S1 - SOC GP</vt:lpstr>
      <vt:lpstr>' Notes'!Print_Area</vt:lpstr>
      <vt:lpstr>'Allocation Factors'!Print_Area</vt:lpstr>
      <vt:lpstr>'Attach B - Acct 281 - 282'!Print_Area</vt:lpstr>
      <vt:lpstr>'Attach C - Acct 283'!Print_Area</vt:lpstr>
      <vt:lpstr>'Attach F - Acct 253-254'!Print_Area</vt:lpstr>
      <vt:lpstr>'Attach H - Acct 454.3'!Print_Area</vt:lpstr>
      <vt:lpstr>'Attach I - Acct 456.1'!Print_Area</vt:lpstr>
      <vt:lpstr>'Attach J - Prepayments'!Print_Area</vt:lpstr>
      <vt:lpstr>'Attach K - GridSouth'!Print_Area</vt:lpstr>
      <vt:lpstr>'Attach L - Intangibles Gross'!Print_Area</vt:lpstr>
      <vt:lpstr>'Attach M -Intangibles Acc Amort'!Print_Area</vt:lpstr>
      <vt:lpstr>'Attach N -Intangibles Amort Exp'!Print_Area</vt:lpstr>
      <vt:lpstr>'Attach P - AFUDC'!Print_Area</vt:lpstr>
      <vt:lpstr>'Attach Q - 561.1-561.4'!Print_Area</vt:lpstr>
      <vt:lpstr>'Attach R - Projection'!Print_Area</vt:lpstr>
      <vt:lpstr>'Attach S1 - SOC GP'!Print_Area</vt:lpstr>
      <vt:lpstr>'FERC Form 1 Inputs'!Print_Area</vt:lpstr>
      <vt:lpstr>'Rate Base'!Print_Area</vt:lpstr>
      <vt:lpstr>'Revenue Requirement'!Print_Area</vt:lpstr>
      <vt:lpstr>'Schedule 1'!Print_Area</vt:lpstr>
      <vt:lpstr>Summary!Print_Area</vt:lpstr>
      <vt:lpstr>'Attach I - Acct 456.1'!Print_Titles</vt:lpstr>
    </vt:vector>
  </TitlesOfParts>
  <Company>Duke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pjmoulton</dc:creator>
  <dc:description>This is the input file submitted by Mike O'Hara.</dc:description>
  <cp:lastModifiedBy>Blevins, Drew</cp:lastModifiedBy>
  <cp:lastPrinted>2016-06-30T16:15:07Z</cp:lastPrinted>
  <dcterms:created xsi:type="dcterms:W3CDTF">2010-01-25T14:21:54Z</dcterms:created>
  <dcterms:modified xsi:type="dcterms:W3CDTF">2018-05-14T18:48:21Z</dcterms:modified>
</cp:coreProperties>
</file>