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4385" yWindow="-15" windowWidth="14430" windowHeight="11760" tabRatio="742"/>
  </bookViews>
  <sheets>
    <sheet name="MISO Cover" sheetId="88" r:id="rId1"/>
    <sheet name="Appendix A" sheetId="75" r:id="rId2"/>
    <sheet name="Explanatory Stmts" sheetId="96" r:id="rId3"/>
    <sheet name="WP01 True-Up" sheetId="78" r:id="rId4"/>
    <sheet name="WP02 Support" sheetId="77" r:id="rId5"/>
    <sheet name="WP03 W&amp;S" sheetId="61" r:id="rId6"/>
    <sheet name="WP04 PIS" sheetId="62" r:id="rId7"/>
    <sheet name="WP05 CapAds" sheetId="84" r:id="rId8"/>
    <sheet name="WP06 ADIT" sheetId="2" r:id="rId9"/>
    <sheet name="WP07 M&amp;S" sheetId="91" r:id="rId10"/>
    <sheet name="WP08 Prepay" sheetId="73" r:id="rId11"/>
    <sheet name="WP09 PHFU" sheetId="58" r:id="rId12"/>
    <sheet name="WP10 Storm" sheetId="93" r:id="rId13"/>
    <sheet name="WP11 Credits" sheetId="60" r:id="rId14"/>
    <sheet name="WP12 PBOP" sheetId="57" r:id="rId15"/>
    <sheet name="WP13 TOTI" sheetId="49" r:id="rId16"/>
    <sheet name="WP14 COC" sheetId="44" r:id="rId17"/>
    <sheet name="Supp WP 14 " sheetId="97" r:id="rId18"/>
    <sheet name="WP15 Radials" sheetId="86" r:id="rId19"/>
    <sheet name="WP16 Interconn" sheetId="85" r:id="rId20"/>
    <sheet name="WP17 Rev" sheetId="51" r:id="rId21"/>
    <sheet name="WP18 Deprec" sheetId="66" r:id="rId22"/>
    <sheet name="WP19 Load" sheetId="67" r:id="rId23"/>
    <sheet name="WP20 Reserves" sheetId="74" r:id="rId24"/>
    <sheet name="WP AJ1 MISO" sheetId="55" r:id="rId25"/>
    <sheet name="WP AJ2 ITC" sheetId="56" r:id="rId26"/>
    <sheet name="WP AJ3 HCM" sheetId="87" r:id="rId27"/>
    <sheet name="WP AJ4 Ouachita" sheetId="95" r:id="rId28"/>
  </sheets>
  <externalReferences>
    <externalReference r:id="rId29"/>
  </externalReferences>
  <definedNames>
    <definedName name="__123Graph_A" localSheetId="6" hidden="1">'[1]AL2 151'!#REF!</definedName>
    <definedName name="__123Graph_A" localSheetId="7" hidden="1">'[1]AL2 151'!#REF!</definedName>
    <definedName name="__123Graph_A" localSheetId="20" hidden="1">'[1]AL2 151'!#REF!</definedName>
    <definedName name="__123Graph_A" hidden="1">'[1]AL2 151'!#REF!</definedName>
    <definedName name="__123Graph_B" localSheetId="7" hidden="1">'[1]AL2 151'!#REF!</definedName>
    <definedName name="__123Graph_B" localSheetId="20" hidden="1">'[1]AL2 151'!#REF!</definedName>
    <definedName name="__123Graph_B" localSheetId="22" hidden="1">#REF!</definedName>
    <definedName name="__123Graph_B" hidden="1">'[1]AL2 151'!#REF!</definedName>
    <definedName name="__123Graph_C" localSheetId="7" hidden="1">'[1]AL2 151'!#REF!</definedName>
    <definedName name="__123Graph_C" hidden="1">'[1]AL2 151'!#REF!</definedName>
    <definedName name="__123Graph_D" localSheetId="7" hidden="1">'[1]AL2 151'!#REF!</definedName>
    <definedName name="__123Graph_D" hidden="1">'[1]AL2 151'!#REF!</definedName>
    <definedName name="__123Graph_E" localSheetId="7" hidden="1">'[1]AL2 151'!#REF!</definedName>
    <definedName name="__123Graph_E" hidden="1">'[1]AL2 151'!#REF!</definedName>
    <definedName name="__123Graph_F" localSheetId="7" hidden="1">'[1]AL2 151'!#REF!</definedName>
    <definedName name="__123Graph_F" hidden="1">'[1]AL2 151'!#REF!</definedName>
    <definedName name="__123Graph_X" localSheetId="7" hidden="1">'[1]AL2 151'!#REF!</definedName>
    <definedName name="__123Graph_X" hidden="1">'[1]AL2 151'!#REF!</definedName>
    <definedName name="__tet12" localSheetId="0" hidden="1">{"assumptions",#N/A,FALSE,"Scenario 1";"valuation",#N/A,FALSE,"Scenario 1"}</definedName>
    <definedName name="__tet12" localSheetId="6" hidden="1">{"assumptions",#N/A,FALSE,"Scenario 1";"valuation",#N/A,FALSE,"Scenario 1"}</definedName>
    <definedName name="__tet12" localSheetId="11" hidden="1">{"assumptions",#N/A,FALSE,"Scenario 1";"valuation",#N/A,FALSE,"Scenario 1"}</definedName>
    <definedName name="__tet12" localSheetId="22"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localSheetId="6" hidden="1">{"assumptions",#N/A,FALSE,"Scenario 1";"valuation",#N/A,FALSE,"Scenario 1"}</definedName>
    <definedName name="__tet5" localSheetId="11" hidden="1">{"assumptions",#N/A,FALSE,"Scenario 1";"valuation",#N/A,FALSE,"Scenario 1"}</definedName>
    <definedName name="__tet5" localSheetId="22" hidden="1">{"assumptions",#N/A,FALSE,"Scenario 1";"valuation",#N/A,FALSE,"Scenario 1"}</definedName>
    <definedName name="__tet5" hidden="1">{"assumptions",#N/A,FALSE,"Scenario 1";"valuation",#N/A,FALSE,"Scenario 1"}</definedName>
    <definedName name="_123Graph_B.1" localSheetId="0" hidden="1">#REF!</definedName>
    <definedName name="_123Graph_B.1" localSheetId="7" hidden="1">#REF!</definedName>
    <definedName name="_123Graph_B.1" hidden="1">#REF!</definedName>
    <definedName name="_Dist_Bin" localSheetId="0" hidden="1">#REF!</definedName>
    <definedName name="_Dist_Bin" localSheetId="7" hidden="1">#REF!</definedName>
    <definedName name="_Dist_Bin" localSheetId="22" hidden="1">#REF!</definedName>
    <definedName name="_Dist_Bin" hidden="1">#REF!</definedName>
    <definedName name="_Dist_Values" localSheetId="0" hidden="1">#REF!</definedName>
    <definedName name="_Dist_Values" localSheetId="7" hidden="1">#REF!</definedName>
    <definedName name="_Dist_Values" localSheetId="22" hidden="1">#REF!</definedName>
    <definedName name="_Dist_Values" hidden="1">#REF!</definedName>
    <definedName name="_Fill" localSheetId="0" hidden="1">#REF!</definedName>
    <definedName name="_Fill" localSheetId="6" hidden="1">#REF!</definedName>
    <definedName name="_Fill" localSheetId="7" hidden="1">#REF!</definedName>
    <definedName name="_Fill" localSheetId="15" hidden="1">#REF!</definedName>
    <definedName name="_Fill" localSheetId="20" hidden="1">#REF!</definedName>
    <definedName name="_Fill" localSheetId="22" hidden="1">#REF!</definedName>
    <definedName name="_Fill" hidden="1">#REF!</definedName>
    <definedName name="_Fill.1" localSheetId="0" hidden="1">#REF!</definedName>
    <definedName name="_Fill.1" localSheetId="6" hidden="1">#REF!</definedName>
    <definedName name="_Fill.1" localSheetId="7" hidden="1">#REF!</definedName>
    <definedName name="_Fill.1" hidden="1">#REF!</definedName>
    <definedName name="_Key.1" localSheetId="0" hidden="1">#REF!</definedName>
    <definedName name="_Key.1" localSheetId="6" hidden="1">#REF!</definedName>
    <definedName name="_Key.1" localSheetId="7" hidden="1">#REF!</definedName>
    <definedName name="_Key.1" hidden="1">#REF!</definedName>
    <definedName name="_Key1" localSheetId="0" hidden="1">#REF!</definedName>
    <definedName name="_Key1" localSheetId="3" hidden="1">#REF!</definedName>
    <definedName name="_Key1" localSheetId="7" hidden="1">#REF!</definedName>
    <definedName name="_Key1" localSheetId="15" hidden="1">#REF!</definedName>
    <definedName name="_Key1" localSheetId="20" hidden="1">#REF!</definedName>
    <definedName name="_Key1" localSheetId="22" hidden="1">#REF!</definedName>
    <definedName name="_Key1" hidden="1">#REF!</definedName>
    <definedName name="_MatInverse_In" localSheetId="0" hidden="1">#REF!</definedName>
    <definedName name="_MatInverse_In" localSheetId="7" hidden="1">#REF!</definedName>
    <definedName name="_MatInverse_In" localSheetId="22" hidden="1">#REF!</definedName>
    <definedName name="_MatInverse_In" hidden="1">#REF!</definedName>
    <definedName name="_MatInverse_Out" localSheetId="0" hidden="1">#REF!</definedName>
    <definedName name="_MatInverse_Out" localSheetId="7" hidden="1">#REF!</definedName>
    <definedName name="_MatInverse_Out" localSheetId="22" hidden="1">#REF!</definedName>
    <definedName name="_MatInverse_Out" hidden="1">#REF!</definedName>
    <definedName name="_MatMult_A" localSheetId="0" hidden="1">#REF!</definedName>
    <definedName name="_MatMult_A" localSheetId="7" hidden="1">#REF!</definedName>
    <definedName name="_MatMult_A" localSheetId="22" hidden="1">#REF!</definedName>
    <definedName name="_MatMult_A" hidden="1">#REF!</definedName>
    <definedName name="_MatMult_AxB" localSheetId="0" hidden="1">#REF!</definedName>
    <definedName name="_MatMult_AxB" localSheetId="7" hidden="1">#REF!</definedName>
    <definedName name="_MatMult_AxB" localSheetId="22" hidden="1">#REF!</definedName>
    <definedName name="_MatMult_AxB" hidden="1">#REF!</definedName>
    <definedName name="_MatMult_B" localSheetId="0" hidden="1">#REF!</definedName>
    <definedName name="_MatMult_B" localSheetId="7" hidden="1">#REF!</definedName>
    <definedName name="_MatMult_B" localSheetId="22" hidden="1">#REF!</definedName>
    <definedName name="_MatMult_B" hidden="1">#REF!</definedName>
    <definedName name="_Order.1" hidden="1">255</definedName>
    <definedName name="_Order1" localSheetId="3" hidden="1">255</definedName>
    <definedName name="_Order1" localSheetId="7" hidden="1">255</definedName>
    <definedName name="_Order1" localSheetId="22" hidden="1">255</definedName>
    <definedName name="_Order1" hidden="1">0</definedName>
    <definedName name="_Order2" hidden="1">255</definedName>
    <definedName name="_Parse_In" localSheetId="0" hidden="1">#REF!</definedName>
    <definedName name="_Parse_In" localSheetId="7" hidden="1">#REF!</definedName>
    <definedName name="_Parse_In" localSheetId="22" hidden="1">#REF!</definedName>
    <definedName name="_Parse_In" hidden="1">#REF!</definedName>
    <definedName name="_Parse_Out" localSheetId="0" hidden="1">#REF!</definedName>
    <definedName name="_Parse_Out" localSheetId="7" hidden="1">#REF!</definedName>
    <definedName name="_Parse_Out" localSheetId="22" hidden="1">#REF!</definedName>
    <definedName name="_Parse_Out" hidden="1">#REF!</definedName>
    <definedName name="_Regression_Out" localSheetId="0" hidden="1">#REF!</definedName>
    <definedName name="_Regression_Out" localSheetId="7" hidden="1">#REF!</definedName>
    <definedName name="_Regression_Out" localSheetId="22" hidden="1">#REF!</definedName>
    <definedName name="_Regression_Out" hidden="1">#REF!</definedName>
    <definedName name="_Regression_X" localSheetId="0" hidden="1">#REF!</definedName>
    <definedName name="_Regression_X" localSheetId="7" hidden="1">#REF!</definedName>
    <definedName name="_Regression_X" localSheetId="22" hidden="1">#REF!</definedName>
    <definedName name="_Regression_X" hidden="1">#REF!</definedName>
    <definedName name="_Regression_Y" localSheetId="0" hidden="1">#REF!</definedName>
    <definedName name="_Regression_Y" localSheetId="7" hidden="1">#REF!</definedName>
    <definedName name="_Regression_Y" localSheetId="22" hidden="1">#REF!</definedName>
    <definedName name="_Regression_Y" hidden="1">#REF!</definedName>
    <definedName name="_Sort" localSheetId="0" hidden="1">#REF!</definedName>
    <definedName name="_Sort" localSheetId="3" hidden="1">#REF!</definedName>
    <definedName name="_Sort" localSheetId="7" hidden="1">#REF!</definedName>
    <definedName name="_Sort" localSheetId="15" hidden="1">#REF!</definedName>
    <definedName name="_Sort" localSheetId="20" hidden="1">#REF!</definedName>
    <definedName name="_Sort" localSheetId="22" hidden="1">#REF!</definedName>
    <definedName name="_Sort" hidden="1">#REF!</definedName>
    <definedName name="_Sort.1" localSheetId="0" hidden="1">#REF!</definedName>
    <definedName name="_Sort.1" localSheetId="7" hidden="1">#REF!</definedName>
    <definedName name="_Sort.1" hidden="1">#REF!</definedName>
    <definedName name="_Table1_Out" localSheetId="0" hidden="1">#REF!</definedName>
    <definedName name="_Table1_Out" localSheetId="7" hidden="1">#REF!</definedName>
    <definedName name="_Table1_Out" localSheetId="22" hidden="1">#REF!</definedName>
    <definedName name="_Table1_Out" hidden="1">#REF!</definedName>
    <definedName name="_tet12" localSheetId="0" hidden="1">{"assumptions",#N/A,FALSE,"Scenario 1";"valuation",#N/A,FALSE,"Scenario 1"}</definedName>
    <definedName name="_tet12" localSheetId="6" hidden="1">{"assumptions",#N/A,FALSE,"Scenario 1";"valuation",#N/A,FALSE,"Scenario 1"}</definedName>
    <definedName name="_tet12" localSheetId="11" hidden="1">{"assumptions",#N/A,FALSE,"Scenario 1";"valuation",#N/A,FALSE,"Scenario 1"}</definedName>
    <definedName name="_tet12" localSheetId="22"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localSheetId="6" hidden="1">{"assumptions",#N/A,FALSE,"Scenario 1";"valuation",#N/A,FALSE,"Scenario 1"}</definedName>
    <definedName name="_tet5" localSheetId="11" hidden="1">{"assumptions",#N/A,FALSE,"Scenario 1";"valuation",#N/A,FALSE,"Scenario 1"}</definedName>
    <definedName name="_tet5" localSheetId="22" hidden="1">{"assumptions",#N/A,FALSE,"Scenario 1";"valuation",#N/A,FALSE,"Scenario 1"}</definedName>
    <definedName name="_tet5" hidden="1">{"assumptions",#N/A,FALSE,"Scenario 1";"valuation",#N/A,FALSE,"Scenario 1"}</definedName>
    <definedName name="a" localSheetId="22" hidden="1">{"LBO Summary",#N/A,FALSE,"Summary"}</definedName>
    <definedName name="a.1" localSheetId="0" hidden="1">{"LBO Summary",#N/A,FALSE,"Summary"}</definedName>
    <definedName name="a.1" localSheetId="6" hidden="1">{"LBO Summary",#N/A,FALSE,"Summary"}</definedName>
    <definedName name="a.1" localSheetId="11" hidden="1">{"LBO Summary",#N/A,FALSE,"Summary"}</definedName>
    <definedName name="a.1" hidden="1">{"LBO Summary",#N/A,FALSE,"Summary"}</definedName>
    <definedName name="AS2DocOpenMode" hidden="1">"AS2DocumentEdit"</definedName>
    <definedName name="don" localSheetId="0" hidden="1">{"assumptions",#N/A,FALSE,"Scenario 1";"valuation",#N/A,FALSE,"Scenario 1"}</definedName>
    <definedName name="don" hidden="1">{"assumptions",#N/A,FALSE,"Scenario 1";"valuation",#N/A,FALSE,"Scenario 1"}</definedName>
    <definedName name="Don_1" localSheetId="0" hidden="1">{"assumptions",#N/A,FALSE,"Scenario 1";"valuation",#N/A,FALSE,"Scenario 1"}</definedName>
    <definedName name="Don_1" hidden="1">{"assumptions",#N/A,FALSE,"Scenario 1";"valuation",#N/A,FALSE,"Scenario 1"}</definedName>
    <definedName name="Don_10" localSheetId="0" hidden="1">#REF!</definedName>
    <definedName name="Don_10" localSheetId="7" hidden="1">#REF!</definedName>
    <definedName name="Don_10" hidden="1">#REF!</definedName>
    <definedName name="Don_11" hidden="1">255</definedName>
    <definedName name="Don_12" localSheetId="0" hidden="1">#REF!</definedName>
    <definedName name="Don_12" localSheetId="7" hidden="1">#REF!</definedName>
    <definedName name="Don_12" hidden="1">#REF!</definedName>
    <definedName name="Don_13" localSheetId="0" hidden="1">#REF!</definedName>
    <definedName name="Don_13" localSheetId="7" hidden="1">#REF!</definedName>
    <definedName name="Don_13" hidden="1">#REF!</definedName>
    <definedName name="Don_14" localSheetId="0" hidden="1">#REF!</definedName>
    <definedName name="Don_14" localSheetId="7" hidden="1">#REF!</definedName>
    <definedName name="Don_14" hidden="1">#REF!</definedName>
    <definedName name="don_2" localSheetId="0" hidden="1">#REF!</definedName>
    <definedName name="don_2" localSheetId="7" hidden="1">#REF!</definedName>
    <definedName name="don_2" hidden="1">#REF!</definedName>
    <definedName name="Don_3" localSheetId="0" hidden="1">#REF!</definedName>
    <definedName name="Don_3" localSheetId="7" hidden="1">#REF!</definedName>
    <definedName name="Don_3" hidden="1">#REF!</definedName>
    <definedName name="Don_4" localSheetId="0" hidden="1">#REF!</definedName>
    <definedName name="Don_4" localSheetId="7" hidden="1">#REF!</definedName>
    <definedName name="Don_4" hidden="1">#REF!</definedName>
    <definedName name="Don_5" localSheetId="0" hidden="1">#REF!</definedName>
    <definedName name="Don_5" localSheetId="7" hidden="1">#REF!</definedName>
    <definedName name="Don_5" hidden="1">#REF!</definedName>
    <definedName name="Don_6" localSheetId="0" hidden="1">#REF!</definedName>
    <definedName name="Don_6" localSheetId="7" hidden="1">#REF!</definedName>
    <definedName name="Don_6" hidden="1">#REF!</definedName>
    <definedName name="Don_7" localSheetId="0" hidden="1">#REF!</definedName>
    <definedName name="Don_7" localSheetId="7" hidden="1">#REF!</definedName>
    <definedName name="Don_7" hidden="1">#REF!</definedName>
    <definedName name="Don_8" localSheetId="0" hidden="1">#REF!</definedName>
    <definedName name="Don_8" localSheetId="7" hidden="1">#REF!</definedName>
    <definedName name="Don_8" hidden="1">#REF!</definedName>
    <definedName name="Don_9" localSheetId="0" hidden="1">#REF!</definedName>
    <definedName name="Don_9" localSheetId="7" hidden="1">#REF!</definedName>
    <definedName name="Don_9" hidden="1">#REF!</definedName>
    <definedName name="gIsBlank" localSheetId="0" hidden="1">ISBLANK(gIsRef)</definedName>
    <definedName name="gIsBlank" localSheetId="6" hidden="1">ISBLANK(gIsRef)</definedName>
    <definedName name="gIsBlank" localSheetId="11" hidden="1">ISBLANK(gIsRef)</definedName>
    <definedName name="gIsBlank" localSheetId="22" hidden="1">ISBLANK(gIsRef)</definedName>
    <definedName name="gIsBlank" hidden="1">ISBLANK(gIsRef)</definedName>
    <definedName name="gIsError" localSheetId="0" hidden="1">ISERROR(gIsRef)</definedName>
    <definedName name="gIsError" localSheetId="6" hidden="1">ISERROR(gIsRef)</definedName>
    <definedName name="gIsError" localSheetId="11" hidden="1">ISERROR(gIsRef)</definedName>
    <definedName name="gIsError" localSheetId="22" hidden="1">ISERROR(gIsRef)</definedName>
    <definedName name="gIsError" hidden="1">ISERROR(gIsRef)</definedName>
    <definedName name="gIsInPrintArea" localSheetId="0" hidden="1">NOT(ISERROR(gIsRef !Print_Area))</definedName>
    <definedName name="gIsInPrintArea" localSheetId="6" hidden="1">NOT(ISERROR(gIsRef !Print_Area))</definedName>
    <definedName name="gIsInPrintArea" localSheetId="7" hidden="1">NOT(ISERROR([0]!gIsRef !Print_Area))</definedName>
    <definedName name="gIsInPrintArea" localSheetId="11" hidden="1">NOT(ISERROR(gIsRef !Print_Area))</definedName>
    <definedName name="gIsInPrintArea" localSheetId="22" hidden="1">NOT(ISERROR(gIsRef !Print_Area))</definedName>
    <definedName name="gIsInPrintArea" hidden="1">NOT(ISERROR(gIsRef !Print_Area))</definedName>
    <definedName name="gIsInPrintTitles" localSheetId="0" hidden="1">NOT(ISERROR(gIsRef !Print_Titles))</definedName>
    <definedName name="gIsInPrintTitles" localSheetId="6" hidden="1">NOT(ISERROR(gIsRef !Print_Titles))</definedName>
    <definedName name="gIsInPrintTitles" localSheetId="7" hidden="1">NOT(ISERROR([0]!gIsRef !Print_Titles))</definedName>
    <definedName name="gIsInPrintTitles" localSheetId="11" hidden="1">NOT(ISERROR(gIsRef !Print_Titles))</definedName>
    <definedName name="gIsInPrintTitles" localSheetId="22" hidden="1">NOT(ISERROR(gIsRef !Print_Titles))</definedName>
    <definedName name="gIsInPrintTitles" hidden="1">NOT(ISERROR(gIsRef !Print_Titles))</definedName>
    <definedName name="gIsNumber" localSheetId="0" hidden="1">ISNUMBER(gIsRef)</definedName>
    <definedName name="gIsNumber" localSheetId="6" hidden="1">ISNUMBER(gIsRef)</definedName>
    <definedName name="gIsNumber" localSheetId="11" hidden="1">ISNUMBER(gIsRef)</definedName>
    <definedName name="gIsNumber" localSheetId="22" hidden="1">ISNUMBER(gIsRef)</definedName>
    <definedName name="gIsNumber" hidden="1">ISNUMBER(gIsRef)</definedName>
    <definedName name="gIsPreviousSheet" localSheetId="0" hidden="1">PrevShtCellValue(gIsRef)&lt;&gt;gIsRef</definedName>
    <definedName name="gIsPreviousSheet" localSheetId="6" hidden="1">PrevShtCellValue(gIsRef)&lt;&gt;gIsRef</definedName>
    <definedName name="gIsPreviousSheet" localSheetId="7" hidden="1">PrevShtCellValue([0]!gIsRef)&lt;&gt;[0]!gIsRef</definedName>
    <definedName name="gIsPreviousSheet" localSheetId="11" hidden="1">PrevShtCellValue(gIsRef)&lt;&gt;gIsRef</definedName>
    <definedName name="gIsPreviousSheet" localSheetId="22" hidden="1">PrevShtCellValue(gIsRef)&lt;&gt;gIsRef</definedName>
    <definedName name="gIsPreviousSheet" hidden="1">PrevShtCellValue(gIsRef)&lt;&gt;gIsRef</definedName>
    <definedName name="gIsRef" hidden="1">INDIRECT("rc",FALSE)</definedName>
    <definedName name="gIsText" localSheetId="0" hidden="1">ISTEXT(gIsRef)</definedName>
    <definedName name="gIsText" localSheetId="6" hidden="1">ISTEXT(gIsRef)</definedName>
    <definedName name="gIsText" localSheetId="11" hidden="1">ISTEXT(gIsRef)</definedName>
    <definedName name="gIsText" localSheetId="22" hidden="1">ISTEXT(gIsRef)</definedName>
    <definedName name="gIsText" hidden="1">ISTEXT(gIsRef)</definedName>
    <definedName name="GP">'MISO Cover'!$G$72</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NP">'MISO Cover'!$G$90</definedName>
    <definedName name="_xlnm.Print_Area" localSheetId="1">'Appendix A'!$A$8:$H$340</definedName>
    <definedName name="_xlnm.Print_Area" localSheetId="0">'MISO Cover'!$A$1:$K$240</definedName>
    <definedName name="_xlnm.Print_Area" localSheetId="25">'WP AJ2 ITC'!$A$1:$F$68</definedName>
    <definedName name="_xlnm.Print_Area" localSheetId="27">'WP AJ4 Ouachita'!$A$1:$E$62</definedName>
    <definedName name="_xlnm.Print_Area" localSheetId="3">'WP01 True-Up'!$A$6:$I$78</definedName>
    <definedName name="_xlnm.Print_Area" localSheetId="4">'WP02 Support'!$A$7:$I$168</definedName>
    <definedName name="_xlnm.Print_Area" localSheetId="8">'WP06 ADIT'!$A$7:$N$228</definedName>
    <definedName name="_xlnm.Print_Area" localSheetId="14">'WP12 PBOP'!$A$1:$C$18</definedName>
    <definedName name="_xlnm.Print_Area" localSheetId="16">'WP14 COC'!$D$7:$Q$54</definedName>
    <definedName name="_xlnm.Print_Area" localSheetId="18">'WP15 Radials'!$A$6:$G$86</definedName>
    <definedName name="_xlnm.Print_Titles" localSheetId="1">'Appendix A'!$1:$7</definedName>
    <definedName name="_xlnm.Print_Titles" localSheetId="3">'WP01 True-Up'!$1:$5</definedName>
    <definedName name="_xlnm.Print_Titles" localSheetId="4">'WP02 Support'!$1:$6</definedName>
    <definedName name="_xlnm.Print_Titles" localSheetId="8">'WP06 ADIT'!$1:$6</definedName>
    <definedName name="_xlnm.Print_Titles" localSheetId="16">'WP14 COC'!$A:$C,'WP14 COC'!$1:$6</definedName>
    <definedName name="_xlnm.Print_Titles" localSheetId="18">'WP15 Radials'!$1:$5</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test" localSheetId="0" hidden="1">{"LBO Summary",#N/A,FALSE,"Summary"}</definedName>
    <definedName name="test" localSheetId="6" hidden="1">{"LBO Summary",#N/A,FALSE,"Summary"}</definedName>
    <definedName name="test" localSheetId="11" hidden="1">{"LBO Summary",#N/A,FALSE,"Summary"}</definedName>
    <definedName name="test" localSheetId="22"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22"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22"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localSheetId="6" hidden="1">{"LBO Summary",#N/A,FALSE,"Summary"}</definedName>
    <definedName name="test11" localSheetId="11" hidden="1">{"LBO Summary",#N/A,FALSE,"Summary"}</definedName>
    <definedName name="test11" localSheetId="22" hidden="1">{"LBO Summary",#N/A,FALSE,"Summary"}</definedName>
    <definedName name="test11" hidden="1">{"LBO Summary",#N/A,FALSE,"Summary"}</definedName>
    <definedName name="test12" localSheetId="0" hidden="1">{"assumptions",#N/A,FALSE,"Scenario 1";"valuation",#N/A,FALSE,"Scenario 1"}</definedName>
    <definedName name="test12" localSheetId="6" hidden="1">{"assumptions",#N/A,FALSE,"Scenario 1";"valuation",#N/A,FALSE,"Scenario 1"}</definedName>
    <definedName name="test12" localSheetId="11" hidden="1">{"assumptions",#N/A,FALSE,"Scenario 1";"valuation",#N/A,FALSE,"Scenario 1"}</definedName>
    <definedName name="test12" localSheetId="22" hidden="1">{"assumptions",#N/A,FALSE,"Scenario 1";"valuation",#N/A,FALSE,"Scenario 1"}</definedName>
    <definedName name="test12" hidden="1">{"assumptions",#N/A,FALSE,"Scenario 1";"valuation",#N/A,FALSE,"Scenario 1"}</definedName>
    <definedName name="test13" localSheetId="0" hidden="1">{"LBO Summary",#N/A,FALSE,"Summary"}</definedName>
    <definedName name="test13" localSheetId="6" hidden="1">{"LBO Summary",#N/A,FALSE,"Summary"}</definedName>
    <definedName name="test13" localSheetId="11" hidden="1">{"LBO Summary",#N/A,FALSE,"Summary"}</definedName>
    <definedName name="test13" localSheetId="22"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22"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22"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22"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localSheetId="6" hidden="1">{"LBO Summary",#N/A,FALSE,"Summary"}</definedName>
    <definedName name="test2" localSheetId="11" hidden="1">{"LBO Summary",#N/A,FALSE,"Summary"}</definedName>
    <definedName name="test2" localSheetId="22" hidden="1">{"LBO Summary",#N/A,FALSE,"Summary"}</definedName>
    <definedName name="test2" hidden="1">{"LBO Summary",#N/A,FALSE,"Summary"}</definedName>
    <definedName name="test4" localSheetId="0" hidden="1">{"assumptions",#N/A,FALSE,"Scenario 1";"valuation",#N/A,FALSE,"Scenario 1"}</definedName>
    <definedName name="test4" localSheetId="6" hidden="1">{"assumptions",#N/A,FALSE,"Scenario 1";"valuation",#N/A,FALSE,"Scenario 1"}</definedName>
    <definedName name="test4" localSheetId="11" hidden="1">{"assumptions",#N/A,FALSE,"Scenario 1";"valuation",#N/A,FALSE,"Scenario 1"}</definedName>
    <definedName name="test4" localSheetId="22" hidden="1">{"assumptions",#N/A,FALSE,"Scenario 1";"valuation",#N/A,FALSE,"Scenario 1"}</definedName>
    <definedName name="test4" hidden="1">{"assumptions",#N/A,FALSE,"Scenario 1";"valuation",#N/A,FALSE,"Scenario 1"}</definedName>
    <definedName name="test6" localSheetId="0" hidden="1">{"LBO Summary",#N/A,FALSE,"Summary"}</definedName>
    <definedName name="test6" localSheetId="6" hidden="1">{"LBO Summary",#N/A,FALSE,"Summary"}</definedName>
    <definedName name="test6" localSheetId="11" hidden="1">{"LBO Summary",#N/A,FALSE,"Summary"}</definedName>
    <definedName name="test6" localSheetId="22" hidden="1">{"LBO Summary",#N/A,FALSE,"Summary"}</definedName>
    <definedName name="test6" hidden="1">{"LBO Summary",#N/A,FALSE,"Summary"}</definedName>
    <definedName name="TextRefCopyRangeCount" hidden="1">1</definedName>
    <definedName name="TP">'MISO Cover'!$I$194</definedName>
    <definedName name="Value" localSheetId="0" hidden="1">{"assumptions",#N/A,FALSE,"Scenario 1";"valuation",#N/A,FALSE,"Scenario 1"}</definedName>
    <definedName name="Value" localSheetId="6" hidden="1">{"assumptions",#N/A,FALSE,"Scenario 1";"valuation",#N/A,FALSE,"Scenario 1"}</definedName>
    <definedName name="Value" localSheetId="11" hidden="1">{"assumptions",#N/A,FALSE,"Scenario 1";"valuation",#N/A,FALSE,"Scenario 1"}</definedName>
    <definedName name="Value" localSheetId="22" hidden="1">{"assumptions",#N/A,FALSE,"Scenario 1";"valuation",#N/A,FALSE,"Scenario 1"}</definedName>
    <definedName name="Value" hidden="1">{"assumptions",#N/A,FALSE,"Scenario 1";"valuation",#N/A,FALSE,"Scenario 1"}</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0" hidden="1">{#N/A,#N/A,FALSE,"LOCAL.XLS"}</definedName>
    <definedName name="wrn.ARKANSAS." localSheetId="6" hidden="1">{#N/A,#N/A,FALSE,"LOCAL.XLS"}</definedName>
    <definedName name="wrn.ARKANSAS." localSheetId="11" hidden="1">{#N/A,#N/A,FALSE,"LOCAL.XLS"}</definedName>
    <definedName name="wrn.ARKANSAS." localSheetId="22" hidden="1">{#N/A,#N/A,FALSE,"LOCAL.XLS"}</definedName>
    <definedName name="wrn.ARKANSAS." hidden="1">{#N/A,#N/A,FALSE,"LOCAL.XLS"}</definedName>
    <definedName name="wrn.CP._.Demand." localSheetId="0" hidden="1">{"Retail CP pg1",#N/A,FALSE,"FACTOR3";"Retail CP pg2",#N/A,FALSE,"FACTOR3";"Retail CP pg3",#N/A,FALSE,"FACTOR3"}</definedName>
    <definedName name="wrn.CP._.Demand." localSheetId="6"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20" hidden="1">{"Retail CP pg1",#N/A,FALSE,"FACTOR3";"Retail CP pg2",#N/A,FALSE,"FACTOR3";"Retail CP pg3",#N/A,FALSE,"FACTOR3"}</definedName>
    <definedName name="wrn.CP._.Demand." hidden="1">{"Retail CP pg1",#N/A,FALSE,"FACTOR3";"Retail CP pg2",#N/A,FALSE,"FACTOR3";"Retail CP pg3",#N/A,FALSE,"FACTOR3"}</definedName>
    <definedName name="wrn.CP._.Demand2." localSheetId="0"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20" hidden="1">{"Retail CP pg1",#N/A,FALSE,"FACTOR3";"Retail CP pg2",#N/A,FALSE,"FACTOR3";"Retail CP pg3",#N/A,FALSE,"FACTOR3"}</definedName>
    <definedName name="wrn.CP._.Demand2." hidden="1">{"Retail CP pg1",#N/A,FALSE,"FACTOR3";"Retail CP pg2",#N/A,FALSE,"FACTOR3";"Retail CP pg3",#N/A,FALSE,"FACTOR3"}</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0" hidden="1">{"assumptions",#N/A,FALSE,"Scenario 1";"valuation",#N/A,FALSE,"Scenario 1"}</definedName>
    <definedName name="wrn.IPO._.Valuation." localSheetId="6" hidden="1">{"assumptions",#N/A,FALSE,"Scenario 1";"valuation",#N/A,FALSE,"Scenario 1"}</definedName>
    <definedName name="wrn.IPO._.Valuation." localSheetId="11" hidden="1">{"assumptions",#N/A,FALSE,"Scenario 1";"valuation",#N/A,FALSE,"Scenario 1"}</definedName>
    <definedName name="wrn.IPO._.Valuation." localSheetId="22"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localSheetId="6" hidden="1">{"LBO Summary",#N/A,FALSE,"Summary"}</definedName>
    <definedName name="wrn.LBO._.Summary." localSheetId="11" hidden="1">{"LBO Summary",#N/A,FALSE,"Summary"}</definedName>
    <definedName name="wrn.LBO._.Summary." localSheetId="22" hidden="1">{"LBO Summary",#N/A,FALSE,"Summary"}</definedName>
    <definedName name="wrn.LBO._.Summary." hidden="1">{"LBO Summary",#N/A,FALSE,"Summary"}</definedName>
    <definedName name="wrn.LOUISIANA." localSheetId="0" hidden="1">{#N/A,#N/A,FALSE,"LOCAL.XLS"}</definedName>
    <definedName name="wrn.LOUISIANA." localSheetId="6" hidden="1">{#N/A,#N/A,FALSE,"LOCAL.XLS"}</definedName>
    <definedName name="wrn.LOUISIANA." localSheetId="11" hidden="1">{#N/A,#N/A,FALSE,"LOCAL.XLS"}</definedName>
    <definedName name="wrn.LOUISIANA." localSheetId="22" hidden="1">{#N/A,#N/A,FALSE,"LOCAL.XLS"}</definedName>
    <definedName name="wrn.LOUISIANA." hidden="1">{#N/A,#N/A,FALSE,"LOCAL.XLS"}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2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2"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0" hidden="1">{#N/A,#N/A,FALSE,"AP&amp;L"}</definedName>
    <definedName name="wrn.summary." localSheetId="6" hidden="1">{#N/A,#N/A,FALSE,"AP&amp;L"}</definedName>
    <definedName name="wrn.summary." localSheetId="11" hidden="1">{#N/A,#N/A,FALSE,"AP&amp;L"}</definedName>
    <definedName name="wrn.summary." localSheetId="22" hidden="1">{#N/A,#N/A,FALSE,"AP&amp;L"}</definedName>
    <definedName name="wrn.summary." hidden="1">{#N/A,#N/A,FALSE,"AP&amp;L"}</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'MISO Cover'!$I$202</definedName>
    <definedName name="Z_1155D18F_BFDD_426B_8E78_817CEB25FB23_.wvu.Cols" localSheetId="8" hidden="1">'WP06 ADIT'!#REF!</definedName>
    <definedName name="Z_1155D18F_BFDD_426B_8E78_817CEB25FB23_.wvu.PrintArea" localSheetId="8" hidden="1">'WP06 ADIT'!$B$1:$N$229</definedName>
    <definedName name="Z_16940A0E_2B20_4241_BF05_A4686E5A0274_.wvu.Cols" localSheetId="8" hidden="1">'WP06 ADIT'!#REF!</definedName>
    <definedName name="Z_16940A0E_2B20_4241_BF05_A4686E5A0274_.wvu.PrintArea" localSheetId="8" hidden="1">'WP06 ADIT'!$B$1:$N$229</definedName>
    <definedName name="Z_28948E05_8F34_4F1E_96FB_A80A6A844600_.wvu.Cols" localSheetId="8" hidden="1">'WP06 ADIT'!#REF!</definedName>
    <definedName name="Z_28948E05_8F34_4F1E_96FB_A80A6A844600_.wvu.PrintArea" localSheetId="8" hidden="1">'WP06 ADIT'!$B$1:$N$229</definedName>
    <definedName name="Z_3768C7C8_9953_11DA_B318_000FB55D51DC_.wvu.PrintArea" localSheetId="4" hidden="1">'WP02 Support'!$A$154:$M$158</definedName>
    <definedName name="Z_3768C7C8_9953_11DA_B318_000FB55D51DC_.wvu.PrintTitles" localSheetId="4" hidden="1">'WP02 Support'!#REF!</definedName>
    <definedName name="Z_3768C7C8_9953_11DA_B318_000FB55D51DC_.wvu.Rows" localSheetId="4" hidden="1">'WP02 Support'!#REF!</definedName>
    <definedName name="Z_3BDD6235_B127_4929_8311_BDAF7BB89818_.wvu.PrintArea" localSheetId="4" hidden="1">'WP02 Support'!$A$154:$M$158</definedName>
    <definedName name="Z_3BDD6235_B127_4929_8311_BDAF7BB89818_.wvu.PrintTitles" localSheetId="4" hidden="1">'WP02 Support'!#REF!</definedName>
    <definedName name="Z_3BDD6235_B127_4929_8311_BDAF7BB89818_.wvu.Rows" localSheetId="4" hidden="1">'WP02 Support'!#REF!</definedName>
    <definedName name="Z_44504B44_F20F_4B6F_B585_74D55BA74563_.wvu.Cols" localSheetId="8" hidden="1">'WP06 ADIT'!#REF!</definedName>
    <definedName name="Z_44504B44_F20F_4B6F_B585_74D55BA74563_.wvu.PrintArea" localSheetId="8" hidden="1">'WP06 ADIT'!$B$1:$N$229</definedName>
    <definedName name="Z_63011E91_4609_4523_98FE_FD252E915668_.wvu.Cols" localSheetId="8" hidden="1">'WP06 ADIT'!#REF!</definedName>
    <definedName name="Z_63011E91_4609_4523_98FE_FD252E915668_.wvu.PrintArea" localSheetId="3" hidden="1">'WP01 True-Up'!#REF!</definedName>
    <definedName name="Z_63011E91_4609_4523_98FE_FD252E915668_.wvu.PrintArea" localSheetId="7" hidden="1">'WP05 CapAds'!$A$2:$D$23</definedName>
    <definedName name="Z_63011E91_4609_4523_98FE_FD252E915668_.wvu.PrintArea" localSheetId="8" hidden="1">'WP06 ADIT'!$B$1:$N$229</definedName>
    <definedName name="Z_71B42B22_A376_44B5_B0C1_23FC1AA3DBA2_.wvu.Cols" localSheetId="8" hidden="1">'WP06 ADIT'!#REF!</definedName>
    <definedName name="Z_71B42B22_A376_44B5_B0C1_23FC1AA3DBA2_.wvu.PrintArea" localSheetId="8" hidden="1">'WP06 ADIT'!$B$1:$N$229</definedName>
    <definedName name="Z_B0241363_5C8A_48FC_89A6_56D55586BABE_.wvu.PrintArea" localSheetId="4" hidden="1">'WP02 Support'!$A$154:$M$158</definedName>
    <definedName name="Z_B0241363_5C8A_48FC_89A6_56D55586BABE_.wvu.PrintTitles" localSheetId="4" hidden="1">'WP02 Support'!#REF!</definedName>
    <definedName name="Z_B0241363_5C8A_48FC_89A6_56D55586BABE_.wvu.Rows" localSheetId="4" hidden="1">'WP02 Support'!#REF!</definedName>
    <definedName name="Z_B647CB7F_C846_4278_B6B1_1EF7F3C004F5_.wvu.Cols" localSheetId="8" hidden="1">'WP06 ADIT'!#REF!</definedName>
    <definedName name="Z_B647CB7F_C846_4278_B6B1_1EF7F3C004F5_.wvu.PrintArea" localSheetId="8" hidden="1">'WP06 ADIT'!$B$1:$N$229</definedName>
    <definedName name="Z_C0EA0F9F_7310_4201_82C9_7B8FC8DB9137_.wvu.PrintArea" localSheetId="4" hidden="1">'WP02 Support'!$A$154:$M$158</definedName>
    <definedName name="Z_C0EA0F9F_7310_4201_82C9_7B8FC8DB9137_.wvu.PrintTitles" localSheetId="4" hidden="1">'WP02 Support'!#REF!</definedName>
    <definedName name="Z_C0EA0F9F_7310_4201_82C9_7B8FC8DB9137_.wvu.Rows" localSheetId="4" hidden="1">'WP02 Support'!#REF!</definedName>
    <definedName name="Z_DC91DEF3_837B_4BB9_A81E_3B78C5914E6C_.wvu.Cols" localSheetId="8" hidden="1">'WP06 ADIT'!#REF!</definedName>
    <definedName name="Z_DC91DEF3_837B_4BB9_A81E_3B78C5914E6C_.wvu.PrintArea" localSheetId="8" hidden="1">'WP06 ADIT'!$B$1:$N$229</definedName>
    <definedName name="Z_FAAD9AAC_1337_43AB_BF1F_CCF9DFCF5B78_.wvu.Cols" localSheetId="8" hidden="1">'WP06 ADIT'!#REF!</definedName>
    <definedName name="Z_FAAD9AAC_1337_43AB_BF1F_CCF9DFCF5B78_.wvu.PrintArea" localSheetId="8" hidden="1">'WP06 ADIT'!$B$1:$N$229</definedName>
  </definedNames>
  <calcPr calcId="145621" iterate="1"/>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B33" i="67" l="1"/>
  <c r="A4" i="96" l="1"/>
  <c r="A1" i="96"/>
  <c r="G59" i="78" l="1"/>
  <c r="G61" i="78" s="1"/>
  <c r="G63" i="78" s="1"/>
  <c r="G65" i="78" s="1"/>
  <c r="G58" i="78"/>
  <c r="G60" i="78" s="1"/>
  <c r="G62" i="78" s="1"/>
  <c r="G64" i="78" s="1"/>
  <c r="G57" i="78"/>
  <c r="G55" i="78"/>
  <c r="G56" i="78"/>
  <c r="J177" i="2" l="1"/>
  <c r="F177" i="2"/>
  <c r="J106" i="2"/>
  <c r="F106" i="2"/>
  <c r="F17" i="2"/>
  <c r="J17" i="2"/>
  <c r="F11" i="86"/>
  <c r="E11" i="86"/>
  <c r="B16" i="57"/>
  <c r="B46" i="93"/>
  <c r="A80" i="86"/>
  <c r="A79" i="86"/>
  <c r="I42" i="62"/>
  <c r="G9" i="51"/>
  <c r="C9" i="51"/>
  <c r="G8" i="51"/>
  <c r="C8" i="51"/>
  <c r="K181" i="2"/>
  <c r="G181" i="2"/>
  <c r="K180" i="2"/>
  <c r="G180" i="2"/>
  <c r="K192" i="2"/>
  <c r="K193" i="2"/>
  <c r="H68" i="78"/>
  <c r="G192" i="2"/>
  <c r="G193" i="2"/>
  <c r="G217" i="2"/>
  <c r="G219" i="2"/>
  <c r="G12" i="2"/>
  <c r="G165" i="2"/>
  <c r="G166" i="2"/>
  <c r="G173" i="2"/>
  <c r="G175" i="2"/>
  <c r="G11" i="2"/>
  <c r="G13" i="2"/>
  <c r="G68" i="75"/>
  <c r="H188" i="2"/>
  <c r="H189" i="2"/>
  <c r="H204" i="2"/>
  <c r="H205" i="2"/>
  <c r="H217" i="2"/>
  <c r="H219" i="2"/>
  <c r="H12" i="2"/>
  <c r="H28" i="2"/>
  <c r="H29" i="2"/>
  <c r="H44" i="2"/>
  <c r="H45" i="2"/>
  <c r="H60" i="2"/>
  <c r="H61" i="2"/>
  <c r="H88" i="2"/>
  <c r="H89" i="2"/>
  <c r="H92" i="2"/>
  <c r="H93" i="2"/>
  <c r="H94" i="2"/>
  <c r="H95" i="2"/>
  <c r="H102" i="2"/>
  <c r="H104" i="2"/>
  <c r="H9" i="2"/>
  <c r="H107" i="2"/>
  <c r="H108" i="2"/>
  <c r="H109" i="2"/>
  <c r="H110" i="2"/>
  <c r="H115" i="2"/>
  <c r="H116" i="2"/>
  <c r="H117" i="2"/>
  <c r="H118" i="2"/>
  <c r="H125" i="2"/>
  <c r="H126" i="2"/>
  <c r="H129" i="2"/>
  <c r="H130" i="2"/>
  <c r="H137" i="2"/>
  <c r="H138" i="2"/>
  <c r="H139" i="2"/>
  <c r="H140" i="2"/>
  <c r="H155" i="2"/>
  <c r="H156" i="2"/>
  <c r="H159" i="2"/>
  <c r="H160" i="2"/>
  <c r="H167" i="2"/>
  <c r="H168" i="2"/>
  <c r="H173" i="2"/>
  <c r="H175" i="2"/>
  <c r="H11" i="2"/>
  <c r="H13" i="2"/>
  <c r="G69" i="75"/>
  <c r="L9" i="62"/>
  <c r="L10" i="62"/>
  <c r="L11" i="62"/>
  <c r="L12" i="62"/>
  <c r="L13" i="62"/>
  <c r="L14" i="62"/>
  <c r="L15" i="62"/>
  <c r="L16" i="62"/>
  <c r="L17" i="62"/>
  <c r="L18" i="62"/>
  <c r="L19" i="62"/>
  <c r="L20" i="62"/>
  <c r="L21" i="62"/>
  <c r="L23" i="62"/>
  <c r="G27" i="75"/>
  <c r="C23" i="62"/>
  <c r="G45" i="75"/>
  <c r="G46" i="75" s="1"/>
  <c r="K23" i="62"/>
  <c r="G44" i="75"/>
  <c r="D53" i="93"/>
  <c r="D58" i="93"/>
  <c r="D59" i="93"/>
  <c r="D21" i="77"/>
  <c r="E11" i="55"/>
  <c r="G11" i="55"/>
  <c r="H11" i="55"/>
  <c r="E12" i="55"/>
  <c r="G12" i="55"/>
  <c r="H12" i="55"/>
  <c r="E13" i="55"/>
  <c r="G13" i="55"/>
  <c r="H13" i="55"/>
  <c r="E14" i="55"/>
  <c r="G14" i="55"/>
  <c r="H14" i="55"/>
  <c r="H65" i="55"/>
  <c r="E15" i="55"/>
  <c r="G15" i="55"/>
  <c r="H15" i="55"/>
  <c r="H66" i="55"/>
  <c r="E16" i="55"/>
  <c r="G16" i="55"/>
  <c r="H16" i="55"/>
  <c r="H67" i="55"/>
  <c r="E17" i="55"/>
  <c r="G17" i="55"/>
  <c r="H17" i="55"/>
  <c r="E18" i="55"/>
  <c r="G18" i="55"/>
  <c r="H18" i="55"/>
  <c r="E19" i="55"/>
  <c r="G19" i="55"/>
  <c r="H19" i="55"/>
  <c r="E20" i="55"/>
  <c r="G20" i="55"/>
  <c r="H20" i="55"/>
  <c r="E21" i="55"/>
  <c r="G21" i="55"/>
  <c r="H21" i="55"/>
  <c r="E22" i="55"/>
  <c r="G22" i="55"/>
  <c r="H22" i="55"/>
  <c r="H68" i="55"/>
  <c r="E23" i="55"/>
  <c r="G23" i="55"/>
  <c r="H23" i="55"/>
  <c r="E24" i="55"/>
  <c r="G24" i="55"/>
  <c r="H24" i="55"/>
  <c r="E25" i="55"/>
  <c r="G25" i="55"/>
  <c r="H25" i="55"/>
  <c r="E26" i="55"/>
  <c r="G26" i="55"/>
  <c r="H26" i="55"/>
  <c r="E27" i="55"/>
  <c r="G27" i="55"/>
  <c r="H27" i="55"/>
  <c r="E28" i="55"/>
  <c r="G28" i="55"/>
  <c r="H28" i="55"/>
  <c r="E29" i="55"/>
  <c r="G29" i="55"/>
  <c r="H29" i="55"/>
  <c r="E30" i="55"/>
  <c r="G30" i="55"/>
  <c r="H30" i="55"/>
  <c r="E31" i="55"/>
  <c r="G31" i="55"/>
  <c r="H31" i="55"/>
  <c r="E32" i="55"/>
  <c r="G32" i="55"/>
  <c r="H32" i="55"/>
  <c r="E33" i="55"/>
  <c r="G33" i="55"/>
  <c r="H33" i="55"/>
  <c r="E34" i="55"/>
  <c r="G34" i="55"/>
  <c r="H34" i="55"/>
  <c r="E35" i="55"/>
  <c r="G35" i="55"/>
  <c r="H35" i="55"/>
  <c r="H69" i="55"/>
  <c r="E36" i="55"/>
  <c r="G36" i="55"/>
  <c r="H36" i="55"/>
  <c r="H70" i="55"/>
  <c r="E37" i="55"/>
  <c r="G37" i="55"/>
  <c r="H37" i="55"/>
  <c r="E38" i="55"/>
  <c r="G38" i="55"/>
  <c r="H38" i="55"/>
  <c r="H72" i="55"/>
  <c r="E39" i="55"/>
  <c r="G39" i="55"/>
  <c r="H39" i="55"/>
  <c r="E40" i="55"/>
  <c r="G40" i="55"/>
  <c r="H40" i="55"/>
  <c r="H73" i="55"/>
  <c r="E41" i="55"/>
  <c r="G41" i="55"/>
  <c r="H41" i="55"/>
  <c r="E42" i="55"/>
  <c r="G42" i="55"/>
  <c r="H42" i="55"/>
  <c r="E43" i="55"/>
  <c r="G43" i="55"/>
  <c r="H43" i="55"/>
  <c r="E44" i="55"/>
  <c r="G44" i="55"/>
  <c r="H44" i="55"/>
  <c r="E45" i="55"/>
  <c r="G45" i="55"/>
  <c r="H45" i="55"/>
  <c r="E46" i="55"/>
  <c r="G46" i="55"/>
  <c r="H46" i="55"/>
  <c r="E47" i="55"/>
  <c r="G47" i="55"/>
  <c r="H47" i="55"/>
  <c r="E48" i="55"/>
  <c r="G48" i="55"/>
  <c r="H48" i="55"/>
  <c r="E49" i="55"/>
  <c r="G49" i="55"/>
  <c r="H49" i="55"/>
  <c r="E50" i="55"/>
  <c r="G50" i="55"/>
  <c r="H50" i="55"/>
  <c r="E51" i="55"/>
  <c r="G51" i="55"/>
  <c r="H51" i="55"/>
  <c r="H74" i="55"/>
  <c r="H75" i="55"/>
  <c r="D22" i="77"/>
  <c r="E51" i="56"/>
  <c r="E52" i="56"/>
  <c r="E53" i="56"/>
  <c r="E54" i="56"/>
  <c r="E55" i="56"/>
  <c r="E56" i="56"/>
  <c r="E57" i="56"/>
  <c r="E58" i="56"/>
  <c r="E59" i="56"/>
  <c r="E60" i="56"/>
  <c r="E61" i="56"/>
  <c r="D23" i="77"/>
  <c r="D28" i="77"/>
  <c r="G16" i="75"/>
  <c r="G17" i="75"/>
  <c r="D31" i="77"/>
  <c r="D32" i="77"/>
  <c r="D33" i="77"/>
  <c r="D38" i="77"/>
  <c r="G20" i="75"/>
  <c r="D45" i="93"/>
  <c r="D11" i="77"/>
  <c r="H61" i="55"/>
  <c r="D12" i="77"/>
  <c r="E47" i="56"/>
  <c r="D13" i="77"/>
  <c r="D18" i="77"/>
  <c r="G12" i="75"/>
  <c r="G23" i="62"/>
  <c r="G40" i="75"/>
  <c r="G42" i="75" s="1"/>
  <c r="G258" i="75" s="1"/>
  <c r="I217" i="2"/>
  <c r="I219" i="2"/>
  <c r="I12" i="2"/>
  <c r="I30" i="2"/>
  <c r="I31" i="2"/>
  <c r="I48" i="2"/>
  <c r="I49" i="2"/>
  <c r="I50" i="2"/>
  <c r="I51" i="2"/>
  <c r="I76" i="2"/>
  <c r="I77" i="2"/>
  <c r="I82" i="2"/>
  <c r="I83" i="2"/>
  <c r="I91" i="2"/>
  <c r="I102" i="2"/>
  <c r="I104" i="2"/>
  <c r="I9" i="2"/>
  <c r="I123" i="2"/>
  <c r="I124" i="2"/>
  <c r="I133" i="2"/>
  <c r="I134" i="2"/>
  <c r="I147" i="2"/>
  <c r="I148" i="2"/>
  <c r="I173" i="2"/>
  <c r="I175" i="2"/>
  <c r="I11" i="2"/>
  <c r="I13" i="2"/>
  <c r="G72" i="75"/>
  <c r="C15" i="61"/>
  <c r="C27" i="61"/>
  <c r="G15" i="75"/>
  <c r="C31" i="61"/>
  <c r="C32" i="61"/>
  <c r="C33" i="61"/>
  <c r="G19" i="75"/>
  <c r="G21" i="75" s="1"/>
  <c r="C10" i="61"/>
  <c r="G11" i="75"/>
  <c r="G13" i="75" s="1"/>
  <c r="E8" i="93"/>
  <c r="E9" i="93"/>
  <c r="E10" i="93"/>
  <c r="E11" i="93"/>
  <c r="E12" i="93"/>
  <c r="E13" i="93"/>
  <c r="E14" i="93"/>
  <c r="E15" i="93"/>
  <c r="E16" i="93"/>
  <c r="E17" i="93"/>
  <c r="E18" i="93"/>
  <c r="E19" i="93"/>
  <c r="E20" i="93"/>
  <c r="E21" i="93"/>
  <c r="E22" i="93"/>
  <c r="E23" i="93"/>
  <c r="E24" i="93"/>
  <c r="E45" i="93"/>
  <c r="D90" i="77"/>
  <c r="K23" i="55"/>
  <c r="K24" i="55"/>
  <c r="K25" i="55"/>
  <c r="K26" i="55"/>
  <c r="K27" i="55"/>
  <c r="K28" i="55"/>
  <c r="K29" i="55"/>
  <c r="K30" i="55"/>
  <c r="K31" i="55"/>
  <c r="K32" i="55"/>
  <c r="K33" i="55"/>
  <c r="K34" i="55"/>
  <c r="K35" i="55"/>
  <c r="K61" i="55"/>
  <c r="D91" i="77"/>
  <c r="F20" i="56"/>
  <c r="F21" i="56"/>
  <c r="F22" i="56"/>
  <c r="F23" i="56"/>
  <c r="F24" i="56"/>
  <c r="F25" i="56"/>
  <c r="F47" i="56"/>
  <c r="D92" i="77"/>
  <c r="C38" i="87"/>
  <c r="D38" i="87"/>
  <c r="E38" i="87"/>
  <c r="F38" i="87"/>
  <c r="G38" i="87"/>
  <c r="D93" i="77"/>
  <c r="C39" i="95"/>
  <c r="C40" i="95"/>
  <c r="C41" i="95"/>
  <c r="C42" i="95"/>
  <c r="D39" i="95"/>
  <c r="D40" i="95"/>
  <c r="D41" i="95"/>
  <c r="D42" i="95"/>
  <c r="E42" i="95"/>
  <c r="D94" i="77"/>
  <c r="D98" i="77"/>
  <c r="G129" i="75"/>
  <c r="G130" i="75"/>
  <c r="D118" i="77"/>
  <c r="G138" i="75"/>
  <c r="E25" i="93"/>
  <c r="E26" i="93"/>
  <c r="E27" i="93"/>
  <c r="E28" i="93"/>
  <c r="E29" i="93"/>
  <c r="E30" i="93"/>
  <c r="E31" i="93"/>
  <c r="E32" i="93"/>
  <c r="E33" i="93"/>
  <c r="E34" i="93"/>
  <c r="E35" i="93"/>
  <c r="E36" i="93"/>
  <c r="E58" i="93"/>
  <c r="D101" i="77"/>
  <c r="K41" i="55"/>
  <c r="K42" i="55"/>
  <c r="K43" i="55"/>
  <c r="K44" i="55"/>
  <c r="K45" i="55"/>
  <c r="K46" i="55"/>
  <c r="K47" i="55"/>
  <c r="K48" i="55"/>
  <c r="K49" i="55"/>
  <c r="K50" i="55"/>
  <c r="K51" i="55"/>
  <c r="K74" i="55"/>
  <c r="D102" i="77"/>
  <c r="F30" i="56"/>
  <c r="F31" i="56"/>
  <c r="F32" i="56"/>
  <c r="F33" i="56"/>
  <c r="F34" i="56"/>
  <c r="F35" i="56"/>
  <c r="F36" i="56"/>
  <c r="F37" i="56"/>
  <c r="F38" i="56"/>
  <c r="F39" i="56"/>
  <c r="F40" i="56"/>
  <c r="F60" i="56"/>
  <c r="D103" i="77"/>
  <c r="C51" i="87"/>
  <c r="D51" i="87"/>
  <c r="E51" i="87"/>
  <c r="F51" i="87"/>
  <c r="G51" i="87"/>
  <c r="D104" i="77"/>
  <c r="D108" i="77"/>
  <c r="G140" i="75"/>
  <c r="D127" i="77"/>
  <c r="G146" i="75"/>
  <c r="G148" i="75"/>
  <c r="L28" i="62"/>
  <c r="L29" i="62"/>
  <c r="L30" i="62"/>
  <c r="L31" i="62"/>
  <c r="L32" i="62"/>
  <c r="L33" i="62"/>
  <c r="L34" i="62"/>
  <c r="L35" i="62"/>
  <c r="L36" i="62"/>
  <c r="L37" i="62"/>
  <c r="L38" i="62"/>
  <c r="L39" i="62"/>
  <c r="L40" i="62"/>
  <c r="L42" i="62"/>
  <c r="G28" i="75"/>
  <c r="G29" i="75"/>
  <c r="C42" i="62"/>
  <c r="G56" i="75"/>
  <c r="K42" i="62"/>
  <c r="G55" i="75"/>
  <c r="G57" i="75" s="1"/>
  <c r="G42" i="62"/>
  <c r="G53" i="75"/>
  <c r="E65" i="93"/>
  <c r="G150" i="75"/>
  <c r="G152" i="75" s="1"/>
  <c r="Q15" i="74"/>
  <c r="D56" i="77"/>
  <c r="H56" i="77"/>
  <c r="Q16" i="74"/>
  <c r="D57" i="77"/>
  <c r="H57" i="77"/>
  <c r="H61" i="77"/>
  <c r="Q17" i="74"/>
  <c r="D63" i="77"/>
  <c r="H63" i="77"/>
  <c r="H68" i="77"/>
  <c r="H85" i="77"/>
  <c r="G84" i="75"/>
  <c r="Q11" i="73"/>
  <c r="D35" i="73"/>
  <c r="G35" i="73"/>
  <c r="G51" i="73"/>
  <c r="G98" i="75"/>
  <c r="Q9" i="73"/>
  <c r="D33" i="73"/>
  <c r="H33" i="73"/>
  <c r="Q14" i="73"/>
  <c r="D38" i="73"/>
  <c r="H38" i="73"/>
  <c r="Q19" i="73"/>
  <c r="D43" i="73"/>
  <c r="H43" i="73"/>
  <c r="Q21" i="73"/>
  <c r="D45" i="73"/>
  <c r="H45" i="73"/>
  <c r="Q23" i="73"/>
  <c r="D47" i="73"/>
  <c r="H47" i="73"/>
  <c r="H51" i="73"/>
  <c r="G101" i="75"/>
  <c r="Q10" i="91"/>
  <c r="G91" i="75"/>
  <c r="Q9" i="91"/>
  <c r="G90" i="75"/>
  <c r="P11" i="58"/>
  <c r="G106" i="75"/>
  <c r="Q8" i="44"/>
  <c r="Q9" i="44"/>
  <c r="Q10" i="44"/>
  <c r="Q11" i="44"/>
  <c r="Q12" i="44"/>
  <c r="G197" i="75"/>
  <c r="G206" i="75" s="1"/>
  <c r="G215" i="75" s="1"/>
  <c r="Q33" i="44"/>
  <c r="Q38" i="44"/>
  <c r="Q34" i="44"/>
  <c r="Q35" i="44"/>
  <c r="Q36" i="44"/>
  <c r="Q37" i="44"/>
  <c r="Q39" i="44"/>
  <c r="G200" i="75"/>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4" i="44"/>
  <c r="Q46" i="44"/>
  <c r="Q47" i="44"/>
  <c r="Q48" i="44"/>
  <c r="G202" i="75"/>
  <c r="G205" i="75"/>
  <c r="Q15" i="44"/>
  <c r="Q16" i="44"/>
  <c r="Q17" i="44"/>
  <c r="Q18" i="44"/>
  <c r="Q19" i="44"/>
  <c r="Q20" i="44"/>
  <c r="G198" i="75"/>
  <c r="P30" i="44"/>
  <c r="G199" i="75"/>
  <c r="G209" i="75"/>
  <c r="G201" i="75"/>
  <c r="G210" i="75"/>
  <c r="G214" i="75"/>
  <c r="G226" i="75"/>
  <c r="G231" i="75"/>
  <c r="K15" i="55"/>
  <c r="K66" i="55"/>
  <c r="D134" i="77"/>
  <c r="F10" i="56"/>
  <c r="F52" i="56"/>
  <c r="D135" i="77"/>
  <c r="D140" i="77"/>
  <c r="G165" i="75"/>
  <c r="G166" i="75" s="1"/>
  <c r="F11" i="49"/>
  <c r="F14" i="49"/>
  <c r="F20" i="49"/>
  <c r="F22" i="49"/>
  <c r="F26" i="49"/>
  <c r="F27" i="49"/>
  <c r="F28" i="49"/>
  <c r="F29" i="49"/>
  <c r="F31" i="49"/>
  <c r="F36" i="49"/>
  <c r="G176" i="75"/>
  <c r="K16" i="55"/>
  <c r="K67" i="55"/>
  <c r="D146" i="77"/>
  <c r="F11" i="56"/>
  <c r="F53" i="56"/>
  <c r="D147" i="77"/>
  <c r="C44" i="87"/>
  <c r="D44" i="87"/>
  <c r="E44" i="87"/>
  <c r="F44" i="87"/>
  <c r="G44" i="87"/>
  <c r="D148" i="77"/>
  <c r="D152" i="77"/>
  <c r="G177" i="75"/>
  <c r="G178" i="75"/>
  <c r="G9" i="49"/>
  <c r="G10" i="49"/>
  <c r="G13" i="49"/>
  <c r="G25" i="49"/>
  <c r="G36" i="49"/>
  <c r="G182" i="75"/>
  <c r="H23" i="62"/>
  <c r="D157" i="77"/>
  <c r="I23" i="62"/>
  <c r="D158" i="77"/>
  <c r="E8" i="86"/>
  <c r="F8" i="86"/>
  <c r="G8" i="86"/>
  <c r="D159" i="77"/>
  <c r="P8" i="85"/>
  <c r="P9" i="85"/>
  <c r="P10" i="85"/>
  <c r="P11" i="85"/>
  <c r="P12" i="85"/>
  <c r="P13" i="85"/>
  <c r="P14" i="85"/>
  <c r="P15" i="85"/>
  <c r="P16" i="85"/>
  <c r="C23" i="85"/>
  <c r="D23" i="85"/>
  <c r="E23" i="85"/>
  <c r="F23" i="85"/>
  <c r="G23" i="85"/>
  <c r="H23" i="85"/>
  <c r="I23" i="85"/>
  <c r="J23" i="85"/>
  <c r="K23" i="85"/>
  <c r="L23" i="85"/>
  <c r="M23" i="85"/>
  <c r="N23" i="85"/>
  <c r="O23" i="85"/>
  <c r="P23" i="85"/>
  <c r="P25" i="85"/>
  <c r="D160" i="77"/>
  <c r="D161" i="77"/>
  <c r="G259" i="75"/>
  <c r="F10" i="51"/>
  <c r="G268" i="75"/>
  <c r="D10" i="51"/>
  <c r="G267" i="75"/>
  <c r="F36" i="51"/>
  <c r="F57" i="51"/>
  <c r="G277" i="75"/>
  <c r="D25" i="51"/>
  <c r="D30" i="51"/>
  <c r="D31" i="51"/>
  <c r="D38" i="51"/>
  <c r="D40" i="51"/>
  <c r="D49" i="51"/>
  <c r="D52" i="51"/>
  <c r="D53" i="51"/>
  <c r="D57" i="51"/>
  <c r="G274" i="75"/>
  <c r="E24" i="51"/>
  <c r="E26" i="51"/>
  <c r="E32" i="51"/>
  <c r="E39" i="51"/>
  <c r="E41" i="51"/>
  <c r="E45" i="51"/>
  <c r="E57" i="51"/>
  <c r="G275" i="75"/>
  <c r="G276" i="75"/>
  <c r="G281" i="75"/>
  <c r="G282" i="75"/>
  <c r="G283" i="75"/>
  <c r="G22" i="78"/>
  <c r="G25" i="78" s="1"/>
  <c r="G29" i="78" s="1"/>
  <c r="G47" i="78" s="1"/>
  <c r="E58" i="51"/>
  <c r="F65" i="78"/>
  <c r="H67" i="78"/>
  <c r="F29" i="56"/>
  <c r="F58" i="56"/>
  <c r="F28" i="56"/>
  <c r="F59" i="56"/>
  <c r="D58" i="56"/>
  <c r="D59" i="56"/>
  <c r="D30" i="67"/>
  <c r="D38" i="67"/>
  <c r="D51" i="67" s="1"/>
  <c r="D55" i="67" s="1"/>
  <c r="D45" i="67"/>
  <c r="E30" i="67"/>
  <c r="E38" i="67"/>
  <c r="E51" i="67" s="1"/>
  <c r="E55" i="67" s="1"/>
  <c r="E45" i="67"/>
  <c r="F30" i="67"/>
  <c r="F38" i="67"/>
  <c r="F51" i="67" s="1"/>
  <c r="F55" i="67" s="1"/>
  <c r="F45" i="67"/>
  <c r="G30" i="67"/>
  <c r="G38" i="67"/>
  <c r="G51" i="67" s="1"/>
  <c r="G55" i="67" s="1"/>
  <c r="G45" i="67"/>
  <c r="H30" i="67"/>
  <c r="H38" i="67"/>
  <c r="H51" i="67" s="1"/>
  <c r="H55" i="67" s="1"/>
  <c r="H45" i="67"/>
  <c r="I30" i="67"/>
  <c r="I38" i="67"/>
  <c r="I51" i="67" s="1"/>
  <c r="I55" i="67" s="1"/>
  <c r="I45" i="67"/>
  <c r="J30" i="67"/>
  <c r="J38" i="67"/>
  <c r="J51" i="67" s="1"/>
  <c r="J55" i="67" s="1"/>
  <c r="J45" i="67"/>
  <c r="K30" i="67"/>
  <c r="K38" i="67"/>
  <c r="K51" i="67" s="1"/>
  <c r="K55" i="67" s="1"/>
  <c r="K45" i="67"/>
  <c r="L30" i="67"/>
  <c r="L38" i="67"/>
  <c r="L51" i="67" s="1"/>
  <c r="L55" i="67" s="1"/>
  <c r="L45" i="67"/>
  <c r="M30" i="67"/>
  <c r="M38" i="67"/>
  <c r="M51" i="67" s="1"/>
  <c r="M55" i="67" s="1"/>
  <c r="M45" i="67"/>
  <c r="N30" i="67"/>
  <c r="N38" i="67"/>
  <c r="N51" i="67" s="1"/>
  <c r="N55" i="67" s="1"/>
  <c r="N45" i="67"/>
  <c r="C30" i="67"/>
  <c r="C38" i="67"/>
  <c r="C51" i="67" s="1"/>
  <c r="C45" i="67"/>
  <c r="I13" i="77"/>
  <c r="L205" i="2"/>
  <c r="L204" i="2"/>
  <c r="M77" i="2"/>
  <c r="M76" i="2"/>
  <c r="K54" i="55"/>
  <c r="K53" i="55"/>
  <c r="K52" i="55"/>
  <c r="E54" i="55"/>
  <c r="E53" i="55"/>
  <c r="E52" i="55"/>
  <c r="A29" i="55"/>
  <c r="A30" i="55"/>
  <c r="A31" i="55"/>
  <c r="A32" i="55"/>
  <c r="A33" i="55"/>
  <c r="A34" i="55"/>
  <c r="A35" i="55"/>
  <c r="A36" i="55"/>
  <c r="A37" i="55"/>
  <c r="A38" i="55"/>
  <c r="A39" i="55"/>
  <c r="A40" i="55"/>
  <c r="A41" i="55"/>
  <c r="A42" i="55"/>
  <c r="A43" i="55"/>
  <c r="A44" i="55"/>
  <c r="A45" i="55"/>
  <c r="A46" i="55"/>
  <c r="A47" i="55"/>
  <c r="A48" i="55"/>
  <c r="A49" i="55"/>
  <c r="A50" i="55"/>
  <c r="A51" i="55"/>
  <c r="A52" i="55"/>
  <c r="B66" i="67"/>
  <c r="B63" i="67"/>
  <c r="A8" i="73"/>
  <c r="A9" i="73"/>
  <c r="A10" i="73"/>
  <c r="A11" i="73"/>
  <c r="A12" i="73"/>
  <c r="A13" i="73"/>
  <c r="A14" i="73"/>
  <c r="A27" i="73"/>
  <c r="A29" i="73"/>
  <c r="A30" i="73"/>
  <c r="A31" i="73"/>
  <c r="A32" i="73"/>
  <c r="A33" i="73"/>
  <c r="A34" i="73"/>
  <c r="A35" i="73"/>
  <c r="A36" i="73"/>
  <c r="A37" i="73"/>
  <c r="A38" i="73"/>
  <c r="G82" i="86"/>
  <c r="G81" i="86"/>
  <c r="G80" i="86"/>
  <c r="E42" i="93"/>
  <c r="E43" i="93"/>
  <c r="D42" i="93"/>
  <c r="D43" i="93"/>
  <c r="C43" i="93"/>
  <c r="C42" i="93"/>
  <c r="E37" i="93"/>
  <c r="C49" i="73"/>
  <c r="C50" i="73"/>
  <c r="C48" i="73"/>
  <c r="Q24" i="73"/>
  <c r="D48" i="73"/>
  <c r="Q25" i="73"/>
  <c r="D49" i="73"/>
  <c r="Q26" i="73"/>
  <c r="D50" i="73"/>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101" i="2"/>
  <c r="A102" i="2"/>
  <c r="A103" i="2"/>
  <c r="A104" i="2"/>
  <c r="A105" i="2"/>
  <c r="A106" i="2"/>
  <c r="A172" i="2"/>
  <c r="A173" i="2"/>
  <c r="A174" i="2"/>
  <c r="A175" i="2"/>
  <c r="A176" i="2"/>
  <c r="A177" i="2"/>
  <c r="A215"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171" i="2"/>
  <c r="A107" i="2"/>
  <c r="A100" i="2"/>
  <c r="A54" i="77"/>
  <c r="A55" i="77"/>
  <c r="A61" i="77"/>
  <c r="A62" i="77"/>
  <c r="A68" i="77"/>
  <c r="A69" i="77"/>
  <c r="A77" i="77"/>
  <c r="A78" i="77"/>
  <c r="A79" i="77"/>
  <c r="A84" i="77"/>
  <c r="A85" i="77"/>
  <c r="A86" i="77"/>
  <c r="A87" i="77"/>
  <c r="A88" i="77"/>
  <c r="A89" i="77"/>
  <c r="A90" i="77"/>
  <c r="A91" i="77"/>
  <c r="A92" i="77"/>
  <c r="A93" i="77"/>
  <c r="A94" i="77"/>
  <c r="A95" i="77"/>
  <c r="Q14" i="74"/>
  <c r="D50" i="77"/>
  <c r="Q12" i="74"/>
  <c r="A98" i="77"/>
  <c r="A99" i="77"/>
  <c r="A100" i="77"/>
  <c r="A108" i="77"/>
  <c r="A109" i="77"/>
  <c r="A110" i="77"/>
  <c r="A118" i="77"/>
  <c r="A119" i="77"/>
  <c r="A120" i="77"/>
  <c r="A121" i="77"/>
  <c r="A127" i="77"/>
  <c r="A128" i="77"/>
  <c r="A129" i="77"/>
  <c r="A130" i="77"/>
  <c r="A131" i="77"/>
  <c r="A132" i="77"/>
  <c r="I140" i="77"/>
  <c r="E38" i="93"/>
  <c r="G102" i="2"/>
  <c r="G103" i="2"/>
  <c r="G104" i="2"/>
  <c r="G9" i="2"/>
  <c r="G174" i="2"/>
  <c r="G218" i="2"/>
  <c r="H103" i="2"/>
  <c r="H174" i="2"/>
  <c r="H218" i="2"/>
  <c r="I103" i="2"/>
  <c r="I174" i="2"/>
  <c r="I218" i="2"/>
  <c r="G54" i="77"/>
  <c r="G61" i="77"/>
  <c r="G68" i="77"/>
  <c r="G77" i="77"/>
  <c r="G84" i="77"/>
  <c r="G85" i="77"/>
  <c r="G81" i="75"/>
  <c r="H54" i="77"/>
  <c r="H77" i="77"/>
  <c r="H84" i="77"/>
  <c r="F54" i="77"/>
  <c r="F61" i="77"/>
  <c r="F68" i="77"/>
  <c r="F77" i="77"/>
  <c r="F84" i="77"/>
  <c r="F85" i="77"/>
  <c r="G80" i="75"/>
  <c r="F51" i="73"/>
  <c r="G97" i="75"/>
  <c r="D133" i="77"/>
  <c r="D136" i="77"/>
  <c r="D145" i="77"/>
  <c r="H129" i="75"/>
  <c r="L10" i="88"/>
  <c r="D126" i="88"/>
  <c r="M126" i="88" s="1"/>
  <c r="B225" i="2"/>
  <c r="B224" i="2"/>
  <c r="B223" i="2"/>
  <c r="B222" i="2"/>
  <c r="F289" i="75"/>
  <c r="C179" i="88"/>
  <c r="C116" i="88"/>
  <c r="C56" i="88"/>
  <c r="J26" i="2"/>
  <c r="J27" i="2"/>
  <c r="F26" i="2"/>
  <c r="F27" i="2"/>
  <c r="A111" i="77"/>
  <c r="A112" i="77"/>
  <c r="A113" i="77"/>
  <c r="A114" i="77"/>
  <c r="A115" i="77"/>
  <c r="A140" i="77"/>
  <c r="A141" i="77"/>
  <c r="A142" i="77"/>
  <c r="A143" i="77"/>
  <c r="A144" i="77"/>
  <c r="A145" i="77"/>
  <c r="A146" i="77"/>
  <c r="A147" i="77"/>
  <c r="A148" i="77"/>
  <c r="A149" i="77"/>
  <c r="A101" i="77"/>
  <c r="A102" i="77"/>
  <c r="A103" i="77"/>
  <c r="A104" i="77"/>
  <c r="A105" i="77"/>
  <c r="A133" i="77"/>
  <c r="A134" i="77"/>
  <c r="A135" i="77"/>
  <c r="A136" i="77"/>
  <c r="A137" i="77"/>
  <c r="I108" i="77"/>
  <c r="A12" i="75"/>
  <c r="A13" i="75"/>
  <c r="A15" i="75"/>
  <c r="A16" i="75" s="1"/>
  <c r="A17" i="75" s="1"/>
  <c r="A19" i="75" s="1"/>
  <c r="A20" i="75"/>
  <c r="A21" i="75" s="1"/>
  <c r="A23" i="75" s="1"/>
  <c r="A24" i="75" s="1"/>
  <c r="A27" i="75" s="1"/>
  <c r="A28" i="75" s="1"/>
  <c r="A29" i="75" s="1"/>
  <c r="A31" i="75" s="1"/>
  <c r="A32" i="75"/>
  <c r="A34" i="75" s="1"/>
  <c r="A35" i="75" s="1"/>
  <c r="A40" i="75" s="1"/>
  <c r="A41" i="75" s="1"/>
  <c r="A42" i="75" s="1"/>
  <c r="A44" i="75" s="1"/>
  <c r="A45" i="75" s="1"/>
  <c r="A46" i="75" s="1"/>
  <c r="C37" i="87"/>
  <c r="D37" i="87"/>
  <c r="E37" i="87"/>
  <c r="H130" i="75"/>
  <c r="Q8" i="74"/>
  <c r="Q9" i="74"/>
  <c r="Q10" i="74"/>
  <c r="Q11" i="74"/>
  <c r="Q13" i="74"/>
  <c r="Q18" i="74"/>
  <c r="Q19" i="74"/>
  <c r="Q20" i="74"/>
  <c r="Q21" i="74"/>
  <c r="Q22" i="74"/>
  <c r="Q23" i="74"/>
  <c r="Q24" i="74"/>
  <c r="Q25" i="74"/>
  <c r="Q26" i="74"/>
  <c r="E26" i="74"/>
  <c r="F26" i="74"/>
  <c r="G26" i="74"/>
  <c r="H26" i="74"/>
  <c r="I26" i="74"/>
  <c r="J26" i="74"/>
  <c r="K26" i="74"/>
  <c r="L26" i="74"/>
  <c r="M26" i="74"/>
  <c r="N26" i="74"/>
  <c r="O26" i="74"/>
  <c r="P26" i="74"/>
  <c r="D26" i="74"/>
  <c r="O41" i="67"/>
  <c r="O42" i="67"/>
  <c r="O43" i="67"/>
  <c r="O44" i="67"/>
  <c r="O45" i="67"/>
  <c r="A8" i="66"/>
  <c r="A9" i="66"/>
  <c r="A10" i="66"/>
  <c r="A11" i="66"/>
  <c r="A12" i="66"/>
  <c r="A13" i="66"/>
  <c r="A14" i="66"/>
  <c r="A15" i="66"/>
  <c r="A16" i="66"/>
  <c r="A17" i="66"/>
  <c r="A18" i="66"/>
  <c r="A10" i="78"/>
  <c r="A11" i="78"/>
  <c r="A12" i="78"/>
  <c r="A13" i="78"/>
  <c r="A14" i="78"/>
  <c r="A15" i="78"/>
  <c r="A16" i="78"/>
  <c r="A17" i="78"/>
  <c r="A18" i="78"/>
  <c r="A19" i="78"/>
  <c r="A20" i="78"/>
  <c r="A21" i="78"/>
  <c r="A22" i="78"/>
  <c r="A23" i="78"/>
  <c r="A24" i="78"/>
  <c r="A25" i="78"/>
  <c r="A26" i="78"/>
  <c r="A27" i="78"/>
  <c r="A28" i="78"/>
  <c r="A29" i="78"/>
  <c r="A30" i="78"/>
  <c r="A31" i="78"/>
  <c r="A32" i="78"/>
  <c r="A33" i="78"/>
  <c r="A36" i="78"/>
  <c r="A66" i="78"/>
  <c r="A67" i="78"/>
  <c r="A68" i="78"/>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3" i="67"/>
  <c r="H97" i="75"/>
  <c r="H98" i="75"/>
  <c r="H27" i="75"/>
  <c r="H28" i="75"/>
  <c r="H29" i="75"/>
  <c r="H44" i="75"/>
  <c r="H46" i="75" s="1"/>
  <c r="H45" i="75"/>
  <c r="H15" i="75"/>
  <c r="H17" i="75" s="1"/>
  <c r="H16" i="75"/>
  <c r="H19" i="75"/>
  <c r="H20" i="75"/>
  <c r="H21" i="75"/>
  <c r="H11" i="75"/>
  <c r="H12" i="75"/>
  <c r="H13" i="75"/>
  <c r="H40" i="75"/>
  <c r="H42" i="75" s="1"/>
  <c r="D9" i="84"/>
  <c r="D10" i="84"/>
  <c r="D11" i="84"/>
  <c r="D12" i="84"/>
  <c r="D13" i="84"/>
  <c r="D14" i="84"/>
  <c r="D15" i="84"/>
  <c r="D16" i="84"/>
  <c r="D17" i="84"/>
  <c r="D18" i="84"/>
  <c r="D19" i="84"/>
  <c r="D20" i="84"/>
  <c r="D22" i="84"/>
  <c r="H41" i="75"/>
  <c r="H55" i="75"/>
  <c r="H56" i="75"/>
  <c r="H57" i="75"/>
  <c r="H53" i="75"/>
  <c r="H101" i="75"/>
  <c r="K102" i="2"/>
  <c r="K103" i="2"/>
  <c r="K104" i="2"/>
  <c r="K9" i="2"/>
  <c r="K165" i="2"/>
  <c r="K166" i="2"/>
  <c r="K173" i="2"/>
  <c r="K174" i="2"/>
  <c r="K175" i="2"/>
  <c r="K11" i="2"/>
  <c r="K217" i="2"/>
  <c r="K218" i="2"/>
  <c r="K219" i="2"/>
  <c r="K12" i="2"/>
  <c r="K13" i="2"/>
  <c r="H68" i="75"/>
  <c r="L28" i="2"/>
  <c r="L29" i="2"/>
  <c r="L44" i="2"/>
  <c r="L45" i="2"/>
  <c r="L60" i="2"/>
  <c r="L61" i="2"/>
  <c r="L88" i="2"/>
  <c r="L89" i="2"/>
  <c r="L92" i="2"/>
  <c r="L93" i="2"/>
  <c r="L95" i="2"/>
  <c r="L94" i="2"/>
  <c r="L102" i="2"/>
  <c r="L103" i="2"/>
  <c r="L104" i="2"/>
  <c r="L9" i="2"/>
  <c r="L107" i="2"/>
  <c r="L108" i="2"/>
  <c r="L109" i="2"/>
  <c r="L110" i="2"/>
  <c r="L115" i="2"/>
  <c r="L116" i="2"/>
  <c r="L117" i="2"/>
  <c r="L118" i="2"/>
  <c r="L125" i="2"/>
  <c r="L126" i="2"/>
  <c r="L129" i="2"/>
  <c r="L130" i="2"/>
  <c r="L137" i="2"/>
  <c r="L138" i="2"/>
  <c r="L139" i="2"/>
  <c r="L140" i="2"/>
  <c r="L155" i="2"/>
  <c r="L156" i="2"/>
  <c r="L159" i="2"/>
  <c r="L160" i="2"/>
  <c r="L167" i="2"/>
  <c r="L168" i="2"/>
  <c r="L173" i="2"/>
  <c r="L174" i="2"/>
  <c r="L175" i="2"/>
  <c r="L11" i="2"/>
  <c r="L188" i="2"/>
  <c r="L189" i="2"/>
  <c r="L217" i="2"/>
  <c r="L218" i="2"/>
  <c r="L219" i="2"/>
  <c r="L12" i="2"/>
  <c r="L13" i="2"/>
  <c r="H69" i="75"/>
  <c r="M30" i="2"/>
  <c r="M31" i="2"/>
  <c r="M50" i="2"/>
  <c r="M51" i="2"/>
  <c r="M82" i="2"/>
  <c r="M83" i="2"/>
  <c r="M91" i="2"/>
  <c r="M48" i="2"/>
  <c r="M49" i="2"/>
  <c r="M102" i="2"/>
  <c r="M103" i="2"/>
  <c r="M104" i="2"/>
  <c r="M9" i="2"/>
  <c r="M123" i="2"/>
  <c r="M124" i="2"/>
  <c r="M133" i="2"/>
  <c r="M134" i="2"/>
  <c r="M147" i="2"/>
  <c r="M148" i="2"/>
  <c r="M173" i="2"/>
  <c r="M174" i="2"/>
  <c r="M175" i="2"/>
  <c r="M11" i="2"/>
  <c r="M217" i="2"/>
  <c r="M218" i="2"/>
  <c r="M219" i="2"/>
  <c r="M12" i="2"/>
  <c r="M13" i="2"/>
  <c r="H72" i="75"/>
  <c r="H80" i="75"/>
  <c r="H81" i="75"/>
  <c r="H84" i="75"/>
  <c r="H106" i="75"/>
  <c r="D104" i="88" s="1"/>
  <c r="M104" i="88" s="1"/>
  <c r="H90" i="75"/>
  <c r="H91" i="75"/>
  <c r="C11" i="57"/>
  <c r="H134" i="75"/>
  <c r="H141" i="75" s="1"/>
  <c r="H138" i="75"/>
  <c r="H140" i="75"/>
  <c r="D130" i="88" s="1"/>
  <c r="H146" i="75"/>
  <c r="H150" i="75"/>
  <c r="H152" i="75" s="1"/>
  <c r="H116" i="75"/>
  <c r="P12" i="44"/>
  <c r="H197" i="75"/>
  <c r="H206" i="75" s="1"/>
  <c r="H215" i="75" s="1"/>
  <c r="H200" i="75"/>
  <c r="P48" i="44"/>
  <c r="H202" i="75"/>
  <c r="H205" i="75"/>
  <c r="P20" i="44"/>
  <c r="H198" i="75"/>
  <c r="H209" i="75" s="1"/>
  <c r="H199" i="75"/>
  <c r="H201" i="75"/>
  <c r="H210" i="75" s="1"/>
  <c r="G213" i="88" s="1"/>
  <c r="G134" i="75"/>
  <c r="G141" i="75" s="1"/>
  <c r="G116" i="75"/>
  <c r="H226" i="75"/>
  <c r="H231" i="75"/>
  <c r="D32" i="49"/>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12" i="86"/>
  <c r="C58" i="55"/>
  <c r="D58" i="55"/>
  <c r="E58" i="55"/>
  <c r="F58" i="55"/>
  <c r="G58" i="55"/>
  <c r="H58" i="55"/>
  <c r="A151" i="77"/>
  <c r="D49" i="77"/>
  <c r="D80" i="77"/>
  <c r="E80" i="77"/>
  <c r="E84" i="77"/>
  <c r="D84" i="77"/>
  <c r="D70" i="77"/>
  <c r="E70" i="77"/>
  <c r="D71" i="77"/>
  <c r="E71" i="77"/>
  <c r="D72" i="77"/>
  <c r="E72" i="77"/>
  <c r="D73" i="77"/>
  <c r="E73" i="77"/>
  <c r="E77" i="77"/>
  <c r="D77" i="77"/>
  <c r="D64" i="77"/>
  <c r="E64" i="77"/>
  <c r="E68" i="77"/>
  <c r="D68" i="77"/>
  <c r="E61" i="77"/>
  <c r="D61" i="77"/>
  <c r="D44" i="77"/>
  <c r="E44" i="77"/>
  <c r="D45" i="77"/>
  <c r="E45" i="77"/>
  <c r="D46" i="77"/>
  <c r="E46" i="77"/>
  <c r="D47" i="77"/>
  <c r="E47" i="77"/>
  <c r="D48" i="77"/>
  <c r="E48" i="77"/>
  <c r="E49" i="77"/>
  <c r="E50" i="77"/>
  <c r="E54" i="77"/>
  <c r="D54" i="77"/>
  <c r="F43" i="87"/>
  <c r="G43" i="87"/>
  <c r="A126" i="77"/>
  <c r="A139" i="77"/>
  <c r="A122" i="77"/>
  <c r="A123" i="77"/>
  <c r="A124" i="77"/>
  <c r="A117" i="77"/>
  <c r="A107" i="77"/>
  <c r="A97" i="77"/>
  <c r="A83" i="77"/>
  <c r="A80" i="77"/>
  <c r="A81" i="77"/>
  <c r="A76" i="77"/>
  <c r="A70" i="77"/>
  <c r="A71" i="77"/>
  <c r="A72" i="77"/>
  <c r="A73" i="77"/>
  <c r="A74" i="77"/>
  <c r="A67" i="77"/>
  <c r="A63" i="77"/>
  <c r="A64" i="77"/>
  <c r="A65" i="77"/>
  <c r="A60" i="77"/>
  <c r="A56" i="77"/>
  <c r="A57" i="77"/>
  <c r="A58" i="77"/>
  <c r="A53" i="77"/>
  <c r="A44" i="77"/>
  <c r="A45" i="77"/>
  <c r="A46" i="77"/>
  <c r="A47" i="77"/>
  <c r="A48" i="77"/>
  <c r="A49" i="77"/>
  <c r="A50" i="77"/>
  <c r="A51" i="77"/>
  <c r="A8" i="77"/>
  <c r="A9" i="77"/>
  <c r="A10" i="77"/>
  <c r="A18" i="77"/>
  <c r="A19" i="77"/>
  <c r="A20" i="77"/>
  <c r="A28" i="77"/>
  <c r="A29" i="77"/>
  <c r="A30" i="77"/>
  <c r="A37" i="77"/>
  <c r="A27" i="77"/>
  <c r="A17" i="77"/>
  <c r="A31" i="77"/>
  <c r="A32" i="77"/>
  <c r="A33" i="77"/>
  <c r="A34" i="77"/>
  <c r="A35" i="77"/>
  <c r="A21" i="77"/>
  <c r="A22" i="77"/>
  <c r="A23" i="77"/>
  <c r="A24" i="77"/>
  <c r="A25" i="77"/>
  <c r="A11" i="77"/>
  <c r="A12" i="77"/>
  <c r="A13" i="77"/>
  <c r="A14" i="77"/>
  <c r="A15" i="77"/>
  <c r="A152" i="77"/>
  <c r="A153" i="77"/>
  <c r="A154" i="77"/>
  <c r="A155" i="77"/>
  <c r="A10" i="51"/>
  <c r="A11" i="51"/>
  <c r="A12" i="51"/>
  <c r="A13" i="51"/>
  <c r="A14" i="51"/>
  <c r="B57" i="51"/>
  <c r="O53" i="67"/>
  <c r="O48" i="67"/>
  <c r="O37" i="67"/>
  <c r="O36" i="67"/>
  <c r="O35" i="67"/>
  <c r="O34" i="67"/>
  <c r="O33" i="67"/>
  <c r="O38" i="67" s="1"/>
  <c r="O29" i="67"/>
  <c r="O28" i="67"/>
  <c r="O27" i="67"/>
  <c r="O26" i="67"/>
  <c r="O25" i="67"/>
  <c r="O24" i="67"/>
  <c r="O23" i="67"/>
  <c r="O22" i="67"/>
  <c r="O21" i="67"/>
  <c r="O20" i="67"/>
  <c r="O19" i="67"/>
  <c r="O18" i="67"/>
  <c r="O17" i="67"/>
  <c r="O16" i="67"/>
  <c r="O15" i="67"/>
  <c r="J42" i="62"/>
  <c r="H42" i="62"/>
  <c r="F28" i="62"/>
  <c r="F29" i="62"/>
  <c r="F30" i="62"/>
  <c r="F31" i="62"/>
  <c r="F32" i="62"/>
  <c r="F33" i="62"/>
  <c r="F34" i="62"/>
  <c r="F35" i="62"/>
  <c r="F36" i="62"/>
  <c r="F37" i="62"/>
  <c r="F38" i="62"/>
  <c r="F39" i="62"/>
  <c r="F40" i="62"/>
  <c r="F42" i="62"/>
  <c r="E42" i="62"/>
  <c r="D42" i="62"/>
  <c r="D23" i="62"/>
  <c r="E23" i="62"/>
  <c r="F9" i="62"/>
  <c r="F10" i="62"/>
  <c r="F11" i="62"/>
  <c r="F12" i="62"/>
  <c r="F13" i="62"/>
  <c r="F14" i="62"/>
  <c r="F15" i="62"/>
  <c r="F16" i="62"/>
  <c r="F17" i="62"/>
  <c r="F18" i="62"/>
  <c r="F19" i="62"/>
  <c r="F20" i="62"/>
  <c r="F21" i="62"/>
  <c r="F23" i="62"/>
  <c r="J23" i="62"/>
  <c r="H29" i="78"/>
  <c r="E36" i="49"/>
  <c r="G174" i="75"/>
  <c r="H25" i="78"/>
  <c r="H177" i="75"/>
  <c r="H176" i="75"/>
  <c r="H178" i="75" s="1"/>
  <c r="H182" i="75"/>
  <c r="H174" i="75"/>
  <c r="H165" i="75"/>
  <c r="H166" i="75" s="1"/>
  <c r="F157" i="77"/>
  <c r="F158" i="77"/>
  <c r="F159" i="77"/>
  <c r="O16" i="85"/>
  <c r="O25" i="85"/>
  <c r="F160" i="77"/>
  <c r="F161" i="77"/>
  <c r="H259" i="75"/>
  <c r="H258" i="75"/>
  <c r="H260" i="75" s="1"/>
  <c r="H261" i="75"/>
  <c r="H268" i="75"/>
  <c r="H267" i="75"/>
  <c r="H277" i="75"/>
  <c r="H274" i="75"/>
  <c r="H276" i="75" s="1"/>
  <c r="H275" i="75"/>
  <c r="H281" i="75"/>
  <c r="I228" i="88" s="1"/>
  <c r="H282" i="75"/>
  <c r="H283" i="75"/>
  <c r="O30" i="67"/>
  <c r="I190" i="88"/>
  <c r="D212" i="88"/>
  <c r="D213" i="88"/>
  <c r="D214" i="88"/>
  <c r="A39" i="93"/>
  <c r="A40" i="93"/>
  <c r="A41" i="93"/>
  <c r="A42" i="93"/>
  <c r="A43" i="93"/>
  <c r="A44" i="93"/>
  <c r="A45" i="93"/>
  <c r="A46" i="93"/>
  <c r="A47" i="93"/>
  <c r="A48" i="93"/>
  <c r="A49" i="93"/>
  <c r="A50" i="93"/>
  <c r="A51" i="93"/>
  <c r="I145" i="77"/>
  <c r="I133" i="77"/>
  <c r="A52" i="93"/>
  <c r="A53" i="93"/>
  <c r="A54" i="93"/>
  <c r="A55" i="93"/>
  <c r="A56" i="93"/>
  <c r="A57" i="93"/>
  <c r="A58" i="93"/>
  <c r="I101" i="77"/>
  <c r="I90" i="77"/>
  <c r="I31" i="77"/>
  <c r="A59" i="93"/>
  <c r="I21" i="77"/>
  <c r="I11" i="77"/>
  <c r="A60" i="93"/>
  <c r="A61" i="93"/>
  <c r="A62" i="93"/>
  <c r="A63" i="93"/>
  <c r="A64" i="93"/>
  <c r="A65" i="93"/>
  <c r="F150" i="75"/>
  <c r="D67" i="88"/>
  <c r="M67" i="88"/>
  <c r="M85" i="88" s="1"/>
  <c r="N85" i="88" s="1"/>
  <c r="D76" i="88"/>
  <c r="M76" i="88" s="1"/>
  <c r="N76" i="88" s="1"/>
  <c r="D68" i="88"/>
  <c r="M68" i="88" s="1"/>
  <c r="D70" i="88"/>
  <c r="D198" i="88"/>
  <c r="D199" i="88"/>
  <c r="D79" i="88"/>
  <c r="M107" i="88"/>
  <c r="M64" i="78"/>
  <c r="M62" i="78"/>
  <c r="A10" i="61"/>
  <c r="A11" i="61"/>
  <c r="A12" i="61"/>
  <c r="A13" i="61"/>
  <c r="A14" i="61"/>
  <c r="A15" i="61"/>
  <c r="A16" i="61"/>
  <c r="A17" i="61"/>
  <c r="A18" i="61"/>
  <c r="A19" i="61"/>
  <c r="A20" i="61"/>
  <c r="A21" i="61"/>
  <c r="A22" i="61"/>
  <c r="A23" i="61"/>
  <c r="D32" i="61"/>
  <c r="A11" i="55"/>
  <c r="A12" i="55"/>
  <c r="A13" i="55"/>
  <c r="A14" i="55"/>
  <c r="A15" i="55"/>
  <c r="A16" i="55"/>
  <c r="A17" i="55"/>
  <c r="A18" i="55"/>
  <c r="A19" i="55"/>
  <c r="A20" i="55"/>
  <c r="A21" i="55"/>
  <c r="A22" i="55"/>
  <c r="A23" i="55"/>
  <c r="A24" i="55"/>
  <c r="A25" i="55"/>
  <c r="A26" i="55"/>
  <c r="A27" i="55"/>
  <c r="A28" i="55"/>
  <c r="C10" i="60"/>
  <c r="A7" i="60"/>
  <c r="A16" i="85"/>
  <c r="A24" i="61"/>
  <c r="D85" i="88"/>
  <c r="M21" i="88"/>
  <c r="D21" i="88"/>
  <c r="I21" i="88" s="1"/>
  <c r="D128" i="88"/>
  <c r="D125" i="88"/>
  <c r="D127" i="88"/>
  <c r="M127" i="88" s="1"/>
  <c r="D134" i="88"/>
  <c r="D140" i="88"/>
  <c r="D170" i="88"/>
  <c r="I170" i="88" s="1"/>
  <c r="D173" i="88"/>
  <c r="I173" i="88" s="1"/>
  <c r="I229" i="88"/>
  <c r="I230" i="88"/>
  <c r="I25" i="88"/>
  <c r="I26" i="88"/>
  <c r="M133" i="88"/>
  <c r="M134" i="88"/>
  <c r="M136" i="88"/>
  <c r="M140"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A18" i="74"/>
  <c r="A19" i="74"/>
  <c r="A20" i="74"/>
  <c r="A21" i="74"/>
  <c r="A22" i="74"/>
  <c r="A23" i="74"/>
  <c r="A8" i="67"/>
  <c r="A9" i="67"/>
  <c r="A10" i="67"/>
  <c r="A11" i="67"/>
  <c r="A12" i="67"/>
  <c r="A13" i="67"/>
  <c r="A14" i="67"/>
  <c r="A30" i="67"/>
  <c r="A31" i="67"/>
  <c r="A32" i="67"/>
  <c r="A38" i="67"/>
  <c r="A39" i="67"/>
  <c r="A40" i="67"/>
  <c r="A41" i="67"/>
  <c r="A42" i="67"/>
  <c r="A15" i="67"/>
  <c r="A16" i="67"/>
  <c r="A17" i="67"/>
  <c r="A18" i="67"/>
  <c r="A19" i="67"/>
  <c r="A20" i="67"/>
  <c r="A21" i="67"/>
  <c r="A22" i="67"/>
  <c r="A23" i="67"/>
  <c r="A24" i="67"/>
  <c r="A25" i="67"/>
  <c r="A26" i="67"/>
  <c r="A27" i="67"/>
  <c r="A33" i="67"/>
  <c r="A34" i="67"/>
  <c r="A35" i="67"/>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P20" i="85"/>
  <c r="P21" i="85"/>
  <c r="P22" i="85"/>
  <c r="A17" i="85"/>
  <c r="A18" i="85"/>
  <c r="A19" i="85"/>
  <c r="A20" i="85"/>
  <c r="A8" i="85"/>
  <c r="A9" i="85"/>
  <c r="A10" i="85"/>
  <c r="A11" i="85"/>
  <c r="A12" i="85"/>
  <c r="A13" i="85"/>
  <c r="A7" i="86"/>
  <c r="A8" i="86"/>
  <c r="A9" i="86"/>
  <c r="A10" i="86"/>
  <c r="A11" i="86"/>
  <c r="A12" i="86"/>
  <c r="A13" i="86"/>
  <c r="A14" i="86"/>
  <c r="A15" i="86"/>
  <c r="A16" i="86"/>
  <c r="A17" i="86"/>
  <c r="A18" i="86"/>
  <c r="A19" i="86"/>
  <c r="A20" i="86"/>
  <c r="A21" i="86"/>
  <c r="A22" i="86"/>
  <c r="A23" i="86"/>
  <c r="A24" i="86"/>
  <c r="A25" i="86"/>
  <c r="A26" i="86"/>
  <c r="A27" i="86"/>
  <c r="A28" i="86"/>
  <c r="A29" i="86"/>
  <c r="A30" i="86"/>
  <c r="A31" i="86"/>
  <c r="A32" i="86"/>
  <c r="A33" i="86"/>
  <c r="A34" i="86"/>
  <c r="A35" i="86"/>
  <c r="A36" i="86"/>
  <c r="A37" i="86"/>
  <c r="A38" i="86"/>
  <c r="A39" i="86"/>
  <c r="A40" i="86"/>
  <c r="A41" i="86"/>
  <c r="A42" i="86"/>
  <c r="A43" i="86"/>
  <c r="A44" i="86"/>
  <c r="A45" i="86"/>
  <c r="A46" i="86"/>
  <c r="A47" i="86"/>
  <c r="A48" i="86"/>
  <c r="A49" i="86"/>
  <c r="A50" i="86"/>
  <c r="A51" i="86"/>
  <c r="A52" i="86"/>
  <c r="A53" i="86"/>
  <c r="A54" i="86"/>
  <c r="A55" i="86"/>
  <c r="A56" i="86"/>
  <c r="A57" i="86"/>
  <c r="A58" i="86"/>
  <c r="A59" i="86"/>
  <c r="A60" i="86"/>
  <c r="A61" i="86"/>
  <c r="A62" i="86"/>
  <c r="A63" i="86"/>
  <c r="A64" i="86"/>
  <c r="A65" i="86"/>
  <c r="A66" i="86"/>
  <c r="A67" i="86"/>
  <c r="A68" i="86"/>
  <c r="A69" i="86"/>
  <c r="A70" i="86"/>
  <c r="A71" i="86"/>
  <c r="A72" i="86"/>
  <c r="A73" i="86"/>
  <c r="A74" i="86"/>
  <c r="A75" i="86"/>
  <c r="A76" i="86"/>
  <c r="A77" i="86"/>
  <c r="A78" i="86"/>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B47" i="73"/>
  <c r="C47" i="73"/>
  <c r="A39" i="73"/>
  <c r="A40" i="73"/>
  <c r="A41" i="73"/>
  <c r="A42" i="73"/>
  <c r="A43" i="73"/>
  <c r="A44" i="73"/>
  <c r="A45" i="73"/>
  <c r="A46" i="73"/>
  <c r="A47" i="73"/>
  <c r="A48" i="73"/>
  <c r="A15" i="73"/>
  <c r="A16" i="73"/>
  <c r="A17" i="73"/>
  <c r="A18" i="73"/>
  <c r="A19" i="73"/>
  <c r="A20" i="73"/>
  <c r="A21" i="73"/>
  <c r="A22" i="73"/>
  <c r="A23" i="73"/>
  <c r="A24" i="73"/>
  <c r="J212" i="2"/>
  <c r="F212" i="2"/>
  <c r="J97" i="2"/>
  <c r="F97" i="2"/>
  <c r="A36" i="95"/>
  <c r="A37" i="95"/>
  <c r="A38" i="95"/>
  <c r="A39" i="95"/>
  <c r="A40" i="95"/>
  <c r="A41" i="95"/>
  <c r="A42" i="95"/>
  <c r="I94" i="77"/>
  <c r="A3" i="95"/>
  <c r="A1" i="95"/>
  <c r="D46" i="95"/>
  <c r="D47" i="95"/>
  <c r="D48" i="95"/>
  <c r="D49" i="95"/>
  <c r="D50" i="95"/>
  <c r="D52" i="95"/>
  <c r="D53" i="95"/>
  <c r="D54" i="95"/>
  <c r="D58" i="95"/>
  <c r="A43" i="95"/>
  <c r="A44" i="95"/>
  <c r="A45" i="95"/>
  <c r="A46" i="95"/>
  <c r="A47" i="95"/>
  <c r="A48" i="95"/>
  <c r="A49" i="95"/>
  <c r="A50" i="95"/>
  <c r="A51" i="95"/>
  <c r="A52" i="95"/>
  <c r="A53" i="95"/>
  <c r="A54" i="95"/>
  <c r="A55" i="95"/>
  <c r="A56" i="95"/>
  <c r="A57" i="95"/>
  <c r="A58" i="95"/>
  <c r="C46" i="95"/>
  <c r="E46" i="95"/>
  <c r="C47" i="95"/>
  <c r="E47" i="95"/>
  <c r="C48" i="95"/>
  <c r="E48" i="95"/>
  <c r="C49" i="95"/>
  <c r="E49" i="95"/>
  <c r="C50" i="95"/>
  <c r="E50" i="95"/>
  <c r="E51" i="95"/>
  <c r="C52" i="95"/>
  <c r="E52" i="95"/>
  <c r="C53" i="95"/>
  <c r="E53" i="95"/>
  <c r="C54" i="95"/>
  <c r="E54" i="95"/>
  <c r="C55" i="95"/>
  <c r="D55" i="95"/>
  <c r="E55" i="95"/>
  <c r="E56" i="95"/>
  <c r="D56" i="95"/>
  <c r="C56" i="95"/>
  <c r="B56" i="95"/>
  <c r="C43" i="95"/>
  <c r="D43" i="95"/>
  <c r="E43" i="95"/>
  <c r="E41" i="95"/>
  <c r="E40" i="95"/>
  <c r="E39" i="95"/>
  <c r="E8" i="95"/>
  <c r="E9" i="95"/>
  <c r="E10" i="95"/>
  <c r="E11" i="95"/>
  <c r="E12" i="95"/>
  <c r="E13" i="95"/>
  <c r="E14" i="95"/>
  <c r="E15" i="95"/>
  <c r="E16" i="95"/>
  <c r="E17" i="95"/>
  <c r="E18" i="95"/>
  <c r="E19" i="95"/>
  <c r="E20" i="95"/>
  <c r="E21" i="95"/>
  <c r="E22" i="95"/>
  <c r="E23" i="95"/>
  <c r="E24" i="95"/>
  <c r="E25" i="95"/>
  <c r="E26" i="95"/>
  <c r="E27" i="95"/>
  <c r="E28" i="95"/>
  <c r="E29" i="95"/>
  <c r="E30" i="95"/>
  <c r="E31" i="95"/>
  <c r="E32" i="95"/>
  <c r="E33" i="95"/>
  <c r="E34" i="95"/>
  <c r="E35" i="95"/>
  <c r="E36" i="95"/>
  <c r="D36" i="95"/>
  <c r="C36" i="95"/>
  <c r="A8" i="95"/>
  <c r="A9" i="95"/>
  <c r="A10" i="95"/>
  <c r="A11" i="95"/>
  <c r="A12" i="95"/>
  <c r="A13" i="95"/>
  <c r="A14" i="95"/>
  <c r="A15" i="95"/>
  <c r="A16" i="95"/>
  <c r="A17" i="95"/>
  <c r="A18" i="95"/>
  <c r="A19" i="95"/>
  <c r="A20" i="95"/>
  <c r="A21" i="95"/>
  <c r="A22" i="95"/>
  <c r="A23" i="95"/>
  <c r="A24" i="95"/>
  <c r="A25" i="95"/>
  <c r="A26" i="95"/>
  <c r="A27" i="95"/>
  <c r="A28" i="95"/>
  <c r="A29" i="95"/>
  <c r="A30" i="95"/>
  <c r="A31" i="95"/>
  <c r="A32" i="95"/>
  <c r="A33" i="95"/>
  <c r="A34" i="95"/>
  <c r="A35" i="95"/>
  <c r="A57" i="51"/>
  <c r="B58" i="51"/>
  <c r="A58" i="51"/>
  <c r="K69" i="55"/>
  <c r="I61" i="55"/>
  <c r="I58" i="55"/>
  <c r="J208" i="2"/>
  <c r="J209" i="2"/>
  <c r="J218" i="2"/>
  <c r="F208" i="2"/>
  <c r="F209" i="2"/>
  <c r="F218" i="2"/>
  <c r="E218" i="2"/>
  <c r="D218" i="2"/>
  <c r="J211" i="2"/>
  <c r="F211" i="2"/>
  <c r="J210" i="2"/>
  <c r="F210" i="2"/>
  <c r="J207" i="2"/>
  <c r="F207" i="2"/>
  <c r="J206" i="2"/>
  <c r="F206" i="2"/>
  <c r="J203" i="2"/>
  <c r="F203" i="2"/>
  <c r="J202" i="2"/>
  <c r="F202" i="2"/>
  <c r="J201" i="2"/>
  <c r="F201" i="2"/>
  <c r="J200" i="2"/>
  <c r="F200" i="2"/>
  <c r="J199" i="2"/>
  <c r="F199" i="2"/>
  <c r="J198" i="2"/>
  <c r="F198" i="2"/>
  <c r="J197" i="2"/>
  <c r="F197" i="2"/>
  <c r="J196" i="2"/>
  <c r="F196" i="2"/>
  <c r="J195" i="2"/>
  <c r="F195" i="2"/>
  <c r="J194" i="2"/>
  <c r="F194" i="2"/>
  <c r="J191" i="2"/>
  <c r="F191" i="2"/>
  <c r="J190" i="2"/>
  <c r="F190" i="2"/>
  <c r="J187" i="2"/>
  <c r="F187" i="2"/>
  <c r="J186" i="2"/>
  <c r="F186" i="2"/>
  <c r="J185" i="2"/>
  <c r="F185" i="2"/>
  <c r="J184" i="2"/>
  <c r="F184" i="2"/>
  <c r="J183" i="2"/>
  <c r="F183" i="2"/>
  <c r="J182" i="2"/>
  <c r="F182" i="2"/>
  <c r="J179" i="2"/>
  <c r="F179" i="2"/>
  <c r="J178" i="2"/>
  <c r="F178" i="2"/>
  <c r="J157" i="2"/>
  <c r="J158" i="2"/>
  <c r="J174" i="2"/>
  <c r="F157" i="2"/>
  <c r="F158" i="2"/>
  <c r="F174" i="2"/>
  <c r="E174" i="2"/>
  <c r="J111" i="2"/>
  <c r="J112" i="2"/>
  <c r="J113" i="2"/>
  <c r="J114" i="2"/>
  <c r="J119" i="2"/>
  <c r="J120" i="2"/>
  <c r="J121" i="2"/>
  <c r="J122" i="2"/>
  <c r="J127" i="2"/>
  <c r="J128" i="2"/>
  <c r="J131" i="2"/>
  <c r="J132" i="2"/>
  <c r="J135" i="2"/>
  <c r="J136" i="2"/>
  <c r="J141" i="2"/>
  <c r="J142" i="2"/>
  <c r="J143" i="2"/>
  <c r="J144" i="2"/>
  <c r="J145" i="2"/>
  <c r="J146" i="2"/>
  <c r="J149" i="2"/>
  <c r="J150" i="2"/>
  <c r="J151" i="2"/>
  <c r="J152" i="2"/>
  <c r="J153" i="2"/>
  <c r="J154" i="2"/>
  <c r="J161" i="2"/>
  <c r="J162" i="2"/>
  <c r="J163" i="2"/>
  <c r="J164" i="2"/>
  <c r="J173" i="2"/>
  <c r="F111" i="2"/>
  <c r="F112" i="2"/>
  <c r="F113" i="2"/>
  <c r="F114" i="2"/>
  <c r="F119" i="2"/>
  <c r="F120" i="2"/>
  <c r="F121" i="2"/>
  <c r="F122" i="2"/>
  <c r="F127" i="2"/>
  <c r="F128" i="2"/>
  <c r="F131" i="2"/>
  <c r="F132" i="2"/>
  <c r="F135" i="2"/>
  <c r="F136" i="2"/>
  <c r="F141" i="2"/>
  <c r="F142" i="2"/>
  <c r="F143" i="2"/>
  <c r="F144" i="2"/>
  <c r="F145" i="2"/>
  <c r="F146" i="2"/>
  <c r="F149" i="2"/>
  <c r="F150" i="2"/>
  <c r="F151" i="2"/>
  <c r="F152" i="2"/>
  <c r="F153" i="2"/>
  <c r="F154" i="2"/>
  <c r="F161" i="2"/>
  <c r="F162" i="2"/>
  <c r="F163" i="2"/>
  <c r="F164" i="2"/>
  <c r="F173" i="2"/>
  <c r="E173" i="2"/>
  <c r="D173" i="2"/>
  <c r="J86" i="2"/>
  <c r="J87" i="2"/>
  <c r="J103" i="2"/>
  <c r="F86" i="2"/>
  <c r="F87" i="2"/>
  <c r="F103" i="2"/>
  <c r="E103" i="2"/>
  <c r="D103" i="2"/>
  <c r="F18" i="2"/>
  <c r="F19" i="2"/>
  <c r="F20" i="2"/>
  <c r="F21" i="2"/>
  <c r="F22" i="2"/>
  <c r="F23" i="2"/>
  <c r="F24" i="2"/>
  <c r="F25" i="2"/>
  <c r="F32" i="2"/>
  <c r="F33" i="2"/>
  <c r="F34" i="2"/>
  <c r="F35" i="2"/>
  <c r="F36" i="2"/>
  <c r="F37" i="2"/>
  <c r="F38" i="2"/>
  <c r="F39" i="2"/>
  <c r="F40" i="2"/>
  <c r="F41" i="2"/>
  <c r="F42" i="2"/>
  <c r="F43" i="2"/>
  <c r="F46" i="2"/>
  <c r="F47" i="2"/>
  <c r="F52" i="2"/>
  <c r="F53" i="2"/>
  <c r="F54" i="2"/>
  <c r="F55" i="2"/>
  <c r="F56" i="2"/>
  <c r="F57" i="2"/>
  <c r="F58" i="2"/>
  <c r="F59" i="2"/>
  <c r="F62" i="2"/>
  <c r="F63" i="2"/>
  <c r="F64" i="2"/>
  <c r="F65" i="2"/>
  <c r="F66" i="2"/>
  <c r="F67" i="2"/>
  <c r="F68" i="2"/>
  <c r="F69" i="2"/>
  <c r="F70" i="2"/>
  <c r="F71" i="2"/>
  <c r="F72" i="2"/>
  <c r="F73" i="2"/>
  <c r="F74" i="2"/>
  <c r="F75" i="2"/>
  <c r="F78" i="2"/>
  <c r="F79" i="2"/>
  <c r="F80" i="2"/>
  <c r="F81" i="2"/>
  <c r="F84" i="2"/>
  <c r="F85" i="2"/>
  <c r="F90" i="2"/>
  <c r="F96" i="2"/>
  <c r="F102" i="2"/>
  <c r="E102" i="2"/>
  <c r="D102" i="2"/>
  <c r="J96" i="2"/>
  <c r="J90" i="2"/>
  <c r="J85" i="2"/>
  <c r="J84" i="2"/>
  <c r="J81" i="2"/>
  <c r="J80" i="2"/>
  <c r="J79" i="2"/>
  <c r="J78" i="2"/>
  <c r="J75" i="2"/>
  <c r="J74" i="2"/>
  <c r="J73" i="2"/>
  <c r="J72" i="2"/>
  <c r="J71" i="2"/>
  <c r="J70" i="2"/>
  <c r="J69" i="2"/>
  <c r="J68" i="2"/>
  <c r="J67" i="2"/>
  <c r="J66" i="2"/>
  <c r="J65" i="2"/>
  <c r="J64" i="2"/>
  <c r="J63" i="2"/>
  <c r="J62" i="2"/>
  <c r="J59" i="2"/>
  <c r="J58" i="2"/>
  <c r="J57" i="2"/>
  <c r="J56" i="2"/>
  <c r="J55" i="2"/>
  <c r="J54" i="2"/>
  <c r="J53" i="2"/>
  <c r="J52" i="2"/>
  <c r="J47" i="2"/>
  <c r="J46" i="2"/>
  <c r="J43" i="2"/>
  <c r="J42" i="2"/>
  <c r="J41" i="2"/>
  <c r="J40" i="2"/>
  <c r="J39" i="2"/>
  <c r="J38" i="2"/>
  <c r="J37" i="2"/>
  <c r="J36" i="2"/>
  <c r="J35" i="2"/>
  <c r="J34" i="2"/>
  <c r="J33" i="2"/>
  <c r="J32" i="2"/>
  <c r="J25" i="2"/>
  <c r="J24" i="2"/>
  <c r="J23" i="2"/>
  <c r="J22" i="2"/>
  <c r="J21" i="2"/>
  <c r="J20" i="2"/>
  <c r="J19" i="2"/>
  <c r="J18" i="2"/>
  <c r="D30" i="49"/>
  <c r="A36" i="49"/>
  <c r="A37" i="49"/>
  <c r="A38" i="49"/>
  <c r="B30" i="49"/>
  <c r="B29" i="49"/>
  <c r="B28" i="49"/>
  <c r="B27" i="49"/>
  <c r="B26" i="49"/>
  <c r="B25" i="49"/>
  <c r="D24" i="49"/>
  <c r="D23" i="49"/>
  <c r="D21" i="49"/>
  <c r="D19" i="49"/>
  <c r="D18" i="49"/>
  <c r="D17" i="49"/>
  <c r="D16" i="49"/>
  <c r="D15" i="49"/>
  <c r="D12" i="49"/>
  <c r="D8" i="49"/>
  <c r="G15" i="51"/>
  <c r="G16" i="51"/>
  <c r="G17" i="51"/>
  <c r="G18" i="51"/>
  <c r="G19" i="51"/>
  <c r="G20" i="51"/>
  <c r="G21" i="51"/>
  <c r="G22" i="51"/>
  <c r="G23" i="51"/>
  <c r="G27" i="51"/>
  <c r="G28" i="51"/>
  <c r="G29" i="51"/>
  <c r="G33" i="51"/>
  <c r="G34" i="51"/>
  <c r="G35" i="51"/>
  <c r="G37" i="51"/>
  <c r="G42" i="51"/>
  <c r="G43" i="51"/>
  <c r="G44" i="51"/>
  <c r="G46" i="51"/>
  <c r="G47" i="51"/>
  <c r="G48" i="51"/>
  <c r="G50" i="51"/>
  <c r="G51" i="51"/>
  <c r="G57" i="51"/>
  <c r="G10" i="51"/>
  <c r="G58" i="51"/>
  <c r="F58" i="51"/>
  <c r="D58" i="51"/>
  <c r="C57" i="51"/>
  <c r="C10" i="51"/>
  <c r="C58" i="51"/>
  <c r="I10" i="51"/>
  <c r="H10" i="51"/>
  <c r="A45" i="67"/>
  <c r="A46" i="67"/>
  <c r="A47" i="67"/>
  <c r="A48" i="67"/>
  <c r="A49" i="67"/>
  <c r="A50" i="67"/>
  <c r="A51" i="67"/>
  <c r="A52" i="67"/>
  <c r="A53" i="67"/>
  <c r="B62" i="67"/>
  <c r="B61" i="67"/>
  <c r="B59" i="67"/>
  <c r="A54" i="67"/>
  <c r="A55" i="67"/>
  <c r="B52" i="67"/>
  <c r="B51" i="67"/>
  <c r="B45" i="67"/>
  <c r="B38" i="67"/>
  <c r="B32" i="67"/>
  <c r="B30" i="67"/>
  <c r="K58" i="55"/>
  <c r="K59" i="55"/>
  <c r="K60" i="55"/>
  <c r="K62" i="55"/>
  <c r="D65" i="55"/>
  <c r="E65" i="55"/>
  <c r="F65" i="55"/>
  <c r="G65" i="55"/>
  <c r="I65" i="55"/>
  <c r="J65" i="55"/>
  <c r="K11" i="55"/>
  <c r="K12" i="55"/>
  <c r="K13" i="55"/>
  <c r="K14" i="55"/>
  <c r="K65" i="55"/>
  <c r="D66" i="55"/>
  <c r="E66" i="55"/>
  <c r="F66" i="55"/>
  <c r="G66" i="55"/>
  <c r="I66" i="55"/>
  <c r="J66" i="55"/>
  <c r="D67" i="55"/>
  <c r="E67" i="55"/>
  <c r="F67" i="55"/>
  <c r="G67" i="55"/>
  <c r="I67" i="55"/>
  <c r="J67" i="55"/>
  <c r="D68" i="55"/>
  <c r="E68" i="55"/>
  <c r="F68" i="55"/>
  <c r="G68" i="55"/>
  <c r="I68" i="55"/>
  <c r="J68" i="55"/>
  <c r="K17" i="55"/>
  <c r="K18" i="55"/>
  <c r="K19" i="55"/>
  <c r="K20" i="55"/>
  <c r="K21" i="55"/>
  <c r="K22" i="55"/>
  <c r="K68" i="55"/>
  <c r="D69" i="55"/>
  <c r="E69" i="55"/>
  <c r="F69" i="55"/>
  <c r="G69" i="55"/>
  <c r="I69" i="55"/>
  <c r="J69" i="55"/>
  <c r="D70" i="55"/>
  <c r="E70" i="55"/>
  <c r="F70" i="55"/>
  <c r="G70" i="55"/>
  <c r="I70" i="55"/>
  <c r="J70" i="55"/>
  <c r="K36" i="55"/>
  <c r="K70" i="55"/>
  <c r="D72" i="55"/>
  <c r="E72" i="55"/>
  <c r="F72" i="55"/>
  <c r="G72" i="55"/>
  <c r="I72" i="55"/>
  <c r="J72" i="55"/>
  <c r="K37" i="55"/>
  <c r="K38" i="55"/>
  <c r="K72" i="55"/>
  <c r="D73" i="55"/>
  <c r="E73" i="55"/>
  <c r="F73" i="55"/>
  <c r="G73" i="55"/>
  <c r="I73" i="55"/>
  <c r="J73" i="55"/>
  <c r="K39" i="55"/>
  <c r="K40" i="55"/>
  <c r="K73" i="55"/>
  <c r="D74" i="55"/>
  <c r="E74" i="55"/>
  <c r="F74" i="55"/>
  <c r="G74" i="55"/>
  <c r="I74" i="55"/>
  <c r="J74" i="55"/>
  <c r="D75" i="55"/>
  <c r="E75" i="55"/>
  <c r="F75" i="55"/>
  <c r="G75" i="55"/>
  <c r="I75" i="55"/>
  <c r="J75" i="55"/>
  <c r="K75" i="55"/>
  <c r="C74" i="55"/>
  <c r="C73" i="55"/>
  <c r="C72" i="55"/>
  <c r="C70" i="55"/>
  <c r="C69" i="55"/>
  <c r="C68" i="55"/>
  <c r="D59" i="55"/>
  <c r="D60" i="55"/>
  <c r="D61" i="55"/>
  <c r="D62" i="55"/>
  <c r="C59" i="55"/>
  <c r="E59" i="55"/>
  <c r="E60" i="55"/>
  <c r="C61" i="55"/>
  <c r="E61" i="55"/>
  <c r="E62" i="55"/>
  <c r="F59" i="55"/>
  <c r="F60" i="55"/>
  <c r="F61" i="55"/>
  <c r="F62" i="55"/>
  <c r="G59" i="55"/>
  <c r="G60" i="55"/>
  <c r="G61" i="55"/>
  <c r="G62" i="55"/>
  <c r="H59" i="55"/>
  <c r="H60" i="55"/>
  <c r="H62" i="55"/>
  <c r="I59" i="55"/>
  <c r="I60" i="55"/>
  <c r="I62" i="55"/>
  <c r="J58" i="55"/>
  <c r="J59" i="55"/>
  <c r="J60" i="55"/>
  <c r="J61" i="55"/>
  <c r="J62" i="55"/>
  <c r="H55" i="55"/>
  <c r="I55" i="55"/>
  <c r="J55" i="55"/>
  <c r="K55" i="55"/>
  <c r="F27" i="56"/>
  <c r="F26" i="56"/>
  <c r="F19" i="56"/>
  <c r="F18" i="56"/>
  <c r="F17" i="56"/>
  <c r="F16" i="56"/>
  <c r="F15" i="56"/>
  <c r="F14" i="56"/>
  <c r="F13" i="56"/>
  <c r="F12" i="56"/>
  <c r="F9" i="56"/>
  <c r="F8" i="56"/>
  <c r="C50" i="87"/>
  <c r="D50" i="87"/>
  <c r="E50" i="87"/>
  <c r="F50" i="87"/>
  <c r="G50" i="87"/>
  <c r="F49" i="87"/>
  <c r="G49" i="87"/>
  <c r="C48" i="87"/>
  <c r="D48" i="87"/>
  <c r="E48" i="87"/>
  <c r="F48" i="87"/>
  <c r="G48" i="87"/>
  <c r="F47" i="87"/>
  <c r="G47" i="87"/>
  <c r="C46" i="87"/>
  <c r="D46" i="87"/>
  <c r="E46" i="87"/>
  <c r="F46" i="87"/>
  <c r="G46" i="87"/>
  <c r="C45" i="87"/>
  <c r="D45" i="87"/>
  <c r="E45" i="87"/>
  <c r="F45" i="87"/>
  <c r="G45" i="87"/>
  <c r="C42" i="87"/>
  <c r="D42" i="87"/>
  <c r="E42" i="87"/>
  <c r="F42" i="87"/>
  <c r="G42" i="87"/>
  <c r="D61" i="93"/>
  <c r="B61" i="93"/>
  <c r="C45" i="93"/>
  <c r="D44" i="93"/>
  <c r="D46" i="93"/>
  <c r="D39" i="93"/>
  <c r="C53" i="93"/>
  <c r="C58" i="93"/>
  <c r="C59" i="93"/>
  <c r="C44" i="93"/>
  <c r="C46" i="93"/>
  <c r="C39" i="93"/>
  <c r="F54" i="87"/>
  <c r="F52" i="87"/>
  <c r="F9" i="87"/>
  <c r="F10" i="87"/>
  <c r="F11" i="87"/>
  <c r="F12" i="87"/>
  <c r="F13" i="87"/>
  <c r="F14" i="87"/>
  <c r="F15" i="87"/>
  <c r="F16" i="87"/>
  <c r="F17" i="87"/>
  <c r="F18" i="87"/>
  <c r="F19" i="87"/>
  <c r="F20" i="87"/>
  <c r="F21" i="87"/>
  <c r="F22" i="87"/>
  <c r="F23" i="87"/>
  <c r="F24" i="87"/>
  <c r="F25" i="87"/>
  <c r="F26" i="87"/>
  <c r="F27" i="87"/>
  <c r="F28" i="87"/>
  <c r="F29" i="87"/>
  <c r="F30" i="87"/>
  <c r="F31" i="87"/>
  <c r="F32" i="87"/>
  <c r="F37" i="87"/>
  <c r="F39" i="87"/>
  <c r="G31" i="87"/>
  <c r="G30" i="87"/>
  <c r="G29" i="87"/>
  <c r="G28" i="87"/>
  <c r="G27" i="87"/>
  <c r="G26" i="87"/>
  <c r="G25" i="87"/>
  <c r="G24" i="87"/>
  <c r="G23" i="87"/>
  <c r="G22" i="87"/>
  <c r="G21" i="87"/>
  <c r="G20" i="87"/>
  <c r="G19" i="87"/>
  <c r="G18" i="87"/>
  <c r="G17" i="87"/>
  <c r="G16" i="87"/>
  <c r="G15" i="87"/>
  <c r="G14" i="87"/>
  <c r="G13" i="87"/>
  <c r="G12" i="87"/>
  <c r="G11" i="87"/>
  <c r="G10" i="87"/>
  <c r="G9" i="87"/>
  <c r="D52" i="87"/>
  <c r="D39" i="87"/>
  <c r="D32" i="87"/>
  <c r="A127" i="88"/>
  <c r="A128" i="88" s="1"/>
  <c r="B10" i="60"/>
  <c r="A10" i="60"/>
  <c r="I38" i="77"/>
  <c r="I28" i="77"/>
  <c r="I18" i="77"/>
  <c r="G227" i="75"/>
  <c r="I85" i="77"/>
  <c r="A8" i="44"/>
  <c r="A9" i="44"/>
  <c r="A10" i="44"/>
  <c r="A11" i="44"/>
  <c r="A12" i="44"/>
  <c r="A13" i="44"/>
  <c r="A14" i="44"/>
  <c r="A15" i="44"/>
  <c r="A16" i="44"/>
  <c r="A17" i="44"/>
  <c r="A18" i="44"/>
  <c r="A19" i="44"/>
  <c r="A20" i="44"/>
  <c r="A21" i="44"/>
  <c r="A22" i="44"/>
  <c r="A23" i="44"/>
  <c r="A24" i="44"/>
  <c r="A25" i="44"/>
  <c r="A26" i="44"/>
  <c r="A27" i="44"/>
  <c r="A28" i="44"/>
  <c r="A29" i="44"/>
  <c r="C30" i="44"/>
  <c r="C20" i="44"/>
  <c r="E12" i="44"/>
  <c r="E20" i="44"/>
  <c r="F12" i="44"/>
  <c r="F20" i="44"/>
  <c r="G12" i="44"/>
  <c r="G20" i="44"/>
  <c r="H12" i="44"/>
  <c r="H20" i="44"/>
  <c r="I12" i="44"/>
  <c r="I20" i="44"/>
  <c r="J12" i="44"/>
  <c r="J20" i="44"/>
  <c r="K12" i="44"/>
  <c r="K20" i="44"/>
  <c r="L12" i="44"/>
  <c r="L20" i="44"/>
  <c r="M12" i="44"/>
  <c r="M20" i="44"/>
  <c r="N12" i="44"/>
  <c r="N20" i="44"/>
  <c r="O12" i="44"/>
  <c r="O20" i="44"/>
  <c r="D12" i="44"/>
  <c r="D20" i="44"/>
  <c r="A32" i="87"/>
  <c r="A33" i="87"/>
  <c r="A34" i="87"/>
  <c r="A35" i="87"/>
  <c r="A36" i="87"/>
  <c r="A37" i="87"/>
  <c r="A38" i="87"/>
  <c r="B39" i="87"/>
  <c r="A39" i="87"/>
  <c r="A40" i="87"/>
  <c r="A41" i="87"/>
  <c r="A42" i="87"/>
  <c r="A43" i="87"/>
  <c r="A44" i="87"/>
  <c r="A45" i="87"/>
  <c r="A46" i="87"/>
  <c r="A47" i="87"/>
  <c r="A48" i="87"/>
  <c r="A49" i="87"/>
  <c r="A50" i="87"/>
  <c r="A51" i="87"/>
  <c r="B52" i="87"/>
  <c r="A8" i="56"/>
  <c r="A9" i="56"/>
  <c r="A10" i="56"/>
  <c r="A11" i="56"/>
  <c r="A12" i="56"/>
  <c r="A13" i="56"/>
  <c r="A14" i="56"/>
  <c r="A15" i="56"/>
  <c r="A16" i="56"/>
  <c r="A17" i="56"/>
  <c r="A18" i="56"/>
  <c r="A19" i="56"/>
  <c r="A20" i="56"/>
  <c r="A21" i="56"/>
  <c r="A22" i="56"/>
  <c r="A23" i="56"/>
  <c r="A24" i="56"/>
  <c r="A25" i="56"/>
  <c r="A26" i="56"/>
  <c r="A27" i="56"/>
  <c r="A28" i="56"/>
  <c r="A29" i="56"/>
  <c r="A30" i="56"/>
  <c r="E151" i="75"/>
  <c r="E147" i="75"/>
  <c r="E146" i="75"/>
  <c r="E138" i="75"/>
  <c r="A10" i="57"/>
  <c r="A11" i="57"/>
  <c r="A30" i="44"/>
  <c r="A31" i="44"/>
  <c r="A32" i="44"/>
  <c r="A33" i="44"/>
  <c r="A34" i="44"/>
  <c r="A35" i="44"/>
  <c r="A36" i="44"/>
  <c r="A37" i="44"/>
  <c r="A38" i="44"/>
  <c r="A39" i="44"/>
  <c r="A40" i="44"/>
  <c r="A41" i="44"/>
  <c r="A42" i="44"/>
  <c r="A43" i="44"/>
  <c r="A44" i="44"/>
  <c r="A45" i="44"/>
  <c r="A46" i="44"/>
  <c r="A47" i="44"/>
  <c r="A48" i="44"/>
  <c r="F202" i="75"/>
  <c r="F200" i="75"/>
  <c r="F198" i="75"/>
  <c r="F197" i="75"/>
  <c r="A7" i="62"/>
  <c r="A8" i="62"/>
  <c r="A9" i="62"/>
  <c r="A10" i="62"/>
  <c r="A11" i="62"/>
  <c r="A12" i="62"/>
  <c r="A13" i="62"/>
  <c r="A14" i="62"/>
  <c r="A15" i="62"/>
  <c r="A16" i="62"/>
  <c r="A17" i="62"/>
  <c r="A18" i="62"/>
  <c r="A19" i="62"/>
  <c r="A20" i="62"/>
  <c r="A21" i="62"/>
  <c r="A22" i="62"/>
  <c r="A23" i="62"/>
  <c r="F27" i="75"/>
  <c r="E28" i="75"/>
  <c r="E27" i="75"/>
  <c r="A24" i="62"/>
  <c r="A25" i="62"/>
  <c r="A26" i="62"/>
  <c r="A27" i="62"/>
  <c r="A28" i="62"/>
  <c r="A29" i="62"/>
  <c r="A30" i="62"/>
  <c r="A31" i="62"/>
  <c r="A32" i="62"/>
  <c r="A33" i="62"/>
  <c r="A34" i="62"/>
  <c r="A35" i="62"/>
  <c r="A36" i="62"/>
  <c r="A37" i="62"/>
  <c r="A38" i="62"/>
  <c r="A39" i="62"/>
  <c r="A40" i="62"/>
  <c r="A41" i="62"/>
  <c r="A42" i="62"/>
  <c r="F28" i="75"/>
  <c r="A213" i="88"/>
  <c r="A214" i="88" s="1"/>
  <c r="B59" i="93"/>
  <c r="A199" i="88"/>
  <c r="A200" i="88"/>
  <c r="A201" i="88" s="1"/>
  <c r="A202" i="88" s="1"/>
  <c r="A205" i="88" s="1"/>
  <c r="A67" i="88"/>
  <c r="A69" i="88"/>
  <c r="A70" i="88" s="1"/>
  <c r="A32" i="88"/>
  <c r="C28" i="88"/>
  <c r="A15" i="88"/>
  <c r="A16" i="88"/>
  <c r="A17" i="88" s="1"/>
  <c r="A18" i="88" s="1"/>
  <c r="A55" i="55"/>
  <c r="A56" i="55"/>
  <c r="A57" i="55"/>
  <c r="A58" i="55"/>
  <c r="A59" i="55"/>
  <c r="A60" i="55"/>
  <c r="A61" i="55"/>
  <c r="A62" i="55"/>
  <c r="A63" i="55"/>
  <c r="A64" i="55"/>
  <c r="A65" i="55"/>
  <c r="A66" i="55"/>
  <c r="A67" i="55"/>
  <c r="A68" i="55"/>
  <c r="A69" i="55"/>
  <c r="A70" i="55"/>
  <c r="A71" i="55"/>
  <c r="A72" i="55"/>
  <c r="A73" i="55"/>
  <c r="A74" i="55"/>
  <c r="B75" i="55"/>
  <c r="B77" i="55"/>
  <c r="B54" i="87"/>
  <c r="I63" i="77"/>
  <c r="A8" i="58"/>
  <c r="A9" i="58"/>
  <c r="A10" i="58"/>
  <c r="A11" i="58"/>
  <c r="F106" i="75"/>
  <c r="F72" i="75"/>
  <c r="F69" i="75"/>
  <c r="F68" i="75"/>
  <c r="F56" i="75"/>
  <c r="F55" i="75"/>
  <c r="F53" i="75"/>
  <c r="F45" i="75"/>
  <c r="F44" i="75"/>
  <c r="F40" i="75"/>
  <c r="C79" i="88"/>
  <c r="C78" i="88"/>
  <c r="C76" i="88"/>
  <c r="C75" i="88"/>
  <c r="C70" i="88"/>
  <c r="C69" i="88"/>
  <c r="C66" i="88"/>
  <c r="C67" i="88"/>
  <c r="E259" i="75"/>
  <c r="A68" i="88"/>
  <c r="I146" i="77"/>
  <c r="I134" i="77"/>
  <c r="I102" i="77"/>
  <c r="I91" i="77"/>
  <c r="K7" i="55"/>
  <c r="H7" i="55"/>
  <c r="E7" i="55"/>
  <c r="G7" i="55"/>
  <c r="B32" i="87"/>
  <c r="A9" i="87"/>
  <c r="A10" i="87"/>
  <c r="E39" i="87"/>
  <c r="E52" i="87"/>
  <c r="G36" i="87"/>
  <c r="G35" i="87"/>
  <c r="A11" i="87"/>
  <c r="A12" i="87"/>
  <c r="A13" i="87"/>
  <c r="A14" i="87"/>
  <c r="A15" i="87"/>
  <c r="A16" i="87"/>
  <c r="A17" i="87"/>
  <c r="A18" i="87"/>
  <c r="A19" i="87"/>
  <c r="A20" i="87"/>
  <c r="A21" i="87"/>
  <c r="A22" i="87"/>
  <c r="A23" i="87"/>
  <c r="A24" i="87"/>
  <c r="A25" i="87"/>
  <c r="A26" i="87"/>
  <c r="A27" i="87"/>
  <c r="A28" i="87"/>
  <c r="A29" i="87"/>
  <c r="A30" i="87"/>
  <c r="A31" i="87"/>
  <c r="D47" i="56"/>
  <c r="C21" i="84"/>
  <c r="F283" i="75"/>
  <c r="A156" i="77"/>
  <c r="A161" i="77"/>
  <c r="F259" i="75"/>
  <c r="F274" i="75"/>
  <c r="F129" i="75"/>
  <c r="F277" i="75"/>
  <c r="F275" i="75"/>
  <c r="A7" i="74"/>
  <c r="A8" i="74"/>
  <c r="A9" i="74"/>
  <c r="A10" i="74"/>
  <c r="A11" i="74"/>
  <c r="A12" i="74"/>
  <c r="A13" i="74"/>
  <c r="A14" i="74"/>
  <c r="I50" i="77"/>
  <c r="I48" i="77"/>
  <c r="A15" i="74"/>
  <c r="A16" i="74"/>
  <c r="H227" i="75"/>
  <c r="D16" i="85"/>
  <c r="D25" i="85"/>
  <c r="E16" i="85"/>
  <c r="E25" i="85"/>
  <c r="F16" i="85"/>
  <c r="F25" i="85"/>
  <c r="G16" i="85"/>
  <c r="G25" i="85"/>
  <c r="H16" i="85"/>
  <c r="H25" i="85"/>
  <c r="I16" i="85"/>
  <c r="I25" i="85"/>
  <c r="J16" i="85"/>
  <c r="J25" i="85"/>
  <c r="K16" i="85"/>
  <c r="K25" i="85"/>
  <c r="L16" i="85"/>
  <c r="L25" i="85"/>
  <c r="M16" i="85"/>
  <c r="M25" i="85"/>
  <c r="N16" i="85"/>
  <c r="N25" i="85"/>
  <c r="C16" i="85"/>
  <c r="C25" i="85"/>
  <c r="H23" i="78"/>
  <c r="E295" i="75"/>
  <c r="E294" i="75"/>
  <c r="C284" i="75"/>
  <c r="I222" i="88"/>
  <c r="A190" i="88"/>
  <c r="A191" i="88" s="1"/>
  <c r="B39" i="88"/>
  <c r="E198" i="75"/>
  <c r="E40" i="75"/>
  <c r="C281" i="75"/>
  <c r="F46" i="75"/>
  <c r="F35" i="75"/>
  <c r="F32" i="75"/>
  <c r="F29" i="75"/>
  <c r="F24" i="75"/>
  <c r="F23" i="75"/>
  <c r="F21" i="75"/>
  <c r="F17" i="75"/>
  <c r="F13" i="75"/>
  <c r="E115" i="75"/>
  <c r="E114" i="75"/>
  <c r="E106" i="75"/>
  <c r="F282" i="75"/>
  <c r="F268" i="75"/>
  <c r="F267" i="75"/>
  <c r="F269" i="75"/>
  <c r="C270" i="75"/>
  <c r="C269" i="75"/>
  <c r="A167" i="88"/>
  <c r="A169" i="88" s="1"/>
  <c r="A174" i="88" s="1"/>
  <c r="C12" i="88" s="1"/>
  <c r="C7" i="88"/>
  <c r="C60" i="88" s="1"/>
  <c r="C120" i="88" s="1"/>
  <c r="C183" i="88" s="1"/>
  <c r="F201" i="75"/>
  <c r="F199" i="75"/>
  <c r="E101" i="75"/>
  <c r="E98" i="75"/>
  <c r="E97" i="75"/>
  <c r="E77" i="75"/>
  <c r="C77" i="77"/>
  <c r="C68" i="77"/>
  <c r="C61" i="77"/>
  <c r="E8" i="75"/>
  <c r="B65" i="93"/>
  <c r="E44" i="93"/>
  <c r="E46" i="93"/>
  <c r="B44" i="93"/>
  <c r="E39" i="93"/>
  <c r="B16" i="88"/>
  <c r="B15" i="88"/>
  <c r="D208" i="88"/>
  <c r="B29" i="85"/>
  <c r="B86" i="86"/>
  <c r="E299" i="75"/>
  <c r="E253" i="75"/>
  <c r="E252" i="75"/>
  <c r="E223" i="75"/>
  <c r="E134" i="75"/>
  <c r="E110" i="75"/>
  <c r="E104" i="75"/>
  <c r="E67" i="75"/>
  <c r="B166" i="77"/>
  <c r="A51" i="73"/>
  <c r="F101" i="75"/>
  <c r="F98" i="75"/>
  <c r="F97" i="75"/>
  <c r="E41" i="75"/>
  <c r="E197" i="75"/>
  <c r="E199" i="75"/>
  <c r="E133" i="75"/>
  <c r="E125" i="75"/>
  <c r="A52" i="87"/>
  <c r="A53" i="87"/>
  <c r="A54" i="87"/>
  <c r="G52" i="87"/>
  <c r="C52" i="87"/>
  <c r="G37" i="87"/>
  <c r="G39" i="87"/>
  <c r="C39" i="87"/>
  <c r="B37" i="87"/>
  <c r="G32" i="87"/>
  <c r="E32" i="87"/>
  <c r="C32" i="87"/>
  <c r="A4" i="87"/>
  <c r="A1" i="87"/>
  <c r="E63" i="56"/>
  <c r="A41" i="56"/>
  <c r="A42" i="56"/>
  <c r="A43" i="56"/>
  <c r="A44" i="56"/>
  <c r="A45" i="56"/>
  <c r="A46" i="56"/>
  <c r="A47" i="56"/>
  <c r="A48" i="56"/>
  <c r="A49" i="56"/>
  <c r="A50" i="56"/>
  <c r="A51" i="56"/>
  <c r="A52" i="56"/>
  <c r="A53" i="56"/>
  <c r="A54" i="56"/>
  <c r="A55" i="56"/>
  <c r="A56" i="56"/>
  <c r="A57" i="56"/>
  <c r="A58" i="56"/>
  <c r="A59" i="56"/>
  <c r="A60" i="56"/>
  <c r="A61" i="56"/>
  <c r="A62" i="56"/>
  <c r="A63" i="56"/>
  <c r="F51" i="56"/>
  <c r="F54" i="56"/>
  <c r="F55" i="56"/>
  <c r="F56" i="56"/>
  <c r="F57" i="56"/>
  <c r="F61" i="56"/>
  <c r="D51" i="56"/>
  <c r="D52" i="56"/>
  <c r="D53" i="56"/>
  <c r="D54" i="56"/>
  <c r="D55" i="56"/>
  <c r="D56" i="56"/>
  <c r="D57" i="56"/>
  <c r="D60" i="56"/>
  <c r="D61" i="56"/>
  <c r="B61" i="56"/>
  <c r="F45" i="56"/>
  <c r="F46" i="56"/>
  <c r="F48" i="56"/>
  <c r="E45" i="56"/>
  <c r="E46" i="56"/>
  <c r="E48" i="56"/>
  <c r="D45" i="56"/>
  <c r="D46" i="56"/>
  <c r="D48" i="56"/>
  <c r="F41" i="56"/>
  <c r="E41" i="56"/>
  <c r="D41" i="56"/>
  <c r="A31" i="56"/>
  <c r="A32" i="56"/>
  <c r="A33" i="56"/>
  <c r="A34" i="56"/>
  <c r="A35" i="56"/>
  <c r="A36" i="56"/>
  <c r="A37" i="56"/>
  <c r="A38" i="56"/>
  <c r="A39" i="56"/>
  <c r="A40" i="56"/>
  <c r="A3" i="56"/>
  <c r="A1" i="56"/>
  <c r="H77" i="55"/>
  <c r="A75" i="55"/>
  <c r="A76" i="55"/>
  <c r="A77" i="55"/>
  <c r="C65" i="55"/>
  <c r="C66" i="55"/>
  <c r="C67" i="55"/>
  <c r="C75" i="55"/>
  <c r="C60" i="55"/>
  <c r="C62" i="55"/>
  <c r="B60" i="55"/>
  <c r="G55" i="55"/>
  <c r="F55" i="55"/>
  <c r="E55" i="55"/>
  <c r="D55" i="55"/>
  <c r="C55" i="55"/>
  <c r="B55" i="55"/>
  <c r="A3" i="55"/>
  <c r="A1" i="55"/>
  <c r="E53" i="93"/>
  <c r="E59" i="93"/>
  <c r="B39" i="93"/>
  <c r="A3" i="93"/>
  <c r="A1" i="93"/>
  <c r="C26" i="74"/>
  <c r="A26" i="74"/>
  <c r="A3" i="74"/>
  <c r="A1" i="74"/>
  <c r="A1" i="67"/>
  <c r="A23" i="66"/>
  <c r="A24" i="66"/>
  <c r="A33" i="66"/>
  <c r="A34" i="66"/>
  <c r="A35" i="66"/>
  <c r="A36" i="66"/>
  <c r="A37" i="66"/>
  <c r="A38" i="66"/>
  <c r="A39" i="66"/>
  <c r="A40" i="66"/>
  <c r="A41" i="66"/>
  <c r="A42" i="66"/>
  <c r="A43" i="66"/>
  <c r="A44" i="66"/>
  <c r="A45" i="66"/>
  <c r="A46" i="66"/>
  <c r="A47" i="66"/>
  <c r="A25" i="66"/>
  <c r="A26" i="66"/>
  <c r="A27" i="66"/>
  <c r="A28" i="66"/>
  <c r="A29" i="66"/>
  <c r="A30" i="66"/>
  <c r="A31" i="66"/>
  <c r="A32" i="66"/>
  <c r="A19" i="66"/>
  <c r="A20" i="66"/>
  <c r="A21" i="66"/>
  <c r="A22" i="66"/>
  <c r="A8" i="51"/>
  <c r="A9" i="51"/>
  <c r="A3" i="51"/>
  <c r="A1" i="51"/>
  <c r="A23" i="85"/>
  <c r="B26" i="85"/>
  <c r="A24" i="85"/>
  <c r="A25" i="85"/>
  <c r="B23" i="85"/>
  <c r="P19" i="85"/>
  <c r="B16" i="85"/>
  <c r="A3" i="85"/>
  <c r="A1" i="85"/>
  <c r="G83" i="86"/>
  <c r="F83" i="86"/>
  <c r="E83" i="86"/>
  <c r="A83" i="86"/>
  <c r="G11" i="86"/>
  <c r="E7" i="86"/>
  <c r="E9" i="86"/>
  <c r="F7" i="86"/>
  <c r="F9" i="86"/>
  <c r="G9" i="86"/>
  <c r="C8" i="86"/>
  <c r="G7" i="86"/>
  <c r="C7" i="86"/>
  <c r="A3" i="86"/>
  <c r="A1" i="86"/>
  <c r="O48" i="44"/>
  <c r="N48" i="44"/>
  <c r="M48" i="44"/>
  <c r="L48" i="44"/>
  <c r="K48" i="44"/>
  <c r="J48" i="44"/>
  <c r="I48" i="44"/>
  <c r="H48" i="44"/>
  <c r="G48" i="44"/>
  <c r="F48" i="44"/>
  <c r="E48" i="44"/>
  <c r="D48" i="44"/>
  <c r="C48" i="44"/>
  <c r="C45" i="44"/>
  <c r="C39" i="44"/>
  <c r="C12" i="44"/>
  <c r="A3" i="44"/>
  <c r="A1" i="44"/>
  <c r="D36" i="49"/>
  <c r="C36" i="49"/>
  <c r="B36" i="49"/>
  <c r="A3" i="49"/>
  <c r="A1" i="49"/>
  <c r="A3" i="57"/>
  <c r="A1" i="57"/>
  <c r="A3" i="60"/>
  <c r="A1" i="60"/>
  <c r="P8" i="58"/>
  <c r="P9" i="58"/>
  <c r="P10" i="58"/>
  <c r="P12" i="58"/>
  <c r="P13" i="58"/>
  <c r="P14" i="58"/>
  <c r="P15" i="58"/>
  <c r="O15" i="58"/>
  <c r="N15" i="58"/>
  <c r="M15" i="58"/>
  <c r="L15" i="58"/>
  <c r="K15" i="58"/>
  <c r="J15" i="58"/>
  <c r="I15" i="58"/>
  <c r="H15" i="58"/>
  <c r="G15" i="58"/>
  <c r="F15" i="58"/>
  <c r="E15" i="58"/>
  <c r="D15" i="58"/>
  <c r="C15" i="58"/>
  <c r="A12" i="58"/>
  <c r="A13" i="58"/>
  <c r="A14" i="58"/>
  <c r="A15" i="58"/>
  <c r="A3" i="58"/>
  <c r="A1" i="58"/>
  <c r="Q10" i="73"/>
  <c r="D34" i="73"/>
  <c r="E34" i="73"/>
  <c r="Q12" i="73"/>
  <c r="D36" i="73"/>
  <c r="E36" i="73"/>
  <c r="Q13" i="73"/>
  <c r="D37" i="73"/>
  <c r="E37" i="73"/>
  <c r="Q15" i="73"/>
  <c r="D39" i="73"/>
  <c r="E39" i="73"/>
  <c r="Q16" i="73"/>
  <c r="D40" i="73"/>
  <c r="E40" i="73"/>
  <c r="Q17" i="73"/>
  <c r="D41" i="73"/>
  <c r="E41" i="73"/>
  <c r="Q18" i="73"/>
  <c r="D42" i="73"/>
  <c r="E42" i="73"/>
  <c r="Q20" i="73"/>
  <c r="D44" i="73"/>
  <c r="E44" i="73"/>
  <c r="Q22" i="73"/>
  <c r="D46" i="73"/>
  <c r="E46" i="73"/>
  <c r="E51" i="73"/>
  <c r="D51" i="73"/>
  <c r="C51" i="73"/>
  <c r="B51"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1" i="73"/>
  <c r="B31" i="73"/>
  <c r="Q27" i="73"/>
  <c r="P27" i="73"/>
  <c r="O27" i="73"/>
  <c r="N27" i="73"/>
  <c r="M27" i="73"/>
  <c r="L27" i="73"/>
  <c r="K27" i="73"/>
  <c r="J27" i="73"/>
  <c r="I27" i="73"/>
  <c r="H27" i="73"/>
  <c r="G27" i="73"/>
  <c r="F27" i="73"/>
  <c r="E27" i="73"/>
  <c r="D27" i="73"/>
  <c r="C27" i="73"/>
  <c r="A3" i="73"/>
  <c r="A1" i="73"/>
  <c r="A9" i="91"/>
  <c r="A10" i="91"/>
  <c r="A3" i="91"/>
  <c r="A1" i="91"/>
  <c r="A216" i="2"/>
  <c r="A217" i="2"/>
  <c r="A218" i="2"/>
  <c r="A219" i="2"/>
  <c r="A220" i="2"/>
  <c r="A221" i="2"/>
  <c r="A222" i="2"/>
  <c r="A223" i="2"/>
  <c r="A224" i="2"/>
  <c r="A225" i="2"/>
  <c r="A226" i="2"/>
  <c r="A227" i="2"/>
  <c r="N219" i="2"/>
  <c r="J217" i="2"/>
  <c r="J219" i="2"/>
  <c r="F217" i="2"/>
  <c r="F219" i="2"/>
  <c r="E217" i="2"/>
  <c r="E219" i="2"/>
  <c r="D217" i="2"/>
  <c r="D219" i="2"/>
  <c r="N217" i="2"/>
  <c r="N175" i="2"/>
  <c r="J175" i="2"/>
  <c r="F175" i="2"/>
  <c r="E175" i="2"/>
  <c r="D174" i="2"/>
  <c r="D175" i="2"/>
  <c r="N173" i="2"/>
  <c r="N104" i="2"/>
  <c r="J102" i="2"/>
  <c r="J104" i="2"/>
  <c r="F104" i="2"/>
  <c r="E104" i="2"/>
  <c r="D104" i="2"/>
  <c r="N102" i="2"/>
  <c r="N13" i="2"/>
  <c r="J12" i="2"/>
  <c r="J9" i="2"/>
  <c r="J11" i="2"/>
  <c r="J13" i="2"/>
  <c r="F12" i="2"/>
  <c r="F9" i="2"/>
  <c r="F11" i="2"/>
  <c r="F13" i="2"/>
  <c r="N12" i="2"/>
  <c r="N11" i="2"/>
  <c r="N9" i="2"/>
  <c r="A3" i="2"/>
  <c r="A1" i="2"/>
  <c r="A8" i="84"/>
  <c r="A9" i="84"/>
  <c r="A10" i="84"/>
  <c r="A11" i="84"/>
  <c r="A12" i="84"/>
  <c r="A13" i="84"/>
  <c r="A14" i="84"/>
  <c r="A15" i="84"/>
  <c r="A16" i="84"/>
  <c r="A17" i="84"/>
  <c r="A18" i="84"/>
  <c r="A19" i="84"/>
  <c r="A20" i="84"/>
  <c r="A21" i="84"/>
  <c r="A22" i="84"/>
  <c r="A3" i="84"/>
  <c r="A1" i="84"/>
  <c r="B40" i="62"/>
  <c r="B39" i="62"/>
  <c r="B38" i="62"/>
  <c r="B37" i="62"/>
  <c r="B36" i="62"/>
  <c r="B35" i="62"/>
  <c r="B34" i="62"/>
  <c r="B33" i="62"/>
  <c r="B32" i="62"/>
  <c r="B31" i="62"/>
  <c r="B30" i="62"/>
  <c r="B29" i="62"/>
  <c r="B28" i="62"/>
  <c r="A3" i="62"/>
  <c r="A1" i="62"/>
  <c r="A27" i="61"/>
  <c r="A28" i="61"/>
  <c r="A29" i="61"/>
  <c r="D33" i="61"/>
  <c r="B33" i="61"/>
  <c r="A33" i="61"/>
  <c r="A30" i="61"/>
  <c r="A31" i="61"/>
  <c r="A32" i="61"/>
  <c r="D31" i="61"/>
  <c r="D27" i="61"/>
  <c r="A8" i="61"/>
  <c r="A9" i="61"/>
  <c r="D15" i="61"/>
  <c r="D10" i="61"/>
  <c r="A3" i="61"/>
  <c r="A1" i="61"/>
  <c r="I161" i="77"/>
  <c r="C161" i="77"/>
  <c r="I160" i="77"/>
  <c r="A157" i="77"/>
  <c r="A158" i="77"/>
  <c r="A159" i="77"/>
  <c r="A160" i="77"/>
  <c r="I159" i="77"/>
  <c r="I158" i="77"/>
  <c r="I157" i="77"/>
  <c r="I152" i="77"/>
  <c r="I147" i="77"/>
  <c r="I135" i="77"/>
  <c r="I127" i="77"/>
  <c r="C127" i="77"/>
  <c r="I118" i="77"/>
  <c r="C118" i="77"/>
  <c r="I103" i="77"/>
  <c r="I98" i="77"/>
  <c r="I92" i="77"/>
  <c r="E85" i="77"/>
  <c r="D85" i="77"/>
  <c r="I84" i="77"/>
  <c r="C84" i="77"/>
  <c r="I80" i="77"/>
  <c r="I77" i="77"/>
  <c r="I73" i="77"/>
  <c r="I72" i="77"/>
  <c r="I71" i="77"/>
  <c r="I70" i="77"/>
  <c r="I68" i="77"/>
  <c r="I64" i="77"/>
  <c r="I61" i="77"/>
  <c r="I57" i="77"/>
  <c r="I56" i="77"/>
  <c r="I54" i="77"/>
  <c r="C54" i="77"/>
  <c r="I49" i="77"/>
  <c r="I47" i="77"/>
  <c r="I46" i="77"/>
  <c r="I45" i="77"/>
  <c r="I44" i="77"/>
  <c r="A38" i="77"/>
  <c r="A39" i="77"/>
  <c r="A40" i="77"/>
  <c r="A41" i="77"/>
  <c r="A42" i="77"/>
  <c r="C38" i="77"/>
  <c r="I33" i="77"/>
  <c r="I32" i="77"/>
  <c r="C28" i="77"/>
  <c r="I23" i="77"/>
  <c r="I22" i="77"/>
  <c r="C18" i="77"/>
  <c r="I12" i="77"/>
  <c r="A3" i="77"/>
  <c r="A1" i="77"/>
  <c r="H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H22" i="78"/>
  <c r="A3" i="78"/>
  <c r="A1" i="78"/>
  <c r="F299" i="75"/>
  <c r="E285" i="75"/>
  <c r="E283" i="75"/>
  <c r="E282" i="75"/>
  <c r="C279" i="75"/>
  <c r="F278" i="75"/>
  <c r="C278" i="75"/>
  <c r="C258" i="75"/>
  <c r="C242" i="75"/>
  <c r="E230" i="75"/>
  <c r="E229" i="75"/>
  <c r="E225" i="75"/>
  <c r="E224" i="75"/>
  <c r="E211" i="75"/>
  <c r="E202" i="75"/>
  <c r="E200" i="75"/>
  <c r="E193" i="75"/>
  <c r="C192" i="75"/>
  <c r="F191" i="75"/>
  <c r="C184" i="75"/>
  <c r="F183" i="75"/>
  <c r="F182" i="75"/>
  <c r="C180" i="75"/>
  <c r="F179" i="75"/>
  <c r="C179" i="75"/>
  <c r="F177" i="75"/>
  <c r="E177" i="75"/>
  <c r="F176" i="75"/>
  <c r="F174" i="75"/>
  <c r="F167" i="75"/>
  <c r="F165" i="75"/>
  <c r="E165" i="75"/>
  <c r="E164" i="75"/>
  <c r="E163" i="75"/>
  <c r="E161" i="75"/>
  <c r="F153" i="75"/>
  <c r="E150" i="75"/>
  <c r="F146" i="75"/>
  <c r="C143" i="75"/>
  <c r="F142" i="75"/>
  <c r="F140" i="75"/>
  <c r="E140" i="75"/>
  <c r="F138" i="75"/>
  <c r="E136" i="75"/>
  <c r="F134" i="75"/>
  <c r="E129" i="75"/>
  <c r="E126" i="75"/>
  <c r="C103" i="75"/>
  <c r="F102" i="75"/>
  <c r="C100" i="75"/>
  <c r="F99" i="75"/>
  <c r="F92" i="75"/>
  <c r="F91" i="75"/>
  <c r="E91" i="75"/>
  <c r="F90" i="75"/>
  <c r="E90" i="75"/>
  <c r="E87" i="75"/>
  <c r="C86" i="75"/>
  <c r="F85" i="75"/>
  <c r="F84" i="75"/>
  <c r="E84" i="75"/>
  <c r="C83" i="75"/>
  <c r="F82" i="75"/>
  <c r="F81" i="75"/>
  <c r="E81" i="75"/>
  <c r="F80" i="75"/>
  <c r="E80" i="75"/>
  <c r="C74" i="75"/>
  <c r="F73" i="75"/>
  <c r="E72" i="75"/>
  <c r="C71" i="75"/>
  <c r="C70" i="75"/>
  <c r="E69" i="75"/>
  <c r="E68" i="75"/>
  <c r="F58" i="75"/>
  <c r="C58" i="75"/>
  <c r="E56" i="75"/>
  <c r="E55" i="75"/>
  <c r="E53" i="75"/>
  <c r="F47" i="75"/>
  <c r="E45" i="75"/>
  <c r="E44" i="75"/>
  <c r="F41" i="75"/>
  <c r="B39" i="75"/>
  <c r="E34" i="75"/>
  <c r="C34" i="75"/>
  <c r="C31" i="75"/>
  <c r="F20" i="75"/>
  <c r="E20" i="75"/>
  <c r="F19" i="75"/>
  <c r="F16" i="75"/>
  <c r="E16" i="75"/>
  <c r="F15" i="75"/>
  <c r="F12" i="75"/>
  <c r="E12" i="75"/>
  <c r="F11" i="75"/>
  <c r="A3" i="75"/>
  <c r="A1" i="75"/>
  <c r="D236" i="88"/>
  <c r="D235" i="88"/>
  <c r="D234" i="88"/>
  <c r="G212" i="88"/>
  <c r="G214" i="88"/>
  <c r="C202" i="88"/>
  <c r="C199" i="88"/>
  <c r="C198" i="88"/>
  <c r="C59" i="88"/>
  <c r="C119" i="88"/>
  <c r="C182" i="88" s="1"/>
  <c r="K180" i="88"/>
  <c r="K177" i="88"/>
  <c r="C155" i="88"/>
  <c r="F141" i="88"/>
  <c r="F126" i="88"/>
  <c r="F127" i="88"/>
  <c r="F129" i="88" s="1"/>
  <c r="F132" i="88"/>
  <c r="K117" i="88"/>
  <c r="K114" i="88"/>
  <c r="D66" i="88"/>
  <c r="D75" i="88"/>
  <c r="D84" i="88"/>
  <c r="D69" i="88"/>
  <c r="D87" i="88" s="1"/>
  <c r="D78" i="88"/>
  <c r="D81" i="88" s="1"/>
  <c r="D88" i="88"/>
  <c r="C68" i="88"/>
  <c r="G78" i="88"/>
  <c r="K57" i="88"/>
  <c r="K54" i="88"/>
  <c r="I52" i="88"/>
  <c r="I51" i="88"/>
  <c r="C215" i="88" l="1"/>
  <c r="A215" i="88"/>
  <c r="A220" i="88" s="1"/>
  <c r="A206" i="88"/>
  <c r="A207" i="88" s="1"/>
  <c r="A208" i="88" s="1"/>
  <c r="C192" i="88"/>
  <c r="A192" i="88"/>
  <c r="A129" i="88"/>
  <c r="A130" i="88" s="1"/>
  <c r="A133" i="88" s="1"/>
  <c r="A136" i="88" s="1"/>
  <c r="A137" i="88" s="1"/>
  <c r="A19" i="88"/>
  <c r="C19" i="88"/>
  <c r="A71" i="88"/>
  <c r="C174" i="88"/>
  <c r="F131" i="88"/>
  <c r="A33" i="88"/>
  <c r="A34" i="88" s="1"/>
  <c r="A35" i="88" s="1"/>
  <c r="A36" i="88" s="1"/>
  <c r="A37" i="88" s="1"/>
  <c r="A38" i="88" s="1"/>
  <c r="A39" i="88" s="1"/>
  <c r="D72" i="88"/>
  <c r="N21" i="88"/>
  <c r="D86" i="88"/>
  <c r="D90" i="88" s="1"/>
  <c r="N67" i="88"/>
  <c r="C55" i="67"/>
  <c r="O55" i="67" s="1"/>
  <c r="H299" i="75" s="1"/>
  <c r="I32" i="88" s="1"/>
  <c r="I39" i="88" s="1"/>
  <c r="O51" i="67"/>
  <c r="M125" i="88"/>
  <c r="M86" i="88"/>
  <c r="A47" i="75"/>
  <c r="A48" i="75" s="1"/>
  <c r="F48" i="75"/>
  <c r="H214" i="75"/>
  <c r="F258" i="75"/>
  <c r="I189" i="88"/>
  <c r="H204" i="75"/>
  <c r="H213" i="75" s="1"/>
  <c r="H216" i="75" s="1"/>
  <c r="H148" i="75"/>
  <c r="D131" i="88"/>
  <c r="H23" i="75"/>
  <c r="D132" i="88"/>
  <c r="D215" i="88"/>
  <c r="F70" i="75"/>
  <c r="F232" i="75"/>
  <c r="F42" i="75"/>
  <c r="G260" i="75"/>
  <c r="G261" i="75"/>
  <c r="G23" i="75"/>
  <c r="G24" i="75" s="1"/>
  <c r="G204" i="75"/>
  <c r="G213" i="75" s="1"/>
  <c r="G216" i="75" s="1"/>
  <c r="G37" i="78"/>
  <c r="H37" i="78" s="1"/>
  <c r="G40" i="78"/>
  <c r="G43" i="78"/>
  <c r="G46" i="78"/>
  <c r="G39" i="78"/>
  <c r="G42" i="78"/>
  <c r="G45" i="78"/>
  <c r="G48" i="78"/>
  <c r="F67" i="78"/>
  <c r="G38" i="78"/>
  <c r="G41" i="78"/>
  <c r="G44" i="78"/>
  <c r="A140" i="88" l="1"/>
  <c r="A21" i="88"/>
  <c r="C23" i="88"/>
  <c r="C39" i="88"/>
  <c r="C208" i="88"/>
  <c r="A72" i="88"/>
  <c r="A75" i="88" s="1"/>
  <c r="C72" i="88"/>
  <c r="C194" i="88"/>
  <c r="A194" i="88"/>
  <c r="A221" i="88"/>
  <c r="A222" i="88" s="1"/>
  <c r="A224" i="88" s="1"/>
  <c r="C222" i="88"/>
  <c r="C41" i="88"/>
  <c r="A41" i="88"/>
  <c r="C137" i="88"/>
  <c r="F214" i="88"/>
  <c r="I214" i="88" s="1"/>
  <c r="F213" i="88"/>
  <c r="I213" i="88" s="1"/>
  <c r="F212" i="88"/>
  <c r="I212" i="88" s="1"/>
  <c r="I192" i="88"/>
  <c r="I194" i="88" s="1"/>
  <c r="G73" i="75"/>
  <c r="G74" i="75" s="1"/>
  <c r="G269" i="75"/>
  <c r="G270" i="75" s="1"/>
  <c r="G271" i="75" s="1"/>
  <c r="G47" i="75"/>
  <c r="G48" i="75" s="1"/>
  <c r="G50" i="75" s="1"/>
  <c r="G58" i="75"/>
  <c r="G59" i="75" s="1"/>
  <c r="G61" i="75" s="1"/>
  <c r="G167" i="75"/>
  <c r="G168" i="75" s="1"/>
  <c r="G170" i="75" s="1"/>
  <c r="G247" i="75" s="1"/>
  <c r="G191" i="75"/>
  <c r="G192" i="75" s="1"/>
  <c r="G193" i="75" s="1"/>
  <c r="G249" i="75" s="1"/>
  <c r="G183" i="75"/>
  <c r="G184" i="75" s="1"/>
  <c r="G102" i="75"/>
  <c r="G103" i="75" s="1"/>
  <c r="G92" i="75"/>
  <c r="G93" i="75" s="1"/>
  <c r="G94" i="75" s="1"/>
  <c r="G142" i="75"/>
  <c r="G143" i="75" s="1"/>
  <c r="G85" i="75"/>
  <c r="G86" i="75" s="1"/>
  <c r="G278" i="75"/>
  <c r="G279" i="75" s="1"/>
  <c r="G280" i="75" s="1"/>
  <c r="G284" i="75" s="1"/>
  <c r="M131" i="88"/>
  <c r="A50" i="75"/>
  <c r="F50" i="75"/>
  <c r="N127" i="88"/>
  <c r="O127" i="88" s="1"/>
  <c r="H24" i="75"/>
  <c r="D202" i="88"/>
  <c r="H38" i="78"/>
  <c r="F37" i="78"/>
  <c r="A227" i="88" l="1"/>
  <c r="C15" i="88"/>
  <c r="A76" i="88"/>
  <c r="C84" i="88"/>
  <c r="C42" i="88"/>
  <c r="A42" i="88"/>
  <c r="A46" i="88" s="1"/>
  <c r="A47" i="88" s="1"/>
  <c r="A48" i="88" s="1"/>
  <c r="A51" i="88" s="1"/>
  <c r="A52" i="88" s="1"/>
  <c r="C47" i="88"/>
  <c r="C48" i="88"/>
  <c r="C46" i="88"/>
  <c r="A141" i="88"/>
  <c r="A142" i="88" s="1"/>
  <c r="A143" i="88" s="1"/>
  <c r="C143" i="88"/>
  <c r="H58" i="75"/>
  <c r="H59" i="75" s="1"/>
  <c r="H61" i="75" s="1"/>
  <c r="H142" i="75"/>
  <c r="H143" i="75" s="1"/>
  <c r="H47" i="75"/>
  <c r="H48" i="75" s="1"/>
  <c r="H50" i="75" s="1"/>
  <c r="H102" i="75"/>
  <c r="H103" i="75" s="1"/>
  <c r="H92" i="75"/>
  <c r="H93" i="75" s="1"/>
  <c r="H94" i="75" s="1"/>
  <c r="D108" i="88" s="1"/>
  <c r="H73" i="75"/>
  <c r="H74" i="75" s="1"/>
  <c r="H85" i="75"/>
  <c r="H86" i="75" s="1"/>
  <c r="H183" i="75"/>
  <c r="H184" i="75" s="1"/>
  <c r="H278" i="75"/>
  <c r="H279" i="75" s="1"/>
  <c r="H280" i="75" s="1"/>
  <c r="H191" i="75"/>
  <c r="H192" i="75" s="1"/>
  <c r="H269" i="75"/>
  <c r="H270" i="75" s="1"/>
  <c r="H271" i="75" s="1"/>
  <c r="I224" i="88" s="1"/>
  <c r="D15" i="88" s="1"/>
  <c r="I15" i="88" s="1"/>
  <c r="H167" i="75"/>
  <c r="H168" i="75" s="1"/>
  <c r="A53" i="75"/>
  <c r="F31" i="75"/>
  <c r="G63" i="75"/>
  <c r="G31" i="75"/>
  <c r="G32" i="75" s="1"/>
  <c r="G68" i="88"/>
  <c r="I68" i="88" s="1"/>
  <c r="I86" i="88" s="1"/>
  <c r="G156" i="88"/>
  <c r="F199" i="88"/>
  <c r="G199" i="88" s="1"/>
  <c r="G125" i="88"/>
  <c r="I125" i="88" s="1"/>
  <c r="G127" i="88"/>
  <c r="I127" i="88" s="1"/>
  <c r="G109" i="88"/>
  <c r="G165" i="88"/>
  <c r="G134" i="88"/>
  <c r="I134" i="88" s="1"/>
  <c r="G146" i="88"/>
  <c r="G104" i="88"/>
  <c r="I104" i="88" s="1"/>
  <c r="G129" i="88"/>
  <c r="G126" i="88"/>
  <c r="I126" i="88" s="1"/>
  <c r="G76" i="88"/>
  <c r="I76" i="88" s="1"/>
  <c r="L200" i="88"/>
  <c r="G141" i="88"/>
  <c r="G95" i="88"/>
  <c r="F198" i="88"/>
  <c r="G198" i="88" s="1"/>
  <c r="G135" i="88"/>
  <c r="G131" i="88"/>
  <c r="I131" i="88" s="1"/>
  <c r="G140" i="88"/>
  <c r="I140" i="88" s="1"/>
  <c r="G99" i="88"/>
  <c r="G108" i="88"/>
  <c r="I108" i="88" s="1"/>
  <c r="G67" i="88"/>
  <c r="I67" i="88" s="1"/>
  <c r="I85" i="88" s="1"/>
  <c r="I215" i="88"/>
  <c r="L70" i="88"/>
  <c r="L199" i="88"/>
  <c r="L201" i="88" s="1"/>
  <c r="I37" i="78"/>
  <c r="F38" i="78"/>
  <c r="H39" i="78"/>
  <c r="F39" i="78" s="1"/>
  <c r="A146" i="88" l="1"/>
  <c r="C85" i="88"/>
  <c r="A78" i="88"/>
  <c r="A77" i="88"/>
  <c r="C86" i="88" s="1"/>
  <c r="A228" i="88"/>
  <c r="A231" i="88" s="1"/>
  <c r="D141" i="88"/>
  <c r="H170" i="75"/>
  <c r="H63" i="75"/>
  <c r="H31" i="75"/>
  <c r="H32" i="75" s="1"/>
  <c r="G202" i="88"/>
  <c r="I202" i="88" s="1"/>
  <c r="D135" i="88"/>
  <c r="I135" i="88" s="1"/>
  <c r="H193" i="75"/>
  <c r="H249" i="75" s="1"/>
  <c r="G34" i="75"/>
  <c r="G35" i="75" s="1"/>
  <c r="G242" i="75"/>
  <c r="L79" i="88"/>
  <c r="M70" i="88"/>
  <c r="G70" i="75"/>
  <c r="G71" i="75" s="1"/>
  <c r="G75" i="75" s="1"/>
  <c r="G179" i="75"/>
  <c r="G180" i="75" s="1"/>
  <c r="G185" i="75" s="1"/>
  <c r="G248" i="75" s="1"/>
  <c r="A55" i="75"/>
  <c r="H284" i="75"/>
  <c r="I227" i="88"/>
  <c r="I231" i="88" s="1"/>
  <c r="D16" i="88" s="1"/>
  <c r="I16" i="88" s="1"/>
  <c r="I19" i="88" s="1"/>
  <c r="M108" i="88"/>
  <c r="I38" i="78"/>
  <c r="I39" i="78" s="1"/>
  <c r="H40" i="78"/>
  <c r="A234" i="88" l="1"/>
  <c r="A235" i="88" s="1"/>
  <c r="A236" i="88" s="1"/>
  <c r="C16" i="88"/>
  <c r="A79" i="88"/>
  <c r="C87" i="88"/>
  <c r="C231" i="88"/>
  <c r="A147" i="88"/>
  <c r="A148" i="88" s="1"/>
  <c r="A149" i="88" s="1"/>
  <c r="A150" i="88" s="1"/>
  <c r="A151" i="88" s="1"/>
  <c r="A152" i="88" s="1"/>
  <c r="A153" i="88" s="1"/>
  <c r="A56" i="75"/>
  <c r="A57" i="75" s="1"/>
  <c r="F57" i="75"/>
  <c r="G153" i="75"/>
  <c r="G154" i="75" s="1"/>
  <c r="G156" i="75" s="1"/>
  <c r="G82" i="75"/>
  <c r="G83" i="75" s="1"/>
  <c r="G87" i="75" s="1"/>
  <c r="G99" i="75"/>
  <c r="G100" i="75" s="1"/>
  <c r="G104" i="75" s="1"/>
  <c r="G232" i="75"/>
  <c r="G233" i="75" s="1"/>
  <c r="H70" i="75"/>
  <c r="H71" i="75" s="1"/>
  <c r="H75" i="75" s="1"/>
  <c r="H179" i="75"/>
  <c r="H180" i="75" s="1"/>
  <c r="H185" i="75" s="1"/>
  <c r="N143" i="88"/>
  <c r="H247" i="75"/>
  <c r="M72" i="88"/>
  <c r="H34" i="75"/>
  <c r="H35" i="75" s="1"/>
  <c r="H242" i="75"/>
  <c r="M141" i="88"/>
  <c r="M143" i="88" s="1"/>
  <c r="D143" i="88"/>
  <c r="L128" i="88"/>
  <c r="M79" i="88"/>
  <c r="M81" i="88" s="1"/>
  <c r="G130" i="88"/>
  <c r="I130" i="88" s="1"/>
  <c r="G128" i="88"/>
  <c r="I128" i="88" s="1"/>
  <c r="G79" i="88"/>
  <c r="I79" i="88" s="1"/>
  <c r="I81" i="88" s="1"/>
  <c r="G132" i="88"/>
  <c r="I132" i="88" s="1"/>
  <c r="G70" i="88"/>
  <c r="I70" i="88" s="1"/>
  <c r="I141" i="88"/>
  <c r="I143" i="88" s="1"/>
  <c r="L143" i="88" s="1"/>
  <c r="H41" i="78"/>
  <c r="F40" i="78"/>
  <c r="C153" i="88" l="1"/>
  <c r="A80" i="88"/>
  <c r="C88" i="88"/>
  <c r="A156" i="88"/>
  <c r="M88" i="88"/>
  <c r="M90" i="88" s="1"/>
  <c r="M128" i="88"/>
  <c r="L130" i="88"/>
  <c r="D95" i="88"/>
  <c r="G246" i="75"/>
  <c r="G109" i="75"/>
  <c r="G111" i="75" s="1"/>
  <c r="G118" i="75" s="1"/>
  <c r="I88" i="88"/>
  <c r="I90" i="88" s="1"/>
  <c r="I72" i="88"/>
  <c r="H82" i="75"/>
  <c r="H83" i="75" s="1"/>
  <c r="H87" i="75" s="1"/>
  <c r="D99" i="88" s="1"/>
  <c r="H153" i="75"/>
  <c r="H154" i="75" s="1"/>
  <c r="H99" i="75"/>
  <c r="H100" i="75" s="1"/>
  <c r="H104" i="75" s="1"/>
  <c r="D109" i="88" s="1"/>
  <c r="H232" i="75"/>
  <c r="H233" i="75" s="1"/>
  <c r="A58" i="75"/>
  <c r="A59" i="75" s="1"/>
  <c r="O143" i="88"/>
  <c r="N153" i="88"/>
  <c r="D146" i="88"/>
  <c r="H248" i="75"/>
  <c r="I40" i="78"/>
  <c r="F41" i="78"/>
  <c r="H42" i="78"/>
  <c r="F42" i="78" s="1"/>
  <c r="A157" i="88" l="1"/>
  <c r="A158" i="88" s="1"/>
  <c r="A159" i="88" s="1"/>
  <c r="A160" i="88" s="1"/>
  <c r="A161" i="88" s="1"/>
  <c r="A162" i="88" s="1"/>
  <c r="C167" i="88" s="1"/>
  <c r="C162" i="88"/>
  <c r="A81" i="88"/>
  <c r="A84" i="88" s="1"/>
  <c r="C81" i="88"/>
  <c r="A61" i="75"/>
  <c r="F61" i="75"/>
  <c r="D129" i="88"/>
  <c r="H156" i="75"/>
  <c r="D102" i="88"/>
  <c r="M102" i="88" s="1"/>
  <c r="M95" i="88"/>
  <c r="I95" i="88"/>
  <c r="M146" i="88"/>
  <c r="M153" i="88" s="1"/>
  <c r="O153" i="88" s="1"/>
  <c r="D153" i="88"/>
  <c r="I146" i="88"/>
  <c r="I153" i="88" s="1"/>
  <c r="F59" i="75"/>
  <c r="I99" i="88"/>
  <c r="M99" i="88"/>
  <c r="G243" i="75"/>
  <c r="G120" i="75"/>
  <c r="L132" i="88"/>
  <c r="M132" i="88" s="1"/>
  <c r="M130" i="88"/>
  <c r="M109" i="88"/>
  <c r="M110" i="88" s="1"/>
  <c r="D110" i="88"/>
  <c r="I109" i="88"/>
  <c r="I110" i="88" s="1"/>
  <c r="I41" i="78"/>
  <c r="I42" i="78" s="1"/>
  <c r="H43" i="78" s="1"/>
  <c r="D112" i="88" l="1"/>
  <c r="A85" i="88"/>
  <c r="H246" i="75"/>
  <c r="N137" i="88"/>
  <c r="H109" i="75"/>
  <c r="H111" i="75" s="1"/>
  <c r="H118" i="75" s="1"/>
  <c r="M129" i="88"/>
  <c r="M137" i="88" s="1"/>
  <c r="D137" i="88"/>
  <c r="I129" i="88"/>
  <c r="I137" i="88" s="1"/>
  <c r="L153" i="88"/>
  <c r="G218" i="75"/>
  <c r="G244" i="75"/>
  <c r="I102" i="88"/>
  <c r="I112" i="88" s="1"/>
  <c r="M112" i="88"/>
  <c r="A63" i="75"/>
  <c r="F63" i="75"/>
  <c r="H44" i="78"/>
  <c r="F43" i="78"/>
  <c r="A86" i="88" l="1"/>
  <c r="A87" i="88"/>
  <c r="A88" i="88" s="1"/>
  <c r="A89" i="88" s="1"/>
  <c r="H243" i="75"/>
  <c r="H120" i="75"/>
  <c r="L137" i="88"/>
  <c r="A68" i="75"/>
  <c r="F242" i="75"/>
  <c r="F34" i="75"/>
  <c r="G250" i="75"/>
  <c r="G235" i="75"/>
  <c r="G237" i="75" s="1"/>
  <c r="G251" i="75" s="1"/>
  <c r="O137" i="88"/>
  <c r="I43" i="78"/>
  <c r="F44" i="78"/>
  <c r="H45" i="78"/>
  <c r="F45" i="78" s="1"/>
  <c r="A90" i="88" l="1"/>
  <c r="C90" i="88"/>
  <c r="H218" i="75"/>
  <c r="N112" i="88"/>
  <c r="H244" i="75"/>
  <c r="G255" i="75"/>
  <c r="G262" i="75" s="1"/>
  <c r="G263" i="75" s="1"/>
  <c r="G287" i="75" s="1"/>
  <c r="A69" i="75"/>
  <c r="I44" i="78"/>
  <c r="I45" i="78" s="1"/>
  <c r="H46" i="78" s="1"/>
  <c r="A95" i="88" l="1"/>
  <c r="A70" i="75"/>
  <c r="A71" i="75" s="1"/>
  <c r="F71" i="75"/>
  <c r="H250" i="75"/>
  <c r="D165" i="88"/>
  <c r="N165" i="88"/>
  <c r="H235" i="75"/>
  <c r="H237" i="75" s="1"/>
  <c r="H47" i="78"/>
  <c r="F46" i="78"/>
  <c r="A97" i="88" l="1"/>
  <c r="A98" i="88" s="1"/>
  <c r="A99" i="88" s="1"/>
  <c r="A100" i="88" s="1"/>
  <c r="H251" i="75"/>
  <c r="H255" i="75" s="1"/>
  <c r="D156" i="88"/>
  <c r="N156" i="88"/>
  <c r="M165" i="88"/>
  <c r="O165" i="88" s="1"/>
  <c r="I165" i="88"/>
  <c r="A72" i="75"/>
  <c r="I46" i="78"/>
  <c r="F47" i="78"/>
  <c r="H48" i="78"/>
  <c r="F48" i="78" s="1"/>
  <c r="A101" i="88" l="1"/>
  <c r="C102" i="88" s="1"/>
  <c r="A102" i="88"/>
  <c r="L165" i="88"/>
  <c r="H262" i="75"/>
  <c r="H263" i="75" s="1"/>
  <c r="N167" i="88"/>
  <c r="M156" i="88"/>
  <c r="M167" i="88" s="1"/>
  <c r="O167" i="88" s="1"/>
  <c r="D162" i="88"/>
  <c r="D167" i="88" s="1"/>
  <c r="D174" i="88" s="1"/>
  <c r="I156" i="88"/>
  <c r="A73" i="75"/>
  <c r="A74" i="75" s="1"/>
  <c r="F74" i="75"/>
  <c r="I47" i="78"/>
  <c r="I48" i="78" s="1"/>
  <c r="H49" i="78" s="1"/>
  <c r="A104" i="88" l="1"/>
  <c r="A107" i="88" s="1"/>
  <c r="A75" i="75"/>
  <c r="F75" i="75"/>
  <c r="I162" i="88"/>
  <c r="I167" i="88" s="1"/>
  <c r="I174" i="88" s="1"/>
  <c r="I12" i="88" s="1"/>
  <c r="I23" i="88" s="1"/>
  <c r="L156" i="88"/>
  <c r="L174" i="88"/>
  <c r="H287" i="75"/>
  <c r="H291" i="75" s="1"/>
  <c r="F49" i="78"/>
  <c r="H50" i="78"/>
  <c r="A108" i="88" l="1"/>
  <c r="A109" i="88" s="1"/>
  <c r="A110" i="88" s="1"/>
  <c r="C110" i="88"/>
  <c r="I28" i="88"/>
  <c r="M23" i="88"/>
  <c r="N23" i="88" s="1"/>
  <c r="M28" i="88"/>
  <c r="H296" i="75"/>
  <c r="H300" i="75" s="1"/>
  <c r="H301" i="75" s="1"/>
  <c r="M174" i="88"/>
  <c r="A77" i="75"/>
  <c r="A80" i="75" s="1"/>
  <c r="C95" i="88"/>
  <c r="H51" i="78"/>
  <c r="F51" i="78" s="1"/>
  <c r="F50" i="78"/>
  <c r="I49" i="78"/>
  <c r="A112" i="88" l="1"/>
  <c r="C112" i="88"/>
  <c r="A81" i="75"/>
  <c r="D41" i="88"/>
  <c r="N28" i="88"/>
  <c r="I50" i="78"/>
  <c r="I51" i="78" s="1"/>
  <c r="D46" i="88" l="1"/>
  <c r="I48" i="88"/>
  <c r="I47" i="88"/>
  <c r="D42" i="88"/>
  <c r="D47" i="88"/>
  <c r="I46" i="88"/>
  <c r="D48" i="88"/>
  <c r="A82" i="75"/>
  <c r="A83" i="75" s="1"/>
  <c r="H52" i="78"/>
  <c r="A84" i="75" l="1"/>
  <c r="F83" i="75"/>
  <c r="F52" i="78"/>
  <c r="I52" i="78" s="1"/>
  <c r="H53" i="78"/>
  <c r="A85" i="75" l="1"/>
  <c r="A86" i="75" s="1"/>
  <c r="F86" i="75"/>
  <c r="F53" i="78"/>
  <c r="I53" i="78" s="1"/>
  <c r="H54" i="78"/>
  <c r="F54" i="78" s="1"/>
  <c r="A87" i="75" l="1"/>
  <c r="F87" i="75"/>
  <c r="I54" i="78"/>
  <c r="H55" i="78" s="1"/>
  <c r="A90" i="75" l="1"/>
  <c r="A91" i="75" s="1"/>
  <c r="C99" i="88"/>
  <c r="H56" i="78"/>
  <c r="F55" i="78"/>
  <c r="I55" i="78" s="1"/>
  <c r="A92" i="75" l="1"/>
  <c r="A93" i="75" s="1"/>
  <c r="F93" i="75"/>
  <c r="F56" i="78"/>
  <c r="I56" i="78" s="1"/>
  <c r="H57" i="78"/>
  <c r="F57" i="78" s="1"/>
  <c r="A94" i="75" l="1"/>
  <c r="F94" i="75"/>
  <c r="I57" i="78"/>
  <c r="H58" i="78" s="1"/>
  <c r="A97" i="75" l="1"/>
  <c r="C108" i="88"/>
  <c r="F58" i="78"/>
  <c r="I58" i="78" s="1"/>
  <c r="H59" i="78"/>
  <c r="A98" i="75" l="1"/>
  <c r="F59" i="78"/>
  <c r="I59" i="78" s="1"/>
  <c r="H60" i="78"/>
  <c r="F60" i="78" s="1"/>
  <c r="A99" i="75" l="1"/>
  <c r="A100" i="75" s="1"/>
  <c r="F100" i="75"/>
  <c r="I60" i="78"/>
  <c r="H61" i="78" s="1"/>
  <c r="A101" i="75" l="1"/>
  <c r="F61" i="78"/>
  <c r="I61" i="78" s="1"/>
  <c r="H62" i="78"/>
  <c r="A102" i="75" l="1"/>
  <c r="A103" i="75" s="1"/>
  <c r="F103" i="75"/>
  <c r="H63" i="78"/>
  <c r="F63" i="78" s="1"/>
  <c r="F62" i="78"/>
  <c r="I62" i="78" s="1"/>
  <c r="A104" i="75" l="1"/>
  <c r="F104" i="75"/>
  <c r="I63" i="78"/>
  <c r="A106" i="75" l="1"/>
  <c r="C109" i="88"/>
  <c r="H64" i="78"/>
  <c r="F64" i="78" s="1"/>
  <c r="F66" i="78" s="1"/>
  <c r="F68" i="78" s="1"/>
  <c r="A109" i="75" l="1"/>
  <c r="C104" i="88"/>
  <c r="I64" i="78"/>
  <c r="I65" i="78" s="1"/>
  <c r="A110" i="75" l="1"/>
  <c r="A111" i="75" s="1"/>
  <c r="F111" i="75"/>
  <c r="A114" i="75" l="1"/>
  <c r="A115" i="75" l="1"/>
  <c r="A116" i="75" s="1"/>
  <c r="F116" i="75"/>
  <c r="A118" i="75" l="1"/>
  <c r="F118" i="75"/>
  <c r="A120" i="75" l="1"/>
  <c r="F243" i="75"/>
  <c r="F120" i="75"/>
  <c r="A125" i="75" l="1"/>
  <c r="F244" i="75"/>
  <c r="A126" i="75" l="1"/>
  <c r="C125" i="88"/>
  <c r="A127" i="75" l="1"/>
  <c r="A128" i="75" l="1"/>
  <c r="C127" i="88"/>
  <c r="A129" i="75" l="1"/>
  <c r="C126" i="88"/>
  <c r="A130" i="75" l="1"/>
  <c r="F130" i="75"/>
  <c r="A133" i="75" l="1"/>
  <c r="A134" i="75" l="1"/>
  <c r="C128" i="88"/>
  <c r="A135" i="75" l="1"/>
  <c r="C132" i="88"/>
  <c r="A136" i="75" l="1"/>
  <c r="A137" i="75" s="1"/>
  <c r="A138" i="75" s="1"/>
  <c r="A139" i="75" s="1"/>
  <c r="A140" i="75" l="1"/>
  <c r="A141" i="75" s="1"/>
  <c r="F141" i="75"/>
  <c r="A142" i="75" l="1"/>
  <c r="A143" i="75" s="1"/>
  <c r="F143" i="75"/>
  <c r="C130" i="88"/>
  <c r="A146" i="75" l="1"/>
  <c r="A147" i="75" l="1"/>
  <c r="A148" i="75" s="1"/>
  <c r="C131" i="88"/>
  <c r="F148" i="75" l="1"/>
  <c r="A149" i="75"/>
  <c r="A150" i="75" s="1"/>
  <c r="A151" i="75" l="1"/>
  <c r="A152" i="75" s="1"/>
  <c r="F152" i="75"/>
  <c r="A153" i="75" l="1"/>
  <c r="A154" i="75" s="1"/>
  <c r="F154" i="75"/>
  <c r="A155" i="75" l="1"/>
  <c r="A156" i="75" s="1"/>
  <c r="C129" i="88"/>
  <c r="F156" i="75"/>
  <c r="A161" i="75" l="1"/>
  <c r="F246" i="75"/>
  <c r="F109" i="75"/>
  <c r="A162" i="75" l="1"/>
  <c r="A163" i="75" s="1"/>
  <c r="C140" i="88"/>
  <c r="A164" i="75" l="1"/>
  <c r="A165" i="75" s="1"/>
  <c r="A166" i="75" s="1"/>
  <c r="F166" i="75"/>
  <c r="A167" i="75" l="1"/>
  <c r="A168" i="75" s="1"/>
  <c r="F168" i="75"/>
  <c r="A169" i="75" l="1"/>
  <c r="A170" i="75" s="1"/>
  <c r="C141" i="88"/>
  <c r="F170" i="75"/>
  <c r="A174" i="75" l="1"/>
  <c r="F247" i="75"/>
  <c r="A175" i="75" l="1"/>
  <c r="A176" i="75" s="1"/>
  <c r="A177" i="75" l="1"/>
  <c r="A178" i="75" s="1"/>
  <c r="F178" i="75"/>
  <c r="A179" i="75" l="1"/>
  <c r="A180" i="75" s="1"/>
  <c r="F180" i="75"/>
  <c r="A181" i="75" l="1"/>
  <c r="A182" i="75" s="1"/>
  <c r="A183" i="75" l="1"/>
  <c r="A184" i="75" s="1"/>
  <c r="F184" i="75" l="1"/>
  <c r="A185" i="75"/>
  <c r="F185" i="75"/>
  <c r="A189" i="75" l="1"/>
  <c r="C146" i="88"/>
  <c r="F248" i="75"/>
  <c r="A190" i="75" l="1"/>
  <c r="C134" i="88"/>
  <c r="A191" i="75" l="1"/>
  <c r="A192" i="75" s="1"/>
  <c r="F192" i="75"/>
  <c r="A193" i="75" l="1"/>
  <c r="C135" i="88"/>
  <c r="F193" i="75"/>
  <c r="A197" i="75" l="1"/>
  <c r="F249" i="75"/>
  <c r="A198" i="75" l="1"/>
  <c r="A199" i="75" s="1"/>
  <c r="C212" i="88"/>
  <c r="A200" i="75" l="1"/>
  <c r="F209" i="75"/>
  <c r="A201" i="75" l="1"/>
  <c r="C213" i="88"/>
  <c r="A202" i="75" l="1"/>
  <c r="F210" i="75"/>
  <c r="A204" i="75" l="1"/>
  <c r="F206" i="75"/>
  <c r="C214" i="88"/>
  <c r="F205" i="75"/>
  <c r="A205" i="75" l="1"/>
  <c r="F204" i="75" l="1"/>
  <c r="A206" i="75"/>
  <c r="A209" i="75" l="1"/>
  <c r="A210" i="75" l="1"/>
  <c r="F213" i="75"/>
  <c r="A211" i="75" l="1"/>
  <c r="F214" i="75"/>
  <c r="A213" i="75" l="1"/>
  <c r="F215" i="75"/>
  <c r="A214" i="75" l="1"/>
  <c r="A215" i="75" s="1"/>
  <c r="A216" i="75" s="1"/>
  <c r="F216" i="75"/>
  <c r="A218" i="75" l="1"/>
  <c r="F218" i="75"/>
  <c r="A223" i="75" l="1"/>
  <c r="F250" i="75"/>
  <c r="C165" i="88"/>
  <c r="A224" i="75" l="1"/>
  <c r="C234" i="88"/>
  <c r="A225" i="75" l="1"/>
  <c r="C235" i="88"/>
  <c r="A226" i="75" l="1"/>
  <c r="C236" i="88"/>
  <c r="A227" i="75" l="1"/>
  <c r="F231" i="75"/>
  <c r="A230" i="75" l="1"/>
  <c r="F235" i="75"/>
  <c r="A231" i="75" l="1"/>
  <c r="A232" i="75" s="1"/>
  <c r="A233" i="75" s="1"/>
  <c r="F233" i="75" l="1"/>
  <c r="A235" i="75"/>
  <c r="A237" i="75" s="1"/>
  <c r="F237" i="75"/>
  <c r="A242" i="75" l="1"/>
  <c r="A243" i="75" s="1"/>
  <c r="A244" i="75" s="1"/>
  <c r="A246" i="75" s="1"/>
  <c r="F251" i="75"/>
  <c r="C156" i="88"/>
  <c r="A247" i="75" l="1"/>
  <c r="A248" i="75" s="1"/>
  <c r="A249" i="75" s="1"/>
  <c r="A250" i="75" s="1"/>
  <c r="A251" i="75" s="1"/>
  <c r="A252" i="75" s="1"/>
  <c r="A253" i="75" l="1"/>
  <c r="C170" i="88"/>
  <c r="F255" i="75"/>
  <c r="A255" i="75" l="1"/>
  <c r="C173" i="88"/>
  <c r="F262" i="75" l="1"/>
  <c r="A258" i="75"/>
  <c r="A259" i="75" l="1"/>
  <c r="F260" i="75"/>
  <c r="C189" i="88"/>
  <c r="A260" i="75" l="1"/>
  <c r="C190" i="88"/>
  <c r="A261" i="75" l="1"/>
  <c r="F261" i="75"/>
  <c r="A262" i="75" l="1"/>
  <c r="A263" i="75" s="1"/>
  <c r="F263" i="75"/>
  <c r="A267" i="75" l="1"/>
  <c r="A268" i="75" l="1"/>
  <c r="A269" i="75" l="1"/>
  <c r="A270" i="75" s="1"/>
  <c r="A271" i="75" l="1"/>
  <c r="F271" i="75"/>
  <c r="F270" i="75"/>
  <c r="A274" i="75" l="1"/>
  <c r="C224" i="88"/>
  <c r="A275" i="75" l="1"/>
  <c r="F276" i="75" s="1"/>
  <c r="A276" i="75" l="1"/>
  <c r="F281" i="75"/>
  <c r="A277" i="75" l="1"/>
  <c r="A278" i="75" l="1"/>
  <c r="A279" i="75" s="1"/>
  <c r="F279" i="75" l="1"/>
  <c r="A280" i="75"/>
  <c r="F280" i="75"/>
  <c r="A281" i="75" l="1"/>
  <c r="C227" i="88"/>
  <c r="A282" i="75" l="1"/>
  <c r="C228" i="88"/>
  <c r="A283" i="75" l="1"/>
  <c r="B64" i="51"/>
  <c r="C229" i="88"/>
  <c r="F284" i="75"/>
  <c r="A284" i="75" l="1"/>
  <c r="C230" i="88"/>
  <c r="A285" i="75" l="1"/>
  <c r="A287" i="75" s="1"/>
  <c r="F287" i="75"/>
  <c r="H27" i="78" l="1"/>
  <c r="A289" i="75"/>
  <c r="A291" i="75" l="1"/>
  <c r="C21" i="88"/>
  <c r="F291" i="75"/>
  <c r="A293" i="75" l="1"/>
  <c r="A294" i="75" s="1"/>
  <c r="C25" i="88" l="1"/>
  <c r="A295" i="75"/>
  <c r="A296" i="75" l="1"/>
  <c r="C26" i="88"/>
  <c r="F296" i="75"/>
  <c r="A299" i="75" l="1"/>
  <c r="A300" i="75" l="1"/>
  <c r="C32" i="88"/>
  <c r="F300" i="75"/>
  <c r="F301" i="75" l="1"/>
  <c r="A301" i="75"/>
</calcChain>
</file>

<file path=xl/sharedStrings.xml><?xml version="1.0" encoding="utf-8"?>
<sst xmlns="http://schemas.openxmlformats.org/spreadsheetml/2006/main" count="3129" uniqueCount="1830">
  <si>
    <t>190886</t>
  </si>
  <si>
    <t>ADIT-AMT CR C/F-TAP-FED</t>
  </si>
  <si>
    <t>190887</t>
  </si>
  <si>
    <t>FED ADIT on State Tax Accrual</t>
  </si>
  <si>
    <t>190983</t>
  </si>
  <si>
    <t>ADIT-NOL C/F TAP-Fed-Non-curr</t>
  </si>
  <si>
    <t>190986</t>
  </si>
  <si>
    <t>ADIT-Contrib C/F St Non-Cur</t>
  </si>
  <si>
    <t>190P51</t>
  </si>
  <si>
    <t>ADIT-Ben-Potnt Disall UTPs Res</t>
  </si>
  <si>
    <t>Other.</t>
  </si>
  <si>
    <t>282111</t>
  </si>
  <si>
    <t>Liberalized Depreciation-Fed</t>
  </si>
  <si>
    <t>Liberalized tax depreciation.</t>
  </si>
  <si>
    <t>282112</t>
  </si>
  <si>
    <t>Liberalized Deprec - State</t>
  </si>
  <si>
    <t>282117</t>
  </si>
  <si>
    <t>Section 481A Adj Fed</t>
  </si>
  <si>
    <t>282118</t>
  </si>
  <si>
    <t>Section 481A Adj State</t>
  </si>
  <si>
    <t>282139</t>
  </si>
  <si>
    <t>Constr Fund Interest-Fed</t>
  </si>
  <si>
    <t>282140</t>
  </si>
  <si>
    <t>Constr Fund Interest-St</t>
  </si>
  <si>
    <t>282141</t>
  </si>
  <si>
    <t>Cost Of Money On Aecc - Fed</t>
  </si>
  <si>
    <t>282142</t>
  </si>
  <si>
    <t>Cost Of Money On Aecc  - St</t>
  </si>
  <si>
    <t>282167</t>
  </si>
  <si>
    <t>Taxes &amp; Pensions Cap.- Fed</t>
  </si>
  <si>
    <t>Plant basis difference.</t>
  </si>
  <si>
    <t>282168</t>
  </si>
  <si>
    <t>Taxes &amp; Pensions Cap - State</t>
  </si>
  <si>
    <t>282175</t>
  </si>
  <si>
    <t>Afdc Book Only Gross - Fed</t>
  </si>
  <si>
    <t>282176</t>
  </si>
  <si>
    <t>Afdc Book Only Gross - State</t>
  </si>
  <si>
    <t>282211</t>
  </si>
  <si>
    <t>Nuclear Fuel - Federal</t>
  </si>
  <si>
    <t>282212</t>
  </si>
  <si>
    <t>Nuclear Fuel - State</t>
  </si>
  <si>
    <t>282217</t>
  </si>
  <si>
    <t>Coal Car - Fed</t>
  </si>
  <si>
    <t>282218</t>
  </si>
  <si>
    <t>Coal Car - State</t>
  </si>
  <si>
    <t>282221</t>
  </si>
  <si>
    <t>Fiber Optics-Fed</t>
  </si>
  <si>
    <t>282222</t>
  </si>
  <si>
    <t>Fiber Optics - State</t>
  </si>
  <si>
    <t>282223</t>
  </si>
  <si>
    <t>Repairs &amp; Maint Exp - Federal</t>
  </si>
  <si>
    <t>282224</t>
  </si>
  <si>
    <t>Repairs &amp; Maint Exp - State</t>
  </si>
  <si>
    <t>282241</t>
  </si>
  <si>
    <t>R&amp;E Deduction - Fed</t>
  </si>
  <si>
    <t>282242</t>
  </si>
  <si>
    <t>R&amp;E Deduction - St</t>
  </si>
  <si>
    <t>282245</t>
  </si>
  <si>
    <t>Warranty Expense - Federal</t>
  </si>
  <si>
    <t>282246</t>
  </si>
  <si>
    <t>Warranty Expense - State</t>
  </si>
  <si>
    <t>282311</t>
  </si>
  <si>
    <t>Int Inc Pol Control Bonds-Fed</t>
  </si>
  <si>
    <t>282312</t>
  </si>
  <si>
    <t>Int Inc Pol Control Bonds-St</t>
  </si>
  <si>
    <t>282331</t>
  </si>
  <si>
    <t>Misc Intangible Plant-Federal</t>
  </si>
  <si>
    <t>Intangible and General plant</t>
  </si>
  <si>
    <t>282332</t>
  </si>
  <si>
    <t>Misc Intangible Plant-State</t>
  </si>
  <si>
    <t>282341</t>
  </si>
  <si>
    <t>Interest - Deferred Pay - Fed</t>
  </si>
  <si>
    <t>282342</t>
  </si>
  <si>
    <t>Interest - Deferred Pay - St</t>
  </si>
  <si>
    <t>282351</t>
  </si>
  <si>
    <t>Tax Int (Avoided Cost)-Fed</t>
  </si>
  <si>
    <t>282352</t>
  </si>
  <si>
    <t>Tax Int (Avoided Cost) - St</t>
  </si>
  <si>
    <t>282371</t>
  </si>
  <si>
    <t>Cont In Aid Of Constr - Fed</t>
  </si>
  <si>
    <t>282372</t>
  </si>
  <si>
    <t>Cont In Aid Of Constr - State</t>
  </si>
  <si>
    <t>282381</t>
  </si>
  <si>
    <t>Construction Power - Fed</t>
  </si>
  <si>
    <t>282382</t>
  </si>
  <si>
    <t>Construction Power - State</t>
  </si>
  <si>
    <t>282391</t>
  </si>
  <si>
    <t>Ises Book Deprec Cap - Fed</t>
  </si>
  <si>
    <t>282392</t>
  </si>
  <si>
    <t>Ises Book Deprec Cap - State</t>
  </si>
  <si>
    <t>282461</t>
  </si>
  <si>
    <t>Computer Software Cap - Fed</t>
  </si>
  <si>
    <t>282462</t>
  </si>
  <si>
    <t>Computer Software Cap - State</t>
  </si>
  <si>
    <t>282465</t>
  </si>
  <si>
    <t>Ises Synchronization Adj - Fed</t>
  </si>
  <si>
    <t>282466</t>
  </si>
  <si>
    <t>Ises Synchronization Adj - St</t>
  </si>
  <si>
    <t>282475</t>
  </si>
  <si>
    <t>Contra Securitization -Federal</t>
  </si>
  <si>
    <t>Securitized Plant Related.</t>
  </si>
  <si>
    <t>282476</t>
  </si>
  <si>
    <t>Contra Securitization - State</t>
  </si>
  <si>
    <t>282481</t>
  </si>
  <si>
    <t>Full Norm Of Prod Plant - Fed</t>
  </si>
  <si>
    <t>282482</t>
  </si>
  <si>
    <t>Full Norm Of Prod Plant - St</t>
  </si>
  <si>
    <t>282533</t>
  </si>
  <si>
    <t>Casualty Loss Deduction-Fed</t>
  </si>
  <si>
    <t>282534</t>
  </si>
  <si>
    <t>Casualty Loss Deduction-St</t>
  </si>
  <si>
    <t>282701</t>
  </si>
  <si>
    <t>282702</t>
  </si>
  <si>
    <t>282901</t>
  </si>
  <si>
    <t>263A Method Change-DSC - Fed</t>
  </si>
  <si>
    <t>282902</t>
  </si>
  <si>
    <t>263A Method Change - DSC-State</t>
  </si>
  <si>
    <t>282903</t>
  </si>
  <si>
    <t>Units of Production Ded - Fed</t>
  </si>
  <si>
    <t>282904</t>
  </si>
  <si>
    <t>Units of Production Ded - St</t>
  </si>
  <si>
    <t>282975</t>
  </si>
  <si>
    <t>Depreciation Expense - Fed</t>
  </si>
  <si>
    <t>282976</t>
  </si>
  <si>
    <t>Depreciation Expense - State</t>
  </si>
  <si>
    <t>283151</t>
  </si>
  <si>
    <t>Regulatory Asset - Federal</t>
  </si>
  <si>
    <t>283152</t>
  </si>
  <si>
    <t>Regulatory Asset - State</t>
  </si>
  <si>
    <t>283165</t>
  </si>
  <si>
    <t>Syst Agrmt Equal Reg Asset-Fed</t>
  </si>
  <si>
    <t>Production cost related.</t>
  </si>
  <si>
    <t>283166</t>
  </si>
  <si>
    <t>Syst Agrmt Equal Reg Asset-St</t>
  </si>
  <si>
    <t>283181</t>
  </si>
  <si>
    <t>Maint/Refueling - Fed</t>
  </si>
  <si>
    <t>283182</t>
  </si>
  <si>
    <t>Maint/Refueling - St</t>
  </si>
  <si>
    <t>283213</t>
  </si>
  <si>
    <t>SFAS 158 Def Tax Liability-Fed</t>
  </si>
  <si>
    <t>283214</t>
  </si>
  <si>
    <t>SFAS 158 Def Tax Liability-St</t>
  </si>
  <si>
    <t>283221</t>
  </si>
  <si>
    <t>Bond Reacquisition Loss - Fed</t>
  </si>
  <si>
    <t>283222</t>
  </si>
  <si>
    <t>Bond Reacquisition Loss - St</t>
  </si>
  <si>
    <t>283225</t>
  </si>
  <si>
    <t>Section 475 Adjustment-Fed</t>
  </si>
  <si>
    <t>Mark to market of purchase power contracts.</t>
  </si>
  <si>
    <t>283226</t>
  </si>
  <si>
    <t>Section 475 Adjustment-St</t>
  </si>
  <si>
    <t>Miscellaneous including Account 186</t>
  </si>
  <si>
    <t>283247</t>
  </si>
  <si>
    <t>Transco Costs - Federal</t>
  </si>
  <si>
    <t>Transmission related costs deducted as repairs for tax and capitalized for books.</t>
  </si>
  <si>
    <t>283248</t>
  </si>
  <si>
    <t>Transco Costs - State</t>
  </si>
  <si>
    <t>283325</t>
  </si>
  <si>
    <t>Tcby Tower (Cadc)-Fed</t>
  </si>
  <si>
    <t>283326</t>
  </si>
  <si>
    <t>Tcby Tower (Cadc)-St</t>
  </si>
  <si>
    <t>283345</t>
  </si>
  <si>
    <t>Misc Cap Costs-Fed</t>
  </si>
  <si>
    <t>283346</t>
  </si>
  <si>
    <t>Misc Cap Costs-State</t>
  </si>
  <si>
    <t>283357</t>
  </si>
  <si>
    <t>Tca - 30 Year Retail - Federal</t>
  </si>
  <si>
    <t>Account 182357 - Regulatory Asset - 30Yr Retail</t>
  </si>
  <si>
    <t>283358</t>
  </si>
  <si>
    <t>Tca - 30 Year Retail - State</t>
  </si>
  <si>
    <t>283361</t>
  </si>
  <si>
    <t>Prepaid Expenses Federal</t>
  </si>
  <si>
    <t>Prepaid costs in FERC account 165 that were deducted for tax.</t>
  </si>
  <si>
    <t>283362</t>
  </si>
  <si>
    <t>Prepaid Expenses State</t>
  </si>
  <si>
    <t>283371</t>
  </si>
  <si>
    <t>Decon &amp; Decomm Fund - Fed</t>
  </si>
  <si>
    <t>283372</t>
  </si>
  <si>
    <t>Decon &amp; Decomm Fund - St</t>
  </si>
  <si>
    <t>283701</t>
  </si>
  <si>
    <t>283702</t>
  </si>
  <si>
    <t>283901</t>
  </si>
  <si>
    <t>263A Method Change - Federal</t>
  </si>
  <si>
    <t>283F48</t>
  </si>
  <si>
    <t>FIN 48 Adjustment</t>
  </si>
  <si>
    <t>456104 - Cwl Transmission Revenue</t>
  </si>
  <si>
    <t>456105 - Transmisn Service Rev-Non Firm</t>
  </si>
  <si>
    <t>456107 - Network Transmission Revenue- NITB Bulk</t>
  </si>
  <si>
    <t>456111 - Non-Firm Transmission Revenue</t>
  </si>
  <si>
    <t>456112 - Short Term Firm Transm Revenue</t>
  </si>
  <si>
    <t>456113 - Long Term Firm Transm Revenue</t>
  </si>
  <si>
    <t>456102 - Gia Annual Fees</t>
  </si>
  <si>
    <t>456107 - Network Transmission Revenue- Nits Dist. Sub</t>
  </si>
  <si>
    <t>456108 - Schdlg Syst Control &amp; Dispatch</t>
  </si>
  <si>
    <t>456127 - RTO &amp; ICT Operations Costs Rec</t>
  </si>
  <si>
    <t>4561FR - FFR Transm Revenue</t>
  </si>
  <si>
    <t>456117 - Reg &amp; Freq Response Trans Rev</t>
  </si>
  <si>
    <t>456118 - Spinning Reserve Ptp Tran Rev</t>
  </si>
  <si>
    <t>456119 - Suppl Reserve Ptp Tran Rev</t>
  </si>
  <si>
    <t xml:space="preserve">Total </t>
  </si>
  <si>
    <t>Taxes Other Than Income</t>
  </si>
  <si>
    <t>FICA</t>
  </si>
  <si>
    <t>Fed Unemployment</t>
  </si>
  <si>
    <t>State Unemployment</t>
  </si>
  <si>
    <t>Gross Receipts &amp; Sales Tax</t>
  </si>
  <si>
    <t>Use Tax</t>
  </si>
  <si>
    <t>Gross Receipts Privilege Tax</t>
  </si>
  <si>
    <t xml:space="preserve">Franchise Tax- Local </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</si>
  <si>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</si>
  <si>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</si>
  <si>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</si>
  <si>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</si>
  <si>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</si>
  <si>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</si>
  <si>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</si>
  <si>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</si>
  <si>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</si>
  <si>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</si>
  <si>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</si>
  <si>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</si>
  <si>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</si>
  <si>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</si>
  <si>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</si>
  <si>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</si>
  <si>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</si>
  <si>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</si>
  <si>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</si>
  <si>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</si>
  <si>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</si>
  <si>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</si>
  <si>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</si>
  <si>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</si>
  <si>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</si>
  <si>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</si>
  <si>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</si>
  <si>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</si>
  <si>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</si>
  <si>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</si>
  <si>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</si>
  <si>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</si>
  <si>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</si>
  <si>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</si>
  <si>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</si>
  <si>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</si>
  <si>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</si>
  <si>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</si>
  <si>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</si>
  <si>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</si>
  <si>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</si>
  <si>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</si>
  <si>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</si>
  <si>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</si>
  <si>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</si>
  <si>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</si>
  <si>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</si>
  <si>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</si>
  <si>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</si>
  <si>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</si>
  <si>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</si>
  <si>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</si>
  <si>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</si>
  <si>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</si>
  <si>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</si>
  <si>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</si>
  <si>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</si>
  <si>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</si>
  <si>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</si>
  <si>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</si>
  <si>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</si>
  <si>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</si>
  <si>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</si>
  <si>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</si>
  <si>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</si>
  <si>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</si>
  <si>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</si>
  <si>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</si>
  <si>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</si>
  <si>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</si>
  <si>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</si>
  <si>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</si>
  <si>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</si>
  <si>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</si>
  <si>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</si>
  <si>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</si>
  <si>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</si>
  <si>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ITC Adjustment Allocated to Transmission</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</si>
  <si>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</si>
  <si>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</si>
  <si>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</si>
  <si>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</si>
  <si>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</si>
  <si>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</si>
  <si>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</si>
  <si>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</si>
  <si>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</si>
  <si>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</si>
  <si>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</si>
  <si>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</si>
  <si>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</si>
  <si>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</si>
  <si>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</si>
  <si>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</si>
  <si>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</si>
  <si>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</si>
  <si>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</si>
  <si>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</si>
  <si>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</si>
  <si>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</si>
  <si>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</si>
  <si>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</si>
  <si>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</si>
  <si>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</si>
  <si>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</si>
  <si>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</si>
  <si>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</si>
  <si>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</si>
  <si>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</si>
  <si>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</si>
  <si>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</si>
  <si>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</si>
  <si>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</si>
  <si>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</si>
  <si>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</si>
  <si>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</si>
  <si>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</si>
  <si>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</si>
  <si>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</si>
  <si>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</si>
  <si>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</si>
  <si>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</si>
  <si>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</si>
  <si>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</si>
  <si>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</si>
  <si>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</si>
  <si>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</si>
  <si>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</si>
  <si>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</si>
  <si>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</si>
  <si>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</si>
  <si>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</si>
  <si>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</si>
  <si>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</si>
  <si>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</si>
  <si>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</si>
  <si>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</si>
  <si>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</si>
  <si>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</si>
  <si>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</si>
  <si>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</si>
  <si>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</si>
  <si>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</si>
  <si>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</si>
  <si>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</si>
  <si>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</si>
  <si>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</si>
  <si>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</si>
  <si>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</si>
  <si>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</si>
  <si>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</si>
  <si>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</si>
  <si>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</si>
  <si>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</si>
  <si>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</si>
  <si>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</si>
  <si>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</si>
  <si>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Entergy Arkansas, Inc.</t>
  </si>
  <si>
    <t>408110 - Employment Taxes</t>
  </si>
  <si>
    <t>(1)</t>
  </si>
  <si>
    <t>Generation</t>
  </si>
  <si>
    <t>General Plant</t>
  </si>
  <si>
    <t>165SAI</t>
  </si>
  <si>
    <t>Attachment O</t>
  </si>
  <si>
    <t>Account</t>
  </si>
  <si>
    <t>4031AM</t>
  </si>
  <si>
    <t>4031AM - Deprec Exp billed from Serv Co Total</t>
  </si>
  <si>
    <t>408110 - Employment Taxes Total</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</si>
  <si>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</si>
  <si>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</si>
  <si>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</si>
  <si>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</si>
  <si>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</si>
  <si>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</si>
  <si>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</si>
  <si>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</si>
  <si>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</si>
  <si>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</si>
  <si>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</si>
  <si>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</si>
  <si>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</si>
  <si>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920000 - Adm &amp; General Salaries</t>
  </si>
  <si>
    <t>921000 - Office Supplies And Expenses</t>
  </si>
  <si>
    <t>923000 - Outside Services Employed</t>
  </si>
  <si>
    <t>926000 - Employee Pension &amp; Benefits</t>
  </si>
  <si>
    <t>Steam Production</t>
  </si>
  <si>
    <t>Nuclear Production</t>
  </si>
  <si>
    <t>Hydraulic Production</t>
  </si>
  <si>
    <t>RTMO</t>
  </si>
  <si>
    <t>General</t>
  </si>
  <si>
    <t>Note:</t>
  </si>
  <si>
    <t>Nuclear plant related.</t>
  </si>
  <si>
    <t>190122</t>
  </si>
  <si>
    <t>ANO Shutdown Costs - State</t>
  </si>
  <si>
    <t>190131</t>
  </si>
  <si>
    <t>Ggi-Arrc-Over/Under Rcv-Fed</t>
  </si>
  <si>
    <t>190132</t>
  </si>
  <si>
    <t>Ggi-Arrc-Over/Under Rcv-St</t>
  </si>
  <si>
    <t>190151</t>
  </si>
  <si>
    <t>Taxable Unbilled Revenue-Fed</t>
  </si>
  <si>
    <t>190152</t>
  </si>
  <si>
    <t>Taxable Unbilled Revenue-St</t>
  </si>
  <si>
    <t>190161</t>
  </si>
  <si>
    <t>Property Ins Reserve-Fed</t>
  </si>
  <si>
    <t>Reserve for Property insurance - a book accrual.</t>
  </si>
  <si>
    <t>190162</t>
  </si>
  <si>
    <t>Property Ins Reserve-State</t>
  </si>
  <si>
    <t>190163</t>
  </si>
  <si>
    <t>Capitalized Repairs - Fed</t>
  </si>
  <si>
    <t>Property O&amp;M repair costs for book required to be depreciated for tax.</t>
  </si>
  <si>
    <t>190164</t>
  </si>
  <si>
    <t>Capitalized Repairs - State</t>
  </si>
  <si>
    <t>190171</t>
  </si>
  <si>
    <t>Inj &amp; Damages Reserve-Fed</t>
  </si>
  <si>
    <t>Reserve for Injuries and Damages - a book accrual.</t>
  </si>
  <si>
    <t>190172</t>
  </si>
  <si>
    <t>Inj &amp; Damages Reserve-State</t>
  </si>
  <si>
    <t>190191</t>
  </si>
  <si>
    <t>Customer Deposits-Fed</t>
  </si>
  <si>
    <t>Customer deposit recorded in account 253</t>
  </si>
  <si>
    <t>190192</t>
  </si>
  <si>
    <t>190211</t>
  </si>
  <si>
    <t>Unfunded Pension Exp-Fed</t>
  </si>
  <si>
    <t>Employee Benefit</t>
  </si>
  <si>
    <t>190212</t>
  </si>
  <si>
    <t>Unfunded Pension Exp-State</t>
  </si>
  <si>
    <t>190213</t>
  </si>
  <si>
    <t>SFAS 158 Def Tax Asset - Fed</t>
  </si>
  <si>
    <t>190214</t>
  </si>
  <si>
    <t>SFAS 158 Def Tax Asset - State</t>
  </si>
  <si>
    <t>190215</t>
  </si>
  <si>
    <t>Supplemental Pension Plan-Fed</t>
  </si>
  <si>
    <t>190216</t>
  </si>
  <si>
    <t>Supplemental Pension Plan-St</t>
  </si>
  <si>
    <t>190221</t>
  </si>
  <si>
    <t>190222</t>
  </si>
  <si>
    <t>190241</t>
  </si>
  <si>
    <t>Deferred Fuel/Gas-Fed</t>
  </si>
  <si>
    <t>Production related.</t>
  </si>
  <si>
    <t>190242</t>
  </si>
  <si>
    <t>Deferred Fuel/Gas-St</t>
  </si>
  <si>
    <t>190251</t>
  </si>
  <si>
    <t>Removal Cost - Fed</t>
  </si>
  <si>
    <t>Net negative salvage is related to plant.</t>
  </si>
  <si>
    <t>190252</t>
  </si>
  <si>
    <t>Removal Cost - State</t>
  </si>
  <si>
    <t>190311</t>
  </si>
  <si>
    <t>Decommissioning-Fed</t>
  </si>
  <si>
    <t>190312</t>
  </si>
  <si>
    <t>Decommissioning-State</t>
  </si>
  <si>
    <t>190331</t>
  </si>
  <si>
    <t>Accrued Medical Claims-Fed</t>
  </si>
  <si>
    <t>190332</t>
  </si>
  <si>
    <t>Accrued Medical Claims-State</t>
  </si>
  <si>
    <t>190351</t>
  </si>
  <si>
    <t>Uncollect Accts Reserve-Fed</t>
  </si>
  <si>
    <t>FERC account 144 - Book reserve for uncollectible accounts.</t>
  </si>
  <si>
    <t>190352</t>
  </si>
  <si>
    <t>Uncollect Accts Reserve-St</t>
  </si>
  <si>
    <t>190375</t>
  </si>
  <si>
    <t>Regulatory Liability-Federal</t>
  </si>
  <si>
    <t>Rounding</t>
  </si>
  <si>
    <t>190376</t>
  </si>
  <si>
    <t>Regulatory Liability-State</t>
  </si>
  <si>
    <t>190381</t>
  </si>
  <si>
    <t>Partnership Income/Loss - Fed</t>
  </si>
  <si>
    <t>Unregulated partnership interest.</t>
  </si>
  <si>
    <t>190382</t>
  </si>
  <si>
    <t>Partnership Income/Loss-State</t>
  </si>
  <si>
    <t>190391</t>
  </si>
  <si>
    <t>Contract Def Revenue-Fed</t>
  </si>
  <si>
    <t>Deferred Revenue FERC account 242500</t>
  </si>
  <si>
    <t>190392</t>
  </si>
  <si>
    <t>Contract Def Revenue-State</t>
  </si>
  <si>
    <t>190421</t>
  </si>
  <si>
    <t>Environmental Reserve-Fed</t>
  </si>
  <si>
    <t>FERC Accounts 228400 and 228403</t>
  </si>
  <si>
    <t>190422</t>
  </si>
  <si>
    <t>Environmental Reserve-State</t>
  </si>
  <si>
    <t>190451</t>
  </si>
  <si>
    <t>Incentive-Fed</t>
  </si>
  <si>
    <t>190452</t>
  </si>
  <si>
    <t>Incentive-State</t>
  </si>
  <si>
    <t>190465</t>
  </si>
  <si>
    <t>190466</t>
  </si>
  <si>
    <t>190513</t>
  </si>
  <si>
    <t>Entergy Stck Invstmnt Plan-Fed</t>
  </si>
  <si>
    <t>190514</t>
  </si>
  <si>
    <t>Entergy Stock Invstmnt Plan-St</t>
  </si>
  <si>
    <t>190517</t>
  </si>
  <si>
    <t>Long-Term Incentive Comp-Feder</t>
  </si>
  <si>
    <t>190518</t>
  </si>
  <si>
    <t>Long-Term Incentive Comp-State</t>
  </si>
  <si>
    <t>190519</t>
  </si>
  <si>
    <t>Stock Options - Federal</t>
  </si>
  <si>
    <t>190520</t>
  </si>
  <si>
    <t>Stock Options - State</t>
  </si>
  <si>
    <t>190523</t>
  </si>
  <si>
    <t>Stock Options Exercised-Fed</t>
  </si>
  <si>
    <t>190524</t>
  </si>
  <si>
    <t>190525</t>
  </si>
  <si>
    <t>Restricted Stock Awards-Fed</t>
  </si>
  <si>
    <t>190526</t>
  </si>
  <si>
    <t>Restricted Stock Awards-State</t>
  </si>
  <si>
    <t>190531</t>
  </si>
  <si>
    <t>Deferred directors compensation.</t>
  </si>
  <si>
    <t>190532</t>
  </si>
  <si>
    <t>190603</t>
  </si>
  <si>
    <t>Rate Refund-Federal</t>
  </si>
  <si>
    <t>FERC account 229 - Accum provision for rate refund not deducted for tax.</t>
  </si>
  <si>
    <t>190604</t>
  </si>
  <si>
    <t>Rate Refund-State</t>
  </si>
  <si>
    <t>190609</t>
  </si>
  <si>
    <t>190610</t>
  </si>
  <si>
    <t>190641</t>
  </si>
  <si>
    <t>EAI Retail AFUDC disallowance.</t>
  </si>
  <si>
    <t>190642</t>
  </si>
  <si>
    <t>190701</t>
  </si>
  <si>
    <t>Fas 109 Adjustment - Fed</t>
  </si>
  <si>
    <t>FASB 109 is removed from filing.</t>
  </si>
  <si>
    <t>190702</t>
  </si>
  <si>
    <t>Fas 109 Adjustment - State</t>
  </si>
  <si>
    <t>190881</t>
  </si>
  <si>
    <t>ADIT-NOL C/F-TAP-FED - Current</t>
  </si>
  <si>
    <t>190882</t>
  </si>
  <si>
    <t>Adit-Nol C/F - State-Current</t>
  </si>
  <si>
    <t>190883</t>
  </si>
  <si>
    <t>ADIT-Contribution C/F-TAP-FED</t>
  </si>
  <si>
    <t>Charitable contributions deduction carried forward.</t>
  </si>
  <si>
    <t>190884</t>
  </si>
  <si>
    <t>ADIT-Tax CR C/F-TAP-FED</t>
  </si>
  <si>
    <t>OpCo</t>
  </si>
  <si>
    <t>ESI</t>
  </si>
  <si>
    <t>ESI - Production</t>
  </si>
  <si>
    <t>ESI - Transmission</t>
  </si>
  <si>
    <t>ESI - Regional Market</t>
  </si>
  <si>
    <t>ESI - Distribution</t>
  </si>
  <si>
    <t>ESI - Customer Accounts</t>
  </si>
  <si>
    <t>ESI - Customer Service</t>
  </si>
  <si>
    <t>ESI - Sales</t>
  </si>
  <si>
    <t>EOI - Payroll</t>
  </si>
  <si>
    <t>EOI - A&amp;G</t>
  </si>
  <si>
    <t>190111</t>
  </si>
  <si>
    <t>Accrued interest on tax deficiencies - FIN48 accrued interest.</t>
  </si>
  <si>
    <t>190112</t>
  </si>
  <si>
    <t>190121</t>
  </si>
  <si>
    <t>ANO Shutdown Costs - Fed</t>
  </si>
  <si>
    <t>Difference between unbilled revenue reported for tax and book.</t>
  </si>
  <si>
    <t>ADIT- 281</t>
  </si>
  <si>
    <t>Accum Prov For Injuries &amp; Dam</t>
  </si>
  <si>
    <t>Reserve For Inj &amp; Dam - Legal</t>
  </si>
  <si>
    <t>Acc Prov-P&amp;B-Opeb</t>
  </si>
  <si>
    <t>Acc Prov-Pen&amp;Ben-Hosp Res-Adj</t>
  </si>
  <si>
    <t>Accum Prov For Prop Insurance</t>
  </si>
  <si>
    <t>Int on Accum Prov for Prop Ins</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</si>
  <si>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</si>
  <si>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</si>
  <si>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</si>
  <si>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</si>
  <si>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</si>
  <si>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</si>
  <si>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</si>
  <si>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</si>
  <si>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</si>
  <si>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</si>
  <si>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</si>
  <si>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</si>
  <si>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</si>
  <si>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</si>
  <si>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</si>
  <si>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</si>
  <si>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</si>
  <si>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</si>
  <si>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</si>
  <si>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</si>
  <si>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</si>
  <si>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</si>
  <si>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</si>
  <si>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</si>
  <si>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</si>
  <si>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</si>
  <si>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</si>
  <si>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</si>
  <si>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</si>
  <si>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</si>
  <si>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</si>
  <si>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</si>
  <si>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</si>
  <si>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</si>
  <si>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</si>
  <si>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</si>
  <si>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228102</t>
  </si>
  <si>
    <t>EAI 2009 Ice Storm Non-Retail</t>
  </si>
  <si>
    <t>2281FR</t>
  </si>
  <si>
    <t>Property Ins. Prov. Reclass</t>
  </si>
  <si>
    <t>Accum Prov - Coal Car Maint</t>
  </si>
  <si>
    <t>Acc Provision-Commer Litigatio</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</si>
  <si>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</si>
  <si>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</si>
  <si>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</si>
  <si>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</si>
  <si>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</si>
  <si>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</si>
  <si>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</si>
  <si>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</si>
  <si>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928000</t>
  </si>
  <si>
    <t>930100</t>
  </si>
  <si>
    <t>Ad Valorem Tax</t>
  </si>
  <si>
    <t>*</t>
  </si>
  <si>
    <t>13 Month Average</t>
  </si>
  <si>
    <t>165000</t>
  </si>
  <si>
    <t>165004</t>
  </si>
  <si>
    <t>165100</t>
  </si>
  <si>
    <t>165101</t>
  </si>
  <si>
    <t>165143</t>
  </si>
  <si>
    <t>165400</t>
  </si>
  <si>
    <t>165403</t>
  </si>
  <si>
    <t>165506</t>
  </si>
  <si>
    <t>165507</t>
  </si>
  <si>
    <t>165508</t>
  </si>
  <si>
    <t>165510</t>
  </si>
  <si>
    <t>165525</t>
  </si>
  <si>
    <t>Interconnection Facilities</t>
  </si>
  <si>
    <t>Account Name</t>
  </si>
  <si>
    <t>228403</t>
  </si>
  <si>
    <t>228402</t>
  </si>
  <si>
    <t>228401</t>
  </si>
  <si>
    <t>228400</t>
  </si>
  <si>
    <t>228308</t>
  </si>
  <si>
    <t>228301</t>
  </si>
  <si>
    <t>228210</t>
  </si>
  <si>
    <t>228200</t>
  </si>
  <si>
    <t>228151</t>
  </si>
  <si>
    <t>228101</t>
  </si>
  <si>
    <t>228100</t>
  </si>
  <si>
    <t>Insurance proceeds-O&amp;M</t>
  </si>
  <si>
    <t>Acc Misc-Operating Prov</t>
  </si>
  <si>
    <t>Ltd - Decomm &amp; Decontam</t>
  </si>
  <si>
    <t>Cumulative</t>
  </si>
  <si>
    <t>301-Organization (5 year life)</t>
  </si>
  <si>
    <t>302-Franchises and Consents (5 year life)</t>
  </si>
  <si>
    <t>302-Franchises and Consents (30 year life)</t>
  </si>
  <si>
    <t>302-Franchises and Consents (50 year life)</t>
  </si>
  <si>
    <t>303-Miscellaneous Intangible Plant (5 year life)</t>
  </si>
  <si>
    <t>303-Miscellaneous Intangible Plant (10 year life)</t>
  </si>
  <si>
    <t>303-Miscellaneous Intangible Plant (30 year life)</t>
  </si>
  <si>
    <t>303-Miscellaneous Intangible Plant (50 year life)</t>
  </si>
  <si>
    <t>ESI - Administrative &amp; General</t>
  </si>
  <si>
    <t>FERC Form 1  Page # or Reference</t>
  </si>
  <si>
    <t>Customer Deposits-State</t>
  </si>
  <si>
    <t>Deferred Director's Fees-Fed</t>
  </si>
  <si>
    <t>Deferred Director's Fees-St</t>
  </si>
  <si>
    <t>Employee tax credit carry forwards.</t>
  </si>
  <si>
    <t>Federal ADIT on state tax accruals is related to net operating loss carry forward.</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</si>
  <si>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</si>
  <si>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</si>
  <si>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</si>
  <si>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</si>
  <si>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</si>
  <si>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</si>
  <si>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</si>
  <si>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</si>
  <si>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</si>
  <si>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</si>
  <si>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</si>
  <si>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</si>
  <si>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456410 - Transm Equal Charges</t>
  </si>
  <si>
    <t>456000 - Other Electric Revenue</t>
  </si>
  <si>
    <t>456001 - Fees-Gustav/Ike Securitization</t>
  </si>
  <si>
    <t>456002 - Distribution Substation Svc.</t>
  </si>
  <si>
    <t>456100 - Miscellaneous Revenue</t>
  </si>
  <si>
    <t>456101 - Side Lights</t>
  </si>
  <si>
    <t>456110 - Ar Gross Receipts Tax</t>
  </si>
  <si>
    <t>456200 - Unbilled Revenue</t>
  </si>
  <si>
    <t>456300 - Unbilled Revenue-Wholesale</t>
  </si>
  <si>
    <t>456420 - Affiliate service fee revenue</t>
  </si>
  <si>
    <t>456500 - Other Elec Rev - Discounts</t>
  </si>
  <si>
    <t>165RNT</t>
  </si>
  <si>
    <t>Less Attachment GG Adj.</t>
  </si>
  <si>
    <t>Less Attachment MM Adj.</t>
  </si>
  <si>
    <t>Hot Spring Power Block 1 - Prod. Other - EAI 1800</t>
  </si>
  <si>
    <t>Ouachita Plant Common - Prod. Other - 1500</t>
  </si>
  <si>
    <t>Ouachita Plant Unit 1 - Prod. Other - EAI - 1501</t>
  </si>
  <si>
    <t>Ouachita Plant Unit 2 - Prod. Other - EAI - 1502</t>
  </si>
  <si>
    <t>Ouachita Plant Unit 3 - Prod. Other - EGSL - 1503</t>
  </si>
  <si>
    <t>Severance Accrual - Federal</t>
  </si>
  <si>
    <t>Severance Accrual - State</t>
  </si>
  <si>
    <t>Tangible Prop Regs-481 Adj-Fed</t>
  </si>
  <si>
    <t>Tangible Prop Regs-481-St</t>
  </si>
  <si>
    <t>Regulatory Asset-MISO-Fed</t>
  </si>
  <si>
    <t>Regulatory Asset-MISO-State</t>
  </si>
  <si>
    <t>Regulatory Asset-HCM-Fed</t>
  </si>
  <si>
    <t>Regulatory Asset-HCM-State</t>
  </si>
  <si>
    <t>Regulatory Asset-MOARK-Fed</t>
  </si>
  <si>
    <t>Regulatory Asset-MOARK-State</t>
  </si>
  <si>
    <t>Asset Location</t>
  </si>
  <si>
    <t>Ouachita 500KV Switch Yard-EAI-LA - 2019</t>
  </si>
  <si>
    <t>143983</t>
  </si>
  <si>
    <t>143985</t>
  </si>
  <si>
    <t>143987</t>
  </si>
  <si>
    <t>143995</t>
  </si>
  <si>
    <t>408110</t>
  </si>
  <si>
    <t>500000</t>
  </si>
  <si>
    <t>506000</t>
  </si>
  <si>
    <t>507000</t>
  </si>
  <si>
    <t>510000</t>
  </si>
  <si>
    <t>556000</t>
  </si>
  <si>
    <t>557000</t>
  </si>
  <si>
    <t>560000</t>
  </si>
  <si>
    <t>561300</t>
  </si>
  <si>
    <t>561500</t>
  </si>
  <si>
    <t>566000</t>
  </si>
  <si>
    <t>569100</t>
  </si>
  <si>
    <t>903002</t>
  </si>
  <si>
    <t>905000</t>
  </si>
  <si>
    <t>909000</t>
  </si>
  <si>
    <t>920000</t>
  </si>
  <si>
    <t>921000</t>
  </si>
  <si>
    <t>923000</t>
  </si>
  <si>
    <t>925000</t>
  </si>
  <si>
    <t>926000</t>
  </si>
  <si>
    <t>930200</t>
  </si>
  <si>
    <t>931000</t>
  </si>
  <si>
    <t>930.2 - Misc. General Expense</t>
  </si>
  <si>
    <t>931 - Rents</t>
  </si>
  <si>
    <t>931000 - Rents</t>
  </si>
  <si>
    <t>VSP (Severance)</t>
  </si>
  <si>
    <t>Re-Organization Costs-Federal</t>
  </si>
  <si>
    <t>Re-Organization Costs - State</t>
  </si>
  <si>
    <t>Business Develop - FED</t>
  </si>
  <si>
    <t>Business Develop - State</t>
  </si>
  <si>
    <t>Account 1823HC - HCM Deferral</t>
  </si>
  <si>
    <t>MISO cost deferral account 1823MD.</t>
  </si>
  <si>
    <t>Ice Storm Related.</t>
  </si>
  <si>
    <t>456136 - Short Term Firm Transm Revenue</t>
  </si>
  <si>
    <t>456137 - Long Term Firm Transm Revenue</t>
  </si>
  <si>
    <t>456138 - Non Firm Transm Revenue</t>
  </si>
  <si>
    <t>456141 - MISO Sch 41 Stm Securitization</t>
  </si>
  <si>
    <t>Notes:</t>
  </si>
  <si>
    <t>456003 - MISO Mkt Sch 11 Wholesale Dist</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</si>
  <si>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</si>
  <si>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</si>
  <si>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</si>
  <si>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</si>
  <si>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</si>
  <si>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</si>
  <si>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</si>
  <si>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</si>
  <si>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</si>
  <si>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</si>
  <si>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</si>
  <si>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</si>
  <si>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</si>
  <si>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Depreciation Expense</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</si>
  <si>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</si>
  <si>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</si>
  <si>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</si>
  <si>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</si>
  <si>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</si>
  <si>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</si>
  <si>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</si>
  <si>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</si>
  <si>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</si>
  <si>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</si>
  <si>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</si>
  <si>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</si>
  <si>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</si>
  <si>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</si>
  <si>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</si>
  <si>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</si>
  <si>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</si>
  <si>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</si>
  <si>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</si>
  <si>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</si>
  <si>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</si>
  <si>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</si>
  <si>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</si>
  <si>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</si>
  <si>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</si>
  <si>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</si>
  <si>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</si>
  <si>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</si>
  <si>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</si>
  <si>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</si>
  <si>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</si>
  <si>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</si>
  <si>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</si>
  <si>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</si>
  <si>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</si>
  <si>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</si>
  <si>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</si>
  <si>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</si>
  <si>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</si>
  <si>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</si>
  <si>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</si>
  <si>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</si>
  <si>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</si>
  <si>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</si>
  <si>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</si>
  <si>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</si>
  <si>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</si>
  <si>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</si>
  <si>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</si>
  <si>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</si>
  <si>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</si>
  <si>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</si>
  <si>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</si>
  <si>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</si>
  <si>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</si>
  <si>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</si>
  <si>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</si>
  <si>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</si>
  <si>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</si>
  <si>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</si>
  <si>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</si>
  <si>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</si>
  <si>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</si>
  <si>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</si>
  <si>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</si>
  <si>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</si>
  <si>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</si>
  <si>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</si>
  <si>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</si>
  <si>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</si>
  <si>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</si>
  <si>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</si>
  <si>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</si>
  <si>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</si>
  <si>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</si>
  <si>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</si>
  <si>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</si>
  <si>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</si>
  <si>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</si>
  <si>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</si>
  <si>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</si>
  <si>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</si>
  <si>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</si>
  <si>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</si>
  <si>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</si>
  <si>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</si>
  <si>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</si>
  <si>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</si>
  <si>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</si>
  <si>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</si>
  <si>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</si>
  <si>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</si>
  <si>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</si>
  <si>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</si>
  <si>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</si>
  <si>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</si>
  <si>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</si>
  <si>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</si>
  <si>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Attachment O-EAI</t>
  </si>
  <si>
    <t>Included Transmission</t>
  </si>
  <si>
    <t>Excluded Transmission</t>
  </si>
  <si>
    <t>Production</t>
  </si>
  <si>
    <t>Intangible</t>
  </si>
  <si>
    <t>13-Mo Avg</t>
  </si>
  <si>
    <t xml:space="preserve">I </t>
  </si>
  <si>
    <t>Adjustments To Rate Base</t>
  </si>
  <si>
    <t>Alt Min tax credit carry forwards caused by a preference on tax depreciation.</t>
  </si>
  <si>
    <t>Fed NOL carry forward is related to all tax deductions including bonus tax deprec.</t>
  </si>
  <si>
    <t>State NOL carry forward is related to all tax deductions including bonus tax deprec.</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</si>
  <si>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</si>
  <si>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</si>
  <si>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</si>
  <si>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</si>
  <si>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</si>
  <si>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</si>
  <si>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</si>
  <si>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</si>
  <si>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</si>
  <si>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</si>
  <si>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</si>
  <si>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</si>
  <si>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</si>
  <si>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</si>
  <si>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</si>
  <si>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</si>
  <si>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</si>
  <si>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</si>
  <si>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</si>
  <si>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</si>
  <si>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EATO</t>
  </si>
  <si>
    <t>Avg 12 CP</t>
  </si>
  <si>
    <t>Peak Day</t>
  </si>
  <si>
    <t>Peak Hr</t>
  </si>
  <si>
    <t>Network Customers</t>
  </si>
  <si>
    <t>Long Term Firm PTP</t>
  </si>
  <si>
    <t>OpCo Native Load</t>
  </si>
  <si>
    <t>EAMP</t>
  </si>
  <si>
    <t>TPZ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</si>
  <si>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</si>
  <si>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</si>
  <si>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</si>
  <si>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</si>
  <si>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</si>
  <si>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</si>
  <si>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</si>
  <si>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</si>
  <si>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</si>
  <si>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</si>
  <si>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</si>
  <si>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</si>
  <si>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</si>
  <si>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</si>
  <si>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</si>
  <si>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</si>
  <si>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</si>
  <si>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</si>
  <si>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</si>
  <si>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</si>
  <si>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</si>
  <si>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</si>
  <si>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</si>
  <si>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228102 - EAI 2009 Ice Storm Non-Retail</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</si>
  <si>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</si>
  <si>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</si>
  <si>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</si>
  <si>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</si>
  <si>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</si>
  <si>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</si>
  <si>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</si>
  <si>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</si>
  <si>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</si>
  <si>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</si>
  <si>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</si>
  <si>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p336.7.f</t>
  </si>
  <si>
    <t>p336.10.f</t>
  </si>
  <si>
    <t>p336.1.f</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</si>
  <si>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</si>
  <si>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</si>
  <si>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</si>
  <si>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</si>
  <si>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</si>
  <si>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</si>
  <si>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</si>
  <si>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</si>
  <si>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</si>
  <si>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</si>
  <si>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</si>
  <si>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</si>
  <si>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</si>
  <si>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</si>
  <si>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Irrigation Load Control Amortization</t>
  </si>
  <si>
    <t>Total O&amp;M Adjustments</t>
  </si>
  <si>
    <t xml:space="preserve">Total A&amp;G Adjustments </t>
  </si>
  <si>
    <t xml:space="preserve">Other FERC Transmission Dockets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</si>
  <si>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</si>
  <si>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</si>
  <si>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</si>
  <si>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</si>
  <si>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</si>
  <si>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</si>
  <si>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</si>
  <si>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</si>
  <si>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</si>
  <si>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</si>
  <si>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</si>
  <si>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</si>
  <si>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</si>
  <si>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</si>
  <si>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</si>
  <si>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</si>
  <si>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</si>
  <si>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</si>
  <si>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</si>
  <si>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</si>
  <si>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</si>
  <si>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</si>
  <si>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</si>
  <si>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</si>
  <si>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</si>
  <si>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</si>
  <si>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</si>
  <si>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</si>
  <si>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</si>
  <si>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</si>
  <si>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</si>
  <si>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</si>
  <si>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</si>
  <si>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</si>
  <si>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</si>
  <si>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</si>
  <si>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</si>
  <si>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</si>
  <si>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</si>
  <si>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</si>
  <si>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</si>
  <si>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</si>
  <si>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</si>
  <si>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p.200.21c</t>
  </si>
  <si>
    <t>p.219.26c</t>
  </si>
  <si>
    <t>p.219.28c</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</si>
  <si>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</si>
  <si>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</si>
  <si>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</si>
  <si>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</si>
  <si>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</si>
  <si>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p.219.20.c - 24.c</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</si>
  <si>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</si>
  <si>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</si>
  <si>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</si>
  <si>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</si>
  <si>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</si>
  <si>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</si>
  <si>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</si>
  <si>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</si>
  <si>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</si>
  <si>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</si>
  <si>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</si>
  <si>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</si>
  <si>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</si>
  <si>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</si>
  <si>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</si>
  <si>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</si>
  <si>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</si>
  <si>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</si>
  <si>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</si>
  <si>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</si>
  <si>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</si>
  <si>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</si>
  <si>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</si>
  <si>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456120 - Fiber Optics (1)</t>
  </si>
  <si>
    <t>456139 - MISO Sch 9 Network</t>
  </si>
  <si>
    <t>Now is Direct Input w/ FF1 reference.</t>
  </si>
  <si>
    <t>p.214.47.d</t>
  </si>
  <si>
    <t>Less FASB 109 Above (Footnote p.234)</t>
  </si>
  <si>
    <t>Less FASB 109 p.276 &amp; 277 Footnote</t>
  </si>
  <si>
    <t>Total ADIT 283 Less FASB 109</t>
  </si>
  <si>
    <t>Related</t>
  </si>
  <si>
    <t>Depreciation Rates in this worksheet are for informational purposes only.</t>
  </si>
  <si>
    <t>The Entergy Operating Companies will not change the depreciation and amortization rates used in computing depreciation and amortization inputs to the Energy Companies’ formula rate templates unless approved by the Commission pursuant to a FPA section 205 or 206 filing.</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</si>
  <si>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</si>
  <si>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</si>
  <si>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</si>
  <si>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</si>
  <si>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</si>
  <si>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</si>
  <si>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</si>
  <si>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</si>
  <si>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</si>
  <si>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</si>
  <si>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</si>
  <si>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</si>
  <si>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</si>
  <si>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</si>
  <si>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</si>
  <si>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</si>
  <si>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</si>
  <si>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</si>
  <si>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</si>
  <si>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</si>
  <si>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</si>
  <si>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</si>
  <si>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</si>
  <si>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</si>
  <si>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</si>
  <si>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</si>
  <si>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</si>
  <si>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</si>
  <si>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</si>
  <si>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</si>
  <si>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</si>
  <si>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</si>
  <si>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</si>
  <si>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</si>
  <si>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</si>
  <si>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</si>
  <si>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</si>
  <si>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</si>
  <si>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</si>
  <si>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</si>
  <si>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</si>
  <si>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</si>
  <si>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</si>
  <si>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</si>
  <si>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</si>
  <si>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</si>
  <si>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</si>
  <si>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</si>
  <si>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</si>
  <si>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</si>
  <si>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</si>
  <si>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</si>
  <si>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</si>
  <si>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</si>
  <si>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</si>
  <si>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</si>
  <si>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</si>
  <si>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</si>
  <si>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</si>
  <si>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</si>
  <si>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</si>
  <si>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</si>
  <si>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</si>
  <si>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</si>
  <si>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</si>
  <si>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</si>
  <si>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</si>
  <si>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Intrst/Tax-Tax Deficiency-Fed</t>
  </si>
  <si>
    <t>Intrst/Tax-Tax Deficiency-St</t>
  </si>
  <si>
    <t>Fast 106 Other Retire Ben-Fed</t>
  </si>
  <si>
    <t>Fast 106 Other Retire Ben-State</t>
  </si>
  <si>
    <t>ANO Bldg Sale-Fed</t>
  </si>
  <si>
    <t>ANO Bldg Sale-State</t>
  </si>
  <si>
    <t>Stock Options Exercised-St</t>
  </si>
  <si>
    <t>Sale Of EPA Allowances - Fed</t>
  </si>
  <si>
    <t>Sale Of EPA Allowances - St</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</si>
  <si>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</si>
  <si>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</si>
  <si>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</si>
  <si>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</si>
  <si>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</si>
  <si>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</si>
  <si>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Depreciation Rate</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</si>
  <si>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</si>
  <si>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</si>
  <si>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</si>
  <si>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</si>
  <si>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</si>
  <si>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</si>
  <si>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</si>
  <si>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</si>
  <si>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</si>
  <si>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</si>
  <si>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</si>
  <si>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</si>
  <si>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</si>
  <si>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</si>
  <si>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</si>
  <si>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</si>
  <si>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</si>
  <si>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</si>
  <si>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</si>
  <si>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</si>
  <si>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</si>
  <si>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</si>
  <si>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</si>
  <si>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</si>
  <si>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</si>
  <si>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</si>
  <si>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</si>
  <si>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</si>
  <si>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</si>
  <si>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</si>
  <si>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WP18 - Depreciation Rates (1) (2)</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</si>
  <si>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</si>
  <si>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</si>
  <si>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</si>
  <si>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</si>
  <si>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</si>
  <si>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</si>
  <si>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</si>
  <si>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</si>
  <si>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</si>
  <si>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</si>
  <si>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</si>
  <si>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</si>
  <si>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</si>
  <si>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</si>
  <si>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</si>
  <si>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</si>
  <si>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</si>
  <si>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</si>
  <si>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</si>
  <si>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</si>
  <si>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</si>
  <si>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Accumulated Depreciation (1)</t>
  </si>
  <si>
    <t>WP02 - Cost Support</t>
  </si>
  <si>
    <t>WP04 - 13-Month Average Plant In Service &amp; Accumulated Depreciation Balances</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</si>
  <si>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</si>
  <si>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</si>
  <si>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</si>
  <si>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</si>
  <si>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</si>
  <si>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</si>
  <si>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</si>
  <si>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</si>
  <si>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</si>
  <si>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</si>
  <si>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</si>
  <si>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</si>
  <si>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</si>
  <si>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</si>
  <si>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</si>
  <si>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</si>
  <si>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</si>
  <si>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</si>
  <si>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</si>
  <si>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</si>
  <si>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</si>
  <si>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</si>
  <si>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</si>
  <si>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</si>
  <si>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</si>
  <si>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</si>
  <si>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</si>
  <si>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</si>
  <si>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</si>
  <si>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</si>
  <si>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</si>
  <si>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</si>
  <si>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</si>
  <si>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</si>
  <si>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</si>
  <si>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</si>
  <si>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</si>
  <si>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</si>
  <si>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</si>
  <si>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</si>
  <si>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</si>
  <si>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</si>
  <si>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</si>
  <si>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</si>
  <si>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</si>
  <si>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</si>
  <si>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</si>
  <si>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</si>
  <si>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</si>
  <si>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</si>
  <si>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</si>
  <si>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</si>
  <si>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</si>
  <si>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</si>
  <si>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</si>
  <si>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</si>
  <si>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</si>
  <si>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</si>
  <si>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</si>
  <si>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</si>
  <si>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</si>
  <si>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</si>
  <si>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</si>
  <si>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</si>
  <si>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</si>
  <si>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</si>
  <si>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</si>
  <si>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</si>
  <si>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Other Adjustments Depreciation Expense</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</si>
  <si>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</si>
  <si>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</si>
  <si>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</si>
  <si>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</si>
  <si>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</si>
  <si>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</si>
  <si>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</si>
  <si>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</si>
  <si>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</si>
  <si>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</si>
  <si>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</si>
  <si>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</si>
  <si>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</si>
  <si>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</si>
  <si>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</si>
  <si>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</si>
  <si>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</si>
  <si>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</si>
  <si>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</si>
  <si>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</si>
  <si>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</si>
  <si>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</si>
  <si>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</si>
  <si>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</si>
  <si>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</si>
  <si>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</si>
  <si>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</si>
  <si>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</si>
  <si>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 xml:space="preserve">FERC Energy Regulatory Commission Annual Charges (4) </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</si>
  <si>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</si>
  <si>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</si>
  <si>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</si>
  <si>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</si>
  <si>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</si>
  <si>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</si>
  <si>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</si>
  <si>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</si>
  <si>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</si>
  <si>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</si>
  <si>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</si>
  <si>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The depreciation and amortization rates to be used for all of the Entergy Operating Companies will be the current blended depreciation and amortization rates. Entergy Services commits to make a limited Section 205 filing(s) no later than November 1, 2015, proposing updated depreciation and amortization rates for all of the Entergy Operating Companies to become effective no later than January 1, 2016. Once approved by the Commission, the updated depreciation and amortization rates will be used in the Entergy Operating Companies’ MISO Attachment O formula rates.</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</si>
  <si>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</si>
  <si>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</si>
  <si>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</si>
  <si>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</si>
  <si>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</si>
  <si>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</si>
  <si>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</si>
  <si>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t>
  </si>
  <si>
    <t>2281LB</t>
  </si>
  <si>
    <t>Securitization proceeds</t>
  </si>
  <si>
    <t>Storm Damage Reserve Lock Box</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</si>
  <si>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</si>
  <si>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</si>
  <si>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</si>
  <si>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</si>
  <si>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</si>
  <si>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</si>
  <si>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</si>
  <si>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</si>
  <si>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</si>
  <si>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</si>
  <si>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</si>
  <si>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500000 - Steam Oper Super &amp; Engineering</t>
  </si>
  <si>
    <t>506000 - Steam Misc Expenses</t>
  </si>
  <si>
    <t>517000 - Nuclear Oper Super &amp; Engineering</t>
  </si>
  <si>
    <t>524000 - Nuclear Misc Expenses</t>
  </si>
  <si>
    <t>546000 - Other Power Oper Super &amp; Engineering</t>
  </si>
  <si>
    <t>549000 - Other Power Misc Expenses</t>
  </si>
  <si>
    <t>566000 - Transm Misc Expenses</t>
  </si>
  <si>
    <t>569000 - Transm Maint of Structures</t>
  </si>
  <si>
    <t>573000 - Transm Maint of Misc Plant</t>
  </si>
  <si>
    <t>580000 - Distrib Oper Super &amp; Engineering</t>
  </si>
  <si>
    <t>586000 - Distrib Meter Expenses</t>
  </si>
  <si>
    <t>588000 - Distrib Misc Expenses</t>
  </si>
  <si>
    <t>560000 - Transm Oper Super &amp; Engineering</t>
  </si>
  <si>
    <t>907000 - Customer Serv Oper Super</t>
  </si>
  <si>
    <t>913000 - Customer Serv Adver Expense</t>
  </si>
  <si>
    <t>935000 - Maint of General Plant</t>
  </si>
  <si>
    <t>407348 - Regulatory Debits</t>
  </si>
  <si>
    <t>Total  Sum Line 1 Subparts</t>
  </si>
  <si>
    <t>500000 - Steam Oper Supervision &amp; Engineering</t>
  </si>
  <si>
    <t>506000 - Steam Misc Steam Power Expenses</t>
  </si>
  <si>
    <t>511000 - Steam Maintenance Of Structures Total</t>
  </si>
  <si>
    <t>514000 - Steam Maintenance of Misc Plant</t>
  </si>
  <si>
    <t>517000 - Nuclear Operation, Supervision &amp; Engr</t>
  </si>
  <si>
    <t>524000 - Nuclear Misc Power Expenses</t>
  </si>
  <si>
    <t>554000 - Other Maint Power Generation Plant</t>
  </si>
  <si>
    <t>549000 - Other Misc Pwr Generation Expenses</t>
  </si>
  <si>
    <t>561500 - Transm System Planning &amp; Standards</t>
  </si>
  <si>
    <t>568000 - Transm Maint Supervision &amp; Engineering</t>
  </si>
  <si>
    <t>569000 - Transm Maint Of Structures</t>
  </si>
  <si>
    <t>570000 - Transm Maint Of Station Equipment</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</si>
  <si>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</si>
  <si>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</si>
  <si>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</si>
  <si>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</si>
  <si>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</si>
  <si>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</si>
  <si>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</si>
  <si>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</si>
  <si>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</si>
  <si>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</si>
  <si>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</si>
  <si>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</si>
  <si>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</si>
  <si>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</si>
  <si>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</si>
  <si>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</si>
  <si>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</si>
  <si>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</si>
  <si>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</si>
  <si>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</si>
  <si>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</si>
  <si>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</si>
  <si>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</si>
  <si>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</si>
  <si>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</si>
  <si>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</si>
  <si>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(4) </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</si>
  <si>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</si>
  <si>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</si>
  <si>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</si>
  <si>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</si>
  <si>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</si>
  <si>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</si>
  <si>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</si>
  <si>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</si>
  <si>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</si>
  <si>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 xml:space="preserve">MISO retail implementation costs were deferred in Docket 10-011-U Order 76. </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</si>
  <si>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</si>
  <si>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</si>
  <si>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</si>
  <si>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</si>
  <si>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</si>
  <si>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</si>
  <si>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</si>
  <si>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</si>
  <si>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The currently effective income tax rate,  where FIT is the Federal income tax rate; SIT is the State income tax rate, and p = "the percentage of federal income tax deductible for state income taxes".  If the utility includes taxes in more than one state, it must provide the name of each state and explain in a work paper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</si>
  <si>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r>
      <t xml:space="preserve">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 </t>
    </r>
    <r>
      <rPr>
        <strike/>
        <sz val="12"/>
        <rFont val="Arial"/>
        <family val="2"/>
      </rPr>
      <t>on</t>
    </r>
    <r>
      <rPr>
        <sz val="12"/>
        <rFont val="Arial"/>
        <family val="2"/>
      </rPr>
      <t xml:space="preserve"> facilities constructed or purchased by Entergy on or after March 15, 2000 (FERC Order 2003: Docket RM02-1-000, Issued July 24, 2003, page 154).</t>
    </r>
  </si>
  <si>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</si>
  <si>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</si>
  <si>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</si>
  <si>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</si>
  <si>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</si>
  <si>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</si>
  <si>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</si>
  <si>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</si>
  <si>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</si>
  <si>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</si>
  <si>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</si>
  <si>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</si>
  <si>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5612BA</t>
  </si>
  <si>
    <t>See MISO May 31, 2013 filing in FERC Docket ER13-945 for Grandfathered status.</t>
  </si>
  <si>
    <t>456010 - Misc Rec - Ouachita Upgrades</t>
  </si>
  <si>
    <t>4560MS - Third Party Sales of Inventory</t>
  </si>
  <si>
    <t>456147 - MISO Sch 47 Transition Cost Rec</t>
  </si>
  <si>
    <t>4561A9 - AECC MISO Sch 9 Network</t>
  </si>
  <si>
    <t>Payroll Loading</t>
  </si>
  <si>
    <t>Entergy Services, Inc. 408155 Franchise Tax-Misc  (Ln 4)</t>
  </si>
  <si>
    <t>A positive result when subtracted in Appendix A or MISO Cover will lower O&amp;M.  A negative result will increase O&amp;M.</t>
  </si>
  <si>
    <t>Pp Taxes-Regulatory Commis.</t>
  </si>
  <si>
    <t>Prepaid Insurance</t>
  </si>
  <si>
    <t>Pp Taxes - Franchise - Ar</t>
  </si>
  <si>
    <t>Ano#1 Shutdown  Costs</t>
  </si>
  <si>
    <t>Prepaid Ins Directors&amp;Officers</t>
  </si>
  <si>
    <t>Pp Taxes Franchise-La</t>
  </si>
  <si>
    <t>Prepaid Dues - INPO</t>
  </si>
  <si>
    <t>Prepaid Dues - Nuc Energy Inst</t>
  </si>
  <si>
    <t>Prepaid Fees - FEMA</t>
  </si>
  <si>
    <t>Prepaid Dues to EEI</t>
  </si>
  <si>
    <t>Prepaid NRC Dues</t>
  </si>
  <si>
    <t>165603</t>
  </si>
  <si>
    <t>PPD IQNavigator, Inc</t>
  </si>
  <si>
    <t>Prepaid Rent Expense</t>
  </si>
  <si>
    <t>PrePaid Designated Servic-SAIC</t>
  </si>
  <si>
    <t>190325</t>
  </si>
  <si>
    <t>Litigation Settlement - Fed</t>
  </si>
  <si>
    <t>Source Acct 253190 Employment Litigation Liab</t>
  </si>
  <si>
    <t>190326</t>
  </si>
  <si>
    <t>Litigation Settlement - State</t>
  </si>
  <si>
    <t>190981</t>
  </si>
  <si>
    <t>Fed Offset-State Cur Carryover</t>
  </si>
  <si>
    <t xml:space="preserve">General plant related </t>
  </si>
  <si>
    <t>282455</t>
  </si>
  <si>
    <t>282456</t>
  </si>
  <si>
    <t>282907</t>
  </si>
  <si>
    <t>Unit of Property Ded-Trans-Fed</t>
  </si>
  <si>
    <t>Units of Property Deduction - transmission</t>
  </si>
  <si>
    <t>282908</t>
  </si>
  <si>
    <t>Unit of Property Ded-Trans-St</t>
  </si>
  <si>
    <t>283902</t>
  </si>
  <si>
    <t>263A Method Change - State</t>
  </si>
  <si>
    <t>Related to nuclear decommissioning</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</si>
  <si>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</si>
  <si>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</si>
  <si>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</si>
  <si>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</si>
  <si>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</si>
  <si>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</si>
  <si>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</si>
  <si>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</si>
  <si>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</si>
  <si>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</si>
  <si>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</si>
  <si>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</si>
  <si>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</si>
  <si>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</si>
  <si>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</si>
  <si>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163000</t>
  </si>
  <si>
    <t>184001</t>
  </si>
  <si>
    <t>417100</t>
  </si>
  <si>
    <t>561200</t>
  </si>
  <si>
    <t>568000</t>
  </si>
  <si>
    <t>580000</t>
  </si>
  <si>
    <t>586000</t>
  </si>
  <si>
    <t>588000</t>
  </si>
  <si>
    <t>592000</t>
  </si>
  <si>
    <t>903001</t>
  </si>
  <si>
    <t>907000</t>
  </si>
  <si>
    <t>Transmission O&amp;M Excluding Account 561 (Accounts 560 through 574)</t>
  </si>
  <si>
    <t>Production O&amp;M (Accounts 500 - 557)</t>
  </si>
  <si>
    <t>WP AJ4 - EAI Ouachita Transmission Upgrade Expense (1) (2)</t>
  </si>
  <si>
    <t>Ouachita Transmission Upgrade</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</si>
  <si>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</si>
  <si>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</si>
  <si>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</si>
  <si>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</si>
  <si>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</si>
  <si>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</si>
  <si>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</si>
  <si>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</si>
  <si>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</si>
  <si>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</si>
  <si>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</si>
  <si>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</si>
  <si>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</si>
  <si>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</si>
  <si>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</si>
  <si>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</si>
  <si>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</si>
  <si>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</si>
  <si>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</si>
  <si>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</si>
  <si>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</si>
  <si>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</si>
  <si>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</si>
  <si>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</si>
  <si>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</si>
  <si>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</si>
  <si>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</si>
  <si>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</si>
  <si>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</si>
  <si>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</si>
  <si>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</si>
  <si>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</si>
  <si>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</si>
  <si>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</si>
  <si>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</si>
  <si>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</si>
  <si>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</si>
  <si>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</si>
  <si>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</si>
  <si>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</si>
  <si>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</si>
  <si>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</si>
  <si>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</si>
  <si>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WP AJ1 - RTO/MISO Start-up Costs (1) (4) (5)</t>
  </si>
  <si>
    <t>p. 335.11.b</t>
  </si>
  <si>
    <t>Amoritzation of MISO Costs</t>
  </si>
  <si>
    <t>Capital Avenue Development Company</t>
  </si>
  <si>
    <t>SPO 2013 RFP</t>
  </si>
  <si>
    <t>p. 335.16.b</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</si>
  <si>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</si>
  <si>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</si>
  <si>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</si>
  <si>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</si>
  <si>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</si>
  <si>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</si>
  <si>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</si>
  <si>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</si>
  <si>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</si>
  <si>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</si>
  <si>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</si>
  <si>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</si>
  <si>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 xml:space="preserve">p.207.58g </t>
  </si>
  <si>
    <t>p.219.25c</t>
  </si>
  <si>
    <t>The HCM deferral was approved by the APSC in Docket No. 12-028U, Order 21 and is amortized through 2017.  The deferral only includes incremental, non-payroll costs.  Employment taxes were incurred based on severance costs.</t>
  </si>
  <si>
    <t>F City S 161Kv Sub - TSA - EAI - 3220</t>
  </si>
  <si>
    <t>APL - 3220</t>
  </si>
  <si>
    <t>Moses-Parkin (F City N Tap) 16 - TAR - EAI - 6327</t>
  </si>
  <si>
    <t>Hamlet 161Kv Sub - TSA - EAI - 3231</t>
  </si>
  <si>
    <t>APL - 3231</t>
  </si>
  <si>
    <t>Conway West-Hamlet 161Kv Ln - TAR - EAI - 6306</t>
  </si>
  <si>
    <t>Benton N 115Kv Sub - TSA - EAI - 3614</t>
  </si>
  <si>
    <t>APL - 3614</t>
  </si>
  <si>
    <t>L R South-Blakely(Benton N Tap - TAR - EAI - 6646</t>
  </si>
  <si>
    <t>Crstt N-Crstt Paper Mill 115Kv - TAR - EAI - 6627</t>
  </si>
  <si>
    <t>APL - 3632</t>
  </si>
  <si>
    <t>Maumelle East 115/13.8Kv Sub - TSA - EAI - 3657</t>
  </si>
  <si>
    <t>APL - 3657</t>
  </si>
  <si>
    <t>N L R Levy-Cnwy W 115Kv Ln - TAR - EAI - 6665</t>
  </si>
  <si>
    <t>Hot Springs Royal 115Kv Sub - TSA - EAI - 3675</t>
  </si>
  <si>
    <t>APL - 3675</t>
  </si>
  <si>
    <t>Mt Pine S-Hot Spgs Milton 115K - TAR - EAI - 6663</t>
  </si>
  <si>
    <t>Hot Spgs N 115Kv Sub - TSA - EAI - 3679</t>
  </si>
  <si>
    <t>APL - 3679</t>
  </si>
  <si>
    <t>Crossett Paper Mill 115Kv Sub - TSA - EAI - 3632</t>
  </si>
  <si>
    <t>Dermott 115Kv Sub (Tr-Ds) - TSA - EAI - 3636</t>
  </si>
  <si>
    <t>APL - 3636</t>
  </si>
  <si>
    <t>Wdwrd-Lk Vill Bagby(Dermott Ta - TAR - EAI - 6686</t>
  </si>
  <si>
    <t>Alcoa 115/13.8Kv Sub - TSA - EAI - 3205</t>
  </si>
  <si>
    <t>APL - 3205</t>
  </si>
  <si>
    <t>L R South-Carpenter (Alcoa Tap - TAR - EAI - 6705</t>
  </si>
  <si>
    <t>Osceola Indl 161Kv Sub - TSA - EAI - 3257</t>
  </si>
  <si>
    <t>APL - 3257</t>
  </si>
  <si>
    <t>Osceola-Osceola Indl 161Kv Ln - TAR - EAI - 6336</t>
  </si>
  <si>
    <t>W Memp Gatwy 161Kv Sub - TSA - EAI - 3272</t>
  </si>
  <si>
    <t>APL - 3272</t>
  </si>
  <si>
    <t>Omaha 161Kv Sub - TSA - EAI - 3255</t>
  </si>
  <si>
    <t>APL - 3255</t>
  </si>
  <si>
    <t>Norfork-Ozk Bch(Bull Shoals Ta - TAR - EAI - 6335</t>
  </si>
  <si>
    <t>Hot Spgs E 115Kv Sub - TSA - EAI - 3676</t>
  </si>
  <si>
    <t>APL - 3676</t>
  </si>
  <si>
    <t>L R South-Hs Ehv-Carptr 115Kv - TAR - EAI - 6647</t>
  </si>
  <si>
    <t>Reynolds Casting Plt 115Kv Sub - TSA - EAI - 3760</t>
  </si>
  <si>
    <t>APL - 3760</t>
  </si>
  <si>
    <t>Arklahoma - Cheetah 115 Kv Ln - TAR - EAI - 6600</t>
  </si>
  <si>
    <t>Kerlin 115Kv Sub - TSA - EAI - 3691</t>
  </si>
  <si>
    <t>APL - 3691</t>
  </si>
  <si>
    <t>Eld Dn-Eld W-Couch(Emerson Tap - TAR - EAI - 6632</t>
  </si>
  <si>
    <t>Bull Shoals 161/13.8Kv - TSA - EAI - 3301</t>
  </si>
  <si>
    <t>APL - 3301</t>
  </si>
  <si>
    <t>Bull Shoal Dam Bull Shoals Sub - TAR - EAI - 6370</t>
  </si>
  <si>
    <t>Little Rock Roland Road 115/13 - TSA - EAI - 3804</t>
  </si>
  <si>
    <t>APL - 3804</t>
  </si>
  <si>
    <t>Little Rock Roland Rd Tap 115K - TAR - EAI - 6708</t>
  </si>
  <si>
    <t>Fordyce Orient 115/34.8Kv Sub - TSA - EAI - 2249</t>
  </si>
  <si>
    <t>APL - 2249</t>
  </si>
  <si>
    <t>W Dwrd-Camd Mag(Camd N Tap)115 - TAR - EAI - 6678</t>
  </si>
  <si>
    <t>Imboden Jct Swtiching Sta 69Kv - TSA - EAI - 2502</t>
  </si>
  <si>
    <t>APL - 2502</t>
  </si>
  <si>
    <t>Hrsbrg 161Kv Sub - TSA - EAI - 3232</t>
  </si>
  <si>
    <t>APL - 3232</t>
  </si>
  <si>
    <t>Jnsbro-Parkin (Hrsbrg Tap) 161 - TAR - EAI - 6318</t>
  </si>
  <si>
    <t>Mt View 161Kv Sub - TSA - EAI - 3249</t>
  </si>
  <si>
    <t>APL - 3249</t>
  </si>
  <si>
    <t>Btsvl-Norfork (Mt View Tap) 16 - TAR - EAI - 6304</t>
  </si>
  <si>
    <t>W Memp Dover 161Kv Sub - TSA - EAI - 3271</t>
  </si>
  <si>
    <t>APL - 3271</t>
  </si>
  <si>
    <t>Parkin-W Memp(W Memp Gatwy Tap - TAR - EAI - 6339</t>
  </si>
  <si>
    <t>Cave City 161Kv Sub - TSA - EAI - 3305</t>
  </si>
  <si>
    <t>APL - 3305</t>
  </si>
  <si>
    <t>Cushman-Cave City 161 Kv Line - TAR - EAI - 6369</t>
  </si>
  <si>
    <t>Altheimer 115Kv Sub - TSA - EAI - 3603</t>
  </si>
  <si>
    <t>APL - 3603</t>
  </si>
  <si>
    <t>Wdwrd-Brnkly (Altheimer Tap) 1 - TAR - EAI - 6673</t>
  </si>
  <si>
    <t>El Dor Upland 115Kv Sub - TSA - EAI - 3649</t>
  </si>
  <si>
    <t>APL - 3649</t>
  </si>
  <si>
    <t>Wyatt-La St Ln-(El D Upland Ta - TAR - EAI - 6695</t>
  </si>
  <si>
    <t>Hardin W 115Kv Sub - TSA - EAI - 3664</t>
  </si>
  <si>
    <t>APL - 3664</t>
  </si>
  <si>
    <t>Wdwrd-Buttf Jct(Hardin W Tap)1 - TAR - EAI - 6676</t>
  </si>
  <si>
    <t>Hays City 115Kv Sub - TSA - EAI - 3666</t>
  </si>
  <si>
    <t>APL - 3666</t>
  </si>
  <si>
    <t>C Mag-El D Dn-La St Ln(Hays Ta - TAR - EAI - 6614</t>
  </si>
  <si>
    <t>Hot Spgs Milton 115Kv Sub - TSA - EAI - 3678</t>
  </si>
  <si>
    <t>APL - 3678</t>
  </si>
  <si>
    <t>Huttig 115Kv Sub - TSA - EAI - 3685</t>
  </si>
  <si>
    <t>APL - 3685</t>
  </si>
  <si>
    <t>C Mag-El D Dn-La St Ln(Hutg Ta - TAR - EAI - 6615</t>
  </si>
  <si>
    <t>Malvern N 115Kv Sub - TSA - EAI - 3724</t>
  </si>
  <si>
    <t>APL - 3724</t>
  </si>
  <si>
    <t>Wdwrd-Buttf Jct(Mlvrn N Tap)11 - TAR - EAI - 6677</t>
  </si>
  <si>
    <t>Rohwer 115Kv Sub - TSA - EAI - 3762</t>
  </si>
  <si>
    <t>APL - 3762</t>
  </si>
  <si>
    <t>Wdwrd-Lk Vill Bagby(Rohwer Tap - TAR - EAI - 6688</t>
  </si>
  <si>
    <t>Pine Bluff Port 115Kv Substati - TSA - EAI - 3769</t>
  </si>
  <si>
    <t>APL - 3769</t>
  </si>
  <si>
    <t>Wdwrd-L Vil Bagby(Pb I P Co Ta - TAR - EAI - 6704</t>
  </si>
  <si>
    <t>Strong 115Kv Sub - TSA - EAI - 3772</t>
  </si>
  <si>
    <t>APL - 3772</t>
  </si>
  <si>
    <t>C Mag-Eld Dn-La Stln(Strong Ta - TAR - EAI - 6617</t>
  </si>
  <si>
    <t>Stuttg N 115Kv Sub - TSA - EAI - 3773</t>
  </si>
  <si>
    <t>APL - 3773</t>
  </si>
  <si>
    <t>Wdwrd-Brnkly (Stuttg N Tap) 11 - TAR - EAI - 6674</t>
  </si>
  <si>
    <t>Lake Chicot Pumping Station 11 - TSA - EAI - 3792</t>
  </si>
  <si>
    <t>APL - 3792</t>
  </si>
  <si>
    <t>Wdwrd-Lk Vil Bagby(Lk Chic P P - TAR - EAI - 6703</t>
  </si>
  <si>
    <t>Water Valley Ap&amp;L-Imboden Jct - TAR - EAI - 6904</t>
  </si>
  <si>
    <t>APL - 6904</t>
  </si>
  <si>
    <t>Pocahontas South 33/12Kv - DSA - EAI - 4480</t>
  </si>
  <si>
    <t>APL - 4480</t>
  </si>
  <si>
    <t>AMEREN</t>
  </si>
  <si>
    <t>BENTON</t>
  </si>
  <si>
    <t>CONWAY</t>
  </si>
  <si>
    <t>MJMEUC THAYER</t>
  </si>
  <si>
    <t>NORTH LITTLE ROCK</t>
  </si>
  <si>
    <t>OSCEOLA</t>
  </si>
  <si>
    <t>PRESCOTT</t>
  </si>
  <si>
    <t>WEST MEMPHIS</t>
  </si>
  <si>
    <t>HOPE</t>
  </si>
  <si>
    <t>JONESBORO</t>
  </si>
  <si>
    <t>AECC</t>
  </si>
  <si>
    <t>AECC (pseudo ties)</t>
  </si>
  <si>
    <t>SPA BLAKELY</t>
  </si>
  <si>
    <t>Plum Point</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</si>
  <si>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</si>
  <si>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</si>
  <si>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</si>
  <si>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</si>
  <si>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</si>
  <si>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</si>
  <si>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</si>
  <si>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</si>
  <si>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</si>
  <si>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</si>
  <si>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</si>
  <si>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</si>
  <si>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</si>
  <si>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</si>
  <si>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</si>
  <si>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</si>
  <si>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</si>
  <si>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</si>
  <si>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Total ADIT- 282 Less FASB 109 Above</t>
  </si>
  <si>
    <t>B=C+D+E+F</t>
  </si>
  <si>
    <t>F=G+H</t>
  </si>
  <si>
    <t>456142 - MISO Sch 42 Int/AFUDC Amort (6)</t>
  </si>
  <si>
    <t>Sum of (MISO Schedule 42a Revenue + MISO Schedule 42b Revenue) = Account 456142</t>
  </si>
  <si>
    <t>(8)</t>
  </si>
  <si>
    <t>Adjustments as required.</t>
  </si>
  <si>
    <t>A/C 2281 Storm Reserve Accrual Reclassification To Transm. O&amp;M</t>
  </si>
  <si>
    <t>A/C 2281 Storm Reserve Accrual Reclassification</t>
  </si>
  <si>
    <t>Added 2013</t>
  </si>
  <si>
    <t>Added 2014</t>
  </si>
  <si>
    <t>Source A/c 1823MK - Reg asset related to EAI payment for MO ARK agreement</t>
  </si>
  <si>
    <t xml:space="preserve">Change allocation to labor per agreement </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</si>
  <si>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</si>
  <si>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</si>
  <si>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</si>
  <si>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Attachment O Revenues For True-up (1)</t>
  </si>
  <si>
    <t xml:space="preserve">Less True-up Amount Billed in True-up Year (2) </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</si>
  <si>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</si>
  <si>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</si>
  <si>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</si>
  <si>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</si>
  <si>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</si>
  <si>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t>F (6)</t>
  </si>
  <si>
    <t>G (7)</t>
  </si>
  <si>
    <t>Total True Up Amount with Interest</t>
  </si>
  <si>
    <r>
      <rPr>
        <sz val="10"/>
        <rFont val="Arial"/>
        <family val="2"/>
      </rPr>
      <t>Total True-up Amount</t>
    </r>
  </si>
  <si>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</si>
  <si>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</si>
  <si>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</si>
  <si>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</si>
  <si>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Entergy is not seeking recovery of the Ouachita transmission upgrade expenses that are reflected in FERC Form 1 amounts.</t>
  </si>
  <si>
    <t>CONTIGUOUS</t>
  </si>
  <si>
    <t>CUSTOMER &amp; GEN</t>
  </si>
  <si>
    <t>GRID BENEFIT</t>
  </si>
  <si>
    <t>TWO CUSTOMERS</t>
  </si>
  <si>
    <t>Exclude</t>
  </si>
  <si>
    <t>ROE of 12.38% is subject to change consistent with the outcome of Docket Nos. EL14-12 and EL15-45, a final order concerning the ROE issue raised in MDEA v. FERC, (D.C. Circuit Case No. 14-1030), and otherwise subject to change pursuant to a FPA section 205 or 206 proceeding, and may include the 50 basis point RTO adder, if applicable.</t>
  </si>
  <si>
    <t>True-up with Interest</t>
  </si>
  <si>
    <t>For Checking Purposes Only –Do Not Print</t>
  </si>
  <si>
    <t>WP AJ3 HCM Ln 8 Column F</t>
  </si>
  <si>
    <t>WP AJ3 HCM Ln 13 Column F</t>
  </si>
  <si>
    <t>WP AJ3 HCM Ln 14 Column F</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</si>
  <si>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</si>
  <si>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Load For Rate Development</t>
    </r>
    <r>
      <rPr>
        <sz val="10"/>
        <color theme="1"/>
        <rFont val="Arial"/>
        <family val="2"/>
      </rPr>
      <t xml:space="preserve">  </t>
    </r>
    <r>
      <rPr>
        <sz val="10"/>
        <rFont val="Arial"/>
        <family val="2"/>
      </rPr>
      <t>(8)</t>
    </r>
  </si>
  <si>
    <t>Total Transmission O&amp;M (Line 7 + Line 8)</t>
  </si>
  <si>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</si>
  <si>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</si>
  <si>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</si>
  <si>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r>
      <t>ITC Transaction Costs Not Charged to Customers    (Enter as Negative</t>
    </r>
    <r>
      <rPr>
        <u/>
        <sz val="10"/>
        <rFont val="Arial"/>
        <family val="2"/>
      </rPr>
      <t>)</t>
    </r>
  </si>
  <si>
    <t>ITC Transaction Costs Not Charged to Customers    (Enter as Negative)</t>
  </si>
  <si>
    <t>p. 335.13.b</t>
  </si>
  <si>
    <t>p. 335.15.b</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</si>
  <si>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</si>
  <si>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Retail-related prepayments, such as taxes imposed on retail customers, services, operations or revenues, are excluded from allocation in the transmission revenue requirement and assigned to the “Other” category.</t>
  </si>
  <si>
    <t>WP AJ3 HCM Ln 21 Column F</t>
  </si>
  <si>
    <r>
      <t xml:space="preserve">See Appendix A Note D. For the accrual OpCo's (EAI, EMI, ENOI, and ETI), the difference is the annual Account 926 accrual </t>
    </r>
    <r>
      <rPr>
        <sz val="10"/>
        <color theme="1"/>
        <rFont val="Arial"/>
        <family val="2"/>
      </rPr>
      <t>amount less Entergy's annual FERC 205 PBOP filing amount (FERC allowed expenses).</t>
    </r>
  </si>
  <si>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</si>
  <si>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</si>
  <si>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DO NOT PRINT</t>
  </si>
  <si>
    <t xml:space="preserve">Agreed to insert the reference in Col H of the Blank Template for A/Cs 930.2 &amp; 928 and to leave the cells highlighted because the reference could change </t>
  </si>
  <si>
    <t>Agreement with Joint Customers and MISO to complete the Description of the Group on the Blank Template and to leave Col C highlighted because the Group could change</t>
  </si>
  <si>
    <t>For  the 12 Months Ended 12/31/2014</t>
  </si>
  <si>
    <t>263.02.i</t>
  </si>
  <si>
    <t>263.03.i</t>
  </si>
  <si>
    <t>263.04.i</t>
  </si>
  <si>
    <t>263.05.i</t>
  </si>
  <si>
    <t>263.09.i</t>
  </si>
  <si>
    <t>263.10.i</t>
  </si>
  <si>
    <t>263.11.i</t>
  </si>
  <si>
    <t>263.12.i</t>
  </si>
  <si>
    <t>263.13.i</t>
  </si>
  <si>
    <t>263.14.i</t>
  </si>
  <si>
    <t>263.15.i</t>
  </si>
  <si>
    <t>263.16.i</t>
  </si>
  <si>
    <t>263.17.i</t>
  </si>
  <si>
    <t>263.18.i</t>
  </si>
  <si>
    <t>263.19.i</t>
  </si>
  <si>
    <t>263.20.i</t>
  </si>
  <si>
    <t>263.23.i</t>
  </si>
  <si>
    <t>Note (7)</t>
  </si>
  <si>
    <t>263.31.i</t>
  </si>
  <si>
    <t>263.27.i</t>
  </si>
  <si>
    <t>In compliance with the Offer of</t>
  </si>
  <si>
    <r>
      <t>Partial Settlement filed with</t>
    </r>
    <r>
      <rPr>
        <sz val="11"/>
        <color rgb="FF002060"/>
        <rFont val="Arial"/>
        <family val="2"/>
      </rPr>
      <t xml:space="preserve">  </t>
    </r>
  </si>
  <si>
    <r>
      <t>FERC on July 31, 2015 in Docket</t>
    </r>
    <r>
      <rPr>
        <sz val="11"/>
        <color rgb="FF002060"/>
        <rFont val="Arial"/>
        <family val="2"/>
      </rPr>
      <t xml:space="preserve">  </t>
    </r>
  </si>
  <si>
    <r>
      <t xml:space="preserve">No. 13-948, </t>
    </r>
    <r>
      <rPr>
        <i/>
        <sz val="11"/>
        <color rgb="FF002060"/>
        <rFont val="Arial"/>
        <family val="2"/>
      </rPr>
      <t>et.al.,</t>
    </r>
    <r>
      <rPr>
        <sz val="11"/>
        <color rgb="FF002060"/>
        <rFont val="Arial"/>
        <family val="2"/>
      </rPr>
      <t xml:space="preserve"> this workpaper  </t>
    </r>
  </si>
  <si>
    <t>is not being populated as the</t>
  </si>
  <si>
    <t xml:space="preserve">2014 refunds/surcharges will be </t>
  </si>
  <si>
    <t xml:space="preserve">calculated and billed by MISO for </t>
  </si>
  <si>
    <t>the period December 19, 2013 to</t>
  </si>
  <si>
    <t>December 31, 2014.  This</t>
  </si>
  <si>
    <t>workpaper will be populated for</t>
  </si>
  <si>
    <t>the 2015 Rate Year and</t>
  </si>
  <si>
    <t>succeeding rate years.</t>
  </si>
  <si>
    <t>WP01 True-Up</t>
  </si>
  <si>
    <t xml:space="preserve">Attachment O </t>
  </si>
  <si>
    <t>Explanatory Statements</t>
  </si>
  <si>
    <t>WP04 Accumulated Depreciation Lines 23-37, Column H</t>
  </si>
  <si>
    <t>Supporting Workpaper for Cost of Capital Premium on Capital Stock and Capital Stock Expense</t>
  </si>
  <si>
    <t>Account Desc</t>
  </si>
  <si>
    <t>Project Desc</t>
  </si>
  <si>
    <t>207000</t>
  </si>
  <si>
    <t>Premium On Capital Stock</t>
  </si>
  <si>
    <t>4.32% $100 PAR</t>
  </si>
  <si>
    <t>[1]</t>
  </si>
  <si>
    <t>4.56% $100 PAR</t>
  </si>
  <si>
    <t>4.56%(1965)$100 PAR</t>
  </si>
  <si>
    <t>4.72% $100 PAR</t>
  </si>
  <si>
    <t>6.08% $100 PAR</t>
  </si>
  <si>
    <t>7.32% $100 PAR</t>
  </si>
  <si>
    <t>7.40% $100 PAR</t>
  </si>
  <si>
    <t>7.80% $100 PAR</t>
  </si>
  <si>
    <t>7.88% $100 PAR</t>
  </si>
  <si>
    <t>9.92% $25 PAR</t>
  </si>
  <si>
    <t>[2]</t>
  </si>
  <si>
    <t>207000 Total</t>
  </si>
  <si>
    <t>207001</t>
  </si>
  <si>
    <t>Prem Cap Stk-Common</t>
  </si>
  <si>
    <t>$1.96 $.01 PAR (DISCOUNT)</t>
  </si>
  <si>
    <t>207001 Total</t>
  </si>
  <si>
    <t>207002</t>
  </si>
  <si>
    <t>Prem Cap Stk-Preferred</t>
  </si>
  <si>
    <t>$1.96 $.01 PAR</t>
  </si>
  <si>
    <t>207002 Total</t>
  </si>
  <si>
    <t>207806</t>
  </si>
  <si>
    <t>PIC - Restricted Stock Awards</t>
  </si>
  <si>
    <t>207806 Total</t>
  </si>
  <si>
    <t>214000</t>
  </si>
  <si>
    <t>Capital Stock Expense</t>
  </si>
  <si>
    <t>8.52% $100 PAR</t>
  </si>
  <si>
    <t>214000 Total</t>
  </si>
  <si>
    <t>214001</t>
  </si>
  <si>
    <t>Capital Stock Expense-Common</t>
  </si>
  <si>
    <t>214001 Total</t>
  </si>
  <si>
    <t>[4]</t>
  </si>
  <si>
    <t>214CPD</t>
  </si>
  <si>
    <t>Capital Stock Expense (CPD)</t>
  </si>
  <si>
    <t>EAI $75MM Preferred Stock 6.45%</t>
  </si>
  <si>
    <t>214CPD Total</t>
  </si>
  <si>
    <t>[3]</t>
  </si>
  <si>
    <t>Reconciliation to FERC Form 1:</t>
  </si>
  <si>
    <t>General Ledger:</t>
  </si>
  <si>
    <t>FERC Form 1:</t>
  </si>
  <si>
    <t>[1] Premium on Preferred Stock</t>
  </si>
  <si>
    <t>[2] Premium on Common Stock</t>
  </si>
  <si>
    <t>p112 L6 col c &amp; d</t>
  </si>
  <si>
    <t>[3] Capital Stock Expense - Preferred</t>
  </si>
  <si>
    <t>[4] Capital Stock Expense - Common</t>
  </si>
  <si>
    <t>P112 L10 col c &amp; d and p254b</t>
  </si>
  <si>
    <t>For the 12 months ended December 31, 2014</t>
  </si>
  <si>
    <t>In compliance with the Offer of Partial Settlement filed with FERC on July 31, 2015 in Docket No. 13-948, et.al., this workpaper is not being populated as the 2014 refunds/surcharges will be calculated and billed by MISO for the period December 19, 2013 to December 31, 2014.  This workpaper will be populated for the 2015 Rate Year and succeeding rate years.</t>
  </si>
  <si>
    <t>WP14 Cost of Capital 
Line 31, Columns C-P</t>
  </si>
  <si>
    <t>WP14 Cost of Capital 
Line 28, Columns C-P</t>
  </si>
  <si>
    <t>WP 14 COC Line 28 - is the portion of  Account 207 - Premium on Capital Stock attributable to Preferred Stock and the balance is the Premium on Capital Stock attributable to Common Stock.  See the Reconciliation on Supplemental WP 14.</t>
  </si>
  <si>
    <t xml:space="preserve">WP 14 COC Line 31 - is the portion of Account 214 Capital Stock Expense attributable to Preferred Stock while the description in FF1 page 254b Line 1 indicates that the Capital Stock Expense is attributable to Common Stock.  "Common Stock" should not be in the FERC Form 1 description since it contains amounts related to both Preferred and Common Stock.   See the Reconciliation on Supplemental WP 14.  In the future, the Company's FERC Form 1 will not include "Common Stock" in the description on Line 1 of page 254b.  </t>
  </si>
  <si>
    <t>Accumulated Depreciation for Supplemental Upgrades is not used in the determination of the Attachment O Net Revenue Requirement.  This data is not readily available in the Company’s property accounting system.  In the process of preparing the Attachment O, this information was not requested for the 12 months ended 12/31/14.  In the future the Company will provide values for Supplemental Upgrades Accumulated Depreciation for informational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</si>
</sst>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s>
  <fonts count="162">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4"/>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val="singleAccounting"/>
      <sz val="10"/>
      <color theme="1"/>
      <name val="Arial"/>
      <family val="2"/>
    </font>
    <font>
      <sz val="10.8"/>
      <name val="Arial"/>
      <family val="2"/>
    </font>
    <font>
      <b/>
      <sz val="11"/>
      <color rgb="FF002060"/>
      <name val="Arial"/>
      <family val="2"/>
    </font>
    <font>
      <sz val="10"/>
      <color theme="7" tint="-0.249977111117893"/>
      <name val="Arial"/>
      <family val="2"/>
    </font>
    <font>
      <sz val="11"/>
      <color rgb="FF002060"/>
      <name val="Arial"/>
      <family val="2"/>
    </font>
    <font>
      <i/>
      <sz val="11"/>
      <color rgb="FF002060"/>
      <name val="Arial"/>
      <family val="2"/>
    </font>
    <font>
      <b/>
      <sz val="11"/>
      <color theme="1"/>
      <name val="Calibri"/>
      <family val="2"/>
      <scheme val="minor"/>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59999389629810485"/>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7699">
    <xf numFmtId="0" fontId="0" fillId="0" borderId="0"/>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2" fillId="14" borderId="0" applyNumberFormat="0" applyBorder="0" applyAlignment="0" applyProtection="0"/>
    <xf numFmtId="0" fontId="72" fillId="4" borderId="0" applyNumberFormat="0" applyBorder="0" applyAlignment="0" applyProtection="0"/>
    <xf numFmtId="0" fontId="72" fillId="11"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0" fontId="73" fillId="5" borderId="0" applyNumberFormat="0" applyBorder="0" applyAlignment="0" applyProtection="0"/>
    <xf numFmtId="0" fontId="93" fillId="0" borderId="0" applyNumberFormat="0" applyFill="0" applyBorder="0" applyAlignment="0" applyProtection="0"/>
    <xf numFmtId="0" fontId="80" fillId="12" borderId="1" applyNumberFormat="0" applyAlignment="0" applyProtection="0"/>
    <xf numFmtId="0" fontId="74" fillId="22" borderId="2" applyNumberFormat="0" applyAlignment="0" applyProtection="0"/>
    <xf numFmtId="172" fontId="67" fillId="0" borderId="0">
      <alignment horizontal="center" wrapText="1"/>
    </xf>
    <xf numFmtId="43" fontId="41" fillId="0" borderId="0" applyFont="0" applyFill="0" applyBorder="0" applyAlignment="0" applyProtection="0"/>
    <xf numFmtId="178" fontId="94" fillId="0" borderId="0"/>
    <xf numFmtId="178" fontId="94" fillId="0" borderId="0"/>
    <xf numFmtId="178" fontId="94" fillId="0" borderId="0"/>
    <xf numFmtId="178" fontId="94" fillId="0" borderId="0"/>
    <xf numFmtId="178" fontId="94" fillId="0" borderId="0"/>
    <xf numFmtId="178" fontId="94" fillId="0" borderId="0"/>
    <xf numFmtId="178" fontId="94" fillId="0" borderId="0"/>
    <xf numFmtId="178" fontId="94" fillId="0" borderId="0"/>
    <xf numFmtId="41" fontId="61" fillId="0" borderId="0" applyFont="0" applyFill="0" applyBorder="0" applyAlignment="0" applyProtection="0"/>
    <xf numFmtId="41" fontId="6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02"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23" borderId="0" applyFont="0" applyFill="0" applyBorder="0" applyAlignment="0" applyProtection="0"/>
    <xf numFmtId="0" fontId="95" fillId="0" borderId="0"/>
    <xf numFmtId="0" fontId="41" fillId="0" borderId="3"/>
    <xf numFmtId="173" fontId="45" fillId="0" borderId="0">
      <protection locked="0"/>
    </xf>
    <xf numFmtId="44" fontId="41" fillId="0" borderId="0" applyFont="0" applyFill="0" applyBorder="0" applyAlignment="0" applyProtection="0"/>
    <xf numFmtId="179" fontId="41" fillId="0" borderId="0" applyFont="0" applyFill="0" applyBorder="0" applyAlignment="0" applyProtection="0"/>
    <xf numFmtId="180" fontId="96" fillId="0" borderId="0" applyFont="0" applyFill="0" applyBorder="0" applyAlignment="0" applyProtection="0"/>
    <xf numFmtId="44" fontId="5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39" fillId="0" borderId="0" applyFont="0" applyFill="0" applyBorder="0" applyAlignment="0" applyProtection="0"/>
    <xf numFmtId="44" fontId="61" fillId="0" borderId="0" applyFont="0" applyFill="0" applyBorder="0" applyAlignment="0" applyProtection="0"/>
    <xf numFmtId="5" fontId="41" fillId="23" borderId="0" applyFont="0" applyFill="0" applyBorder="0" applyAlignment="0" applyProtection="0"/>
    <xf numFmtId="0" fontId="41" fillId="23" borderId="0" applyFont="0" applyFill="0" applyBorder="0" applyAlignment="0" applyProtection="0"/>
    <xf numFmtId="0" fontId="75" fillId="0" borderId="0" applyNumberFormat="0" applyFill="0" applyBorder="0" applyAlignment="0" applyProtection="0"/>
    <xf numFmtId="2" fontId="41" fillId="23" borderId="0" applyFont="0" applyFill="0" applyBorder="0" applyAlignment="0" applyProtection="0"/>
    <xf numFmtId="0" fontId="46" fillId="0" borderId="0">
      <alignment horizontal="left"/>
    </xf>
    <xf numFmtId="164" fontId="96" fillId="0" borderId="0" applyFont="0" applyFill="0" applyBorder="0" applyAlignment="0" applyProtection="0"/>
    <xf numFmtId="181" fontId="41" fillId="0" borderId="0" applyFont="0" applyFill="0" applyBorder="0" applyAlignment="0" applyProtection="0">
      <alignment horizontal="center"/>
    </xf>
    <xf numFmtId="164" fontId="96" fillId="0" borderId="0" applyFont="0" applyFill="0" applyBorder="0" applyAlignment="0" applyProtection="0"/>
    <xf numFmtId="0" fontId="81" fillId="7" borderId="0" applyNumberFormat="0" applyBorder="0" applyAlignment="0" applyProtection="0"/>
    <xf numFmtId="38" fontId="64" fillId="24" borderId="0" applyNumberFormat="0" applyBorder="0" applyAlignment="0" applyProtection="0"/>
    <xf numFmtId="0" fontId="97" fillId="0" borderId="4">
      <alignment horizontal="left"/>
    </xf>
    <xf numFmtId="0" fontId="43" fillId="0" borderId="5" applyNumberFormat="0" applyAlignment="0" applyProtection="0">
      <alignment horizontal="left" vertical="center"/>
    </xf>
    <xf numFmtId="0" fontId="43" fillId="0" borderId="6">
      <alignment horizontal="left" vertical="center"/>
    </xf>
    <xf numFmtId="14" fontId="42" fillId="25" borderId="7">
      <alignment horizontal="center" vertical="center" wrapText="1"/>
    </xf>
    <xf numFmtId="0" fontId="82" fillId="0" borderId="8" applyNumberFormat="0" applyFill="0" applyAlignment="0" applyProtection="0"/>
    <xf numFmtId="0" fontId="83" fillId="0" borderId="9" applyNumberFormat="0" applyFill="0" applyAlignment="0" applyProtection="0"/>
    <xf numFmtId="0" fontId="84" fillId="0" borderId="10"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0" fontId="64" fillId="26" borderId="11" applyNumberFormat="0" applyBorder="0" applyAlignment="0" applyProtection="0"/>
    <xf numFmtId="0" fontId="76" fillId="8" borderId="1" applyNumberFormat="0" applyAlignment="0" applyProtection="0"/>
    <xf numFmtId="174" fontId="45" fillId="0" borderId="0">
      <alignment horizontal="center"/>
      <protection locked="0"/>
    </xf>
    <xf numFmtId="0" fontId="86" fillId="0" borderId="12" applyNumberFormat="0" applyFill="0" applyAlignment="0" applyProtection="0"/>
    <xf numFmtId="0" fontId="87" fillId="27" borderId="0" applyNumberFormat="0" applyBorder="0" applyAlignment="0" applyProtection="0"/>
    <xf numFmtId="37" fontId="98" fillId="0" borderId="0"/>
    <xf numFmtId="182" fontId="99" fillId="0" borderId="0"/>
    <xf numFmtId="0" fontId="39" fillId="0" borderId="0"/>
    <xf numFmtId="0" fontId="41" fillId="0" borderId="0"/>
    <xf numFmtId="0" fontId="41" fillId="0" borderId="0"/>
    <xf numFmtId="0" fontId="41" fillId="0" borderId="0"/>
    <xf numFmtId="0" fontId="41" fillId="0" borderId="0"/>
    <xf numFmtId="0" fontId="39" fillId="0" borderId="0"/>
    <xf numFmtId="0" fontId="41" fillId="0" borderId="0"/>
    <xf numFmtId="0" fontId="38" fillId="0" borderId="0"/>
    <xf numFmtId="0" fontId="39" fillId="0" borderId="0"/>
    <xf numFmtId="0" fontId="38" fillId="0" borderId="0"/>
    <xf numFmtId="0" fontId="38" fillId="0" borderId="0"/>
    <xf numFmtId="0" fontId="41" fillId="0" borderId="0">
      <alignment vertical="top"/>
    </xf>
    <xf numFmtId="0" fontId="41" fillId="0" borderId="0"/>
    <xf numFmtId="0" fontId="41" fillId="0" borderId="0">
      <alignment vertical="top"/>
    </xf>
    <xf numFmtId="0" fontId="38" fillId="0" borderId="0"/>
    <xf numFmtId="0" fontId="39" fillId="0" borderId="0"/>
    <xf numFmtId="0" fontId="39" fillId="0" borderId="0"/>
    <xf numFmtId="176" fontId="41" fillId="0" borderId="0"/>
    <xf numFmtId="0" fontId="38" fillId="0" borderId="0"/>
    <xf numFmtId="176" fontId="41" fillId="0" borderId="0"/>
    <xf numFmtId="0" fontId="38" fillId="0" borderId="0"/>
    <xf numFmtId="0" fontId="88" fillId="0" borderId="0"/>
    <xf numFmtId="0" fontId="41" fillId="0" borderId="0"/>
    <xf numFmtId="0" fontId="105" fillId="0" borderId="0"/>
    <xf numFmtId="0" fontId="105" fillId="0" borderId="0"/>
    <xf numFmtId="0" fontId="41" fillId="0" borderId="0"/>
    <xf numFmtId="0" fontId="41" fillId="0" borderId="0"/>
    <xf numFmtId="0" fontId="105" fillId="0" borderId="0"/>
    <xf numFmtId="0" fontId="105" fillId="0" borderId="0"/>
    <xf numFmtId="0" fontId="51" fillId="0" borderId="0"/>
    <xf numFmtId="0" fontId="51" fillId="0" borderId="0"/>
    <xf numFmtId="0" fontId="41" fillId="0" borderId="0"/>
    <xf numFmtId="0" fontId="41" fillId="0" borderId="0"/>
    <xf numFmtId="176" fontId="41" fillId="0" borderId="0"/>
    <xf numFmtId="176" fontId="41" fillId="0" borderId="0"/>
    <xf numFmtId="0" fontId="41" fillId="0" borderId="0"/>
    <xf numFmtId="0" fontId="41" fillId="0" borderId="0"/>
    <xf numFmtId="0" fontId="41" fillId="0" borderId="0"/>
    <xf numFmtId="0" fontId="105" fillId="0" borderId="0"/>
    <xf numFmtId="169" fontId="52" fillId="0" borderId="0" applyProtection="0"/>
    <xf numFmtId="0" fontId="106" fillId="0" borderId="0"/>
    <xf numFmtId="0" fontId="107" fillId="0" borderId="0"/>
    <xf numFmtId="0" fontId="107" fillId="0" borderId="0"/>
    <xf numFmtId="0" fontId="108" fillId="0" borderId="0"/>
    <xf numFmtId="0" fontId="6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1" fillId="0" borderId="0"/>
    <xf numFmtId="0" fontId="41" fillId="0" borderId="0"/>
    <xf numFmtId="0" fontId="41" fillId="0" borderId="0">
      <alignment vertical="top"/>
    </xf>
    <xf numFmtId="0" fontId="41" fillId="0" borderId="0"/>
    <xf numFmtId="0" fontId="105" fillId="0" borderId="0"/>
    <xf numFmtId="0" fontId="41" fillId="0" borderId="0"/>
    <xf numFmtId="0" fontId="41" fillId="0" borderId="0"/>
    <xf numFmtId="0" fontId="41" fillId="0" borderId="0"/>
    <xf numFmtId="0" fontId="38" fillId="0" borderId="0"/>
    <xf numFmtId="0" fontId="10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1" fillId="0" borderId="0"/>
    <xf numFmtId="0" fontId="41" fillId="0" borderId="0"/>
    <xf numFmtId="0" fontId="41" fillId="0" borderId="0"/>
    <xf numFmtId="0" fontId="41" fillId="0" borderId="0"/>
    <xf numFmtId="0" fontId="41" fillId="0" borderId="0"/>
    <xf numFmtId="165" fontId="4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3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41" fillId="0" borderId="0"/>
    <xf numFmtId="0" fontId="38" fillId="0" borderId="0"/>
    <xf numFmtId="0" fontId="41" fillId="0" borderId="0"/>
    <xf numFmtId="0" fontId="41" fillId="0" borderId="0"/>
    <xf numFmtId="0" fontId="39" fillId="0" borderId="0"/>
    <xf numFmtId="0" fontId="39" fillId="0" borderId="0"/>
    <xf numFmtId="0" fontId="41" fillId="0" borderId="0"/>
    <xf numFmtId="0" fontId="38" fillId="0" borderId="0"/>
    <xf numFmtId="0" fontId="41" fillId="0" borderId="0"/>
    <xf numFmtId="0" fontId="41" fillId="0" borderId="0"/>
    <xf numFmtId="169" fontId="52" fillId="0" borderId="0" applyProtection="0"/>
    <xf numFmtId="0" fontId="41" fillId="0" borderId="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41"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183" fontId="100" fillId="28" borderId="0"/>
    <xf numFmtId="0" fontId="78" fillId="12" borderId="14" applyNumberFormat="0" applyAlignment="0" applyProtection="0"/>
    <xf numFmtId="0" fontId="95" fillId="0" borderId="0"/>
    <xf numFmtId="9" fontId="41" fillId="0" borderId="0" applyFont="0" applyFill="0" applyBorder="0" applyAlignment="0" applyProtection="0"/>
    <xf numFmtId="184" fontId="68" fillId="0" borderId="0" applyFont="0" applyFill="0" applyBorder="0" applyAlignment="0" applyProtection="0"/>
    <xf numFmtId="10" fontId="41" fillId="0" borderId="0" applyFont="0" applyFill="0" applyBorder="0" applyAlignment="0" applyProtection="0"/>
    <xf numFmtId="9" fontId="5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0" fontId="69" fillId="0" borderId="7">
      <alignment horizontal="center"/>
    </xf>
    <xf numFmtId="3" fontId="68" fillId="0" borderId="0" applyFont="0" applyFill="0" applyBorder="0" applyAlignment="0" applyProtection="0"/>
    <xf numFmtId="0" fontId="68" fillId="29" borderId="0" applyNumberFormat="0" applyFont="0" applyBorder="0" applyAlignment="0" applyProtection="0"/>
    <xf numFmtId="0" fontId="41" fillId="0" borderId="0" applyNumberFormat="0" applyFill="0" applyBorder="0" applyAlignment="0" applyProtection="0"/>
    <xf numFmtId="0" fontId="41" fillId="30" borderId="14" applyNumberFormat="0" applyProtection="0">
      <alignment horizontal="left" vertical="center" indent="1"/>
    </xf>
    <xf numFmtId="4" fontId="61" fillId="31" borderId="14" applyNumberFormat="0" applyProtection="0">
      <alignment horizontal="right" vertical="center"/>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54" fillId="32" borderId="0"/>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175" fontId="41" fillId="0" borderId="0">
      <alignment horizontal="left" wrapText="1"/>
    </xf>
    <xf numFmtId="0" fontId="41" fillId="24" borderId="3" applyNumberFormat="0" applyFont="0" applyAlignment="0"/>
    <xf numFmtId="0" fontId="50" fillId="0" borderId="0" applyFill="0" applyBorder="0" applyProtection="0">
      <alignment horizontal="left" vertical="top"/>
    </xf>
    <xf numFmtId="40" fontId="101" fillId="0" borderId="0"/>
    <xf numFmtId="0" fontId="89" fillId="0" borderId="0" applyNumberFormat="0" applyFill="0" applyBorder="0" applyAlignment="0" applyProtection="0"/>
    <xf numFmtId="0" fontId="79" fillId="0" borderId="15" applyNumberFormat="0" applyFill="0" applyAlignment="0" applyProtection="0"/>
    <xf numFmtId="0" fontId="77" fillId="0" borderId="0" applyNumberFormat="0" applyFill="0" applyBorder="0" applyAlignment="0" applyProtection="0"/>
    <xf numFmtId="43" fontId="35" fillId="0" borderId="0" applyFont="0" applyFill="0" applyBorder="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0" fontId="80" fillId="12" borderId="1" applyNumberFormat="0" applyAlignment="0" applyProtection="0"/>
    <xf numFmtId="41" fontId="4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09" fillId="0" borderId="0" applyFont="0" applyFill="0" applyBorder="0" applyAlignment="0" applyProtection="0"/>
    <xf numFmtId="43" fontId="41"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110"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86" fontId="111" fillId="0" borderId="0" applyFont="0" applyFill="0" applyBorder="0" applyProtection="0">
      <alignment horizontal="right"/>
    </xf>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187" fontId="63" fillId="0" borderId="0" applyNumberFormat="0" applyFill="0" applyBorder="0" applyAlignment="0" applyProtection="0"/>
    <xf numFmtId="37" fontId="112" fillId="0" borderId="0" applyNumberFormat="0" applyFill="0" applyBorder="0"/>
    <xf numFmtId="0" fontId="64" fillId="0" borderId="48" applyNumberFormat="0" applyBorder="0" applyAlignment="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9" fillId="0" borderId="0"/>
    <xf numFmtId="0" fontId="10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1" fillId="0" borderId="0"/>
    <xf numFmtId="0" fontId="68" fillId="0" borderId="0"/>
    <xf numFmtId="0" fontId="68" fillId="0" borderId="0"/>
    <xf numFmtId="165" fontId="45" fillId="0" borderId="0"/>
    <xf numFmtId="165"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41"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64" fillId="6" borderId="13" applyNumberFormat="0" applyFon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0" fontId="78" fillId="12" borderId="14" applyNumberFormat="0" applyAlignment="0" applyProtection="0"/>
    <xf numFmtId="12" fontId="43" fillId="38" borderId="7">
      <alignment horizontal="left"/>
    </xf>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69" fillId="0" borderId="7">
      <alignment horizontal="center"/>
    </xf>
    <xf numFmtId="4" fontId="71" fillId="27" borderId="49" applyNumberFormat="0" applyProtection="0">
      <alignment vertical="center"/>
    </xf>
    <xf numFmtId="4" fontId="113" fillId="34" borderId="49" applyNumberFormat="0" applyProtection="0">
      <alignment vertical="center"/>
    </xf>
    <xf numFmtId="4" fontId="71" fillId="34" borderId="49" applyNumberFormat="0" applyProtection="0">
      <alignment vertical="center"/>
    </xf>
    <xf numFmtId="4" fontId="71" fillId="34" borderId="49" applyNumberFormat="0" applyProtection="0">
      <alignment horizontal="left" vertical="center" indent="1"/>
    </xf>
    <xf numFmtId="4" fontId="71" fillId="34" borderId="49" applyNumberFormat="0" applyProtection="0">
      <alignment horizontal="left" vertical="center" indent="1"/>
    </xf>
    <xf numFmtId="4" fontId="71" fillId="34" borderId="49" applyNumberFormat="0" applyProtection="0">
      <alignment horizontal="left" vertical="center" indent="1"/>
    </xf>
    <xf numFmtId="4" fontId="71" fillId="34" borderId="49" applyNumberFormat="0" applyProtection="0">
      <alignment horizontal="left" vertical="center" indent="1"/>
    </xf>
    <xf numFmtId="4" fontId="71" fillId="34" borderId="49" applyNumberFormat="0" applyProtection="0">
      <alignment horizontal="left" vertical="center" indent="1"/>
    </xf>
    <xf numFmtId="4" fontId="71" fillId="34" borderId="49" applyNumberFormat="0" applyProtection="0">
      <alignment horizontal="left" vertical="center" indent="1"/>
    </xf>
    <xf numFmtId="0" fontId="71" fillId="34" borderId="49" applyNumberFormat="0" applyProtection="0">
      <alignment horizontal="left" vertical="top"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4" fontId="71" fillId="39" borderId="49" applyNumberFormat="0" applyProtection="0"/>
    <xf numFmtId="4" fontId="61" fillId="5" borderId="49" applyNumberFormat="0" applyProtection="0">
      <alignment horizontal="right" vertical="center"/>
    </xf>
    <xf numFmtId="4" fontId="61" fillId="4" borderId="49" applyNumberFormat="0" applyProtection="0">
      <alignment horizontal="right" vertical="center"/>
    </xf>
    <xf numFmtId="4" fontId="61" fillId="19" borderId="49" applyNumberFormat="0" applyProtection="0">
      <alignment horizontal="right" vertical="center"/>
    </xf>
    <xf numFmtId="4" fontId="61" fillId="13" borderId="49" applyNumberFormat="0" applyProtection="0">
      <alignment horizontal="right" vertical="center"/>
    </xf>
    <xf numFmtId="4" fontId="61" fillId="17" borderId="49" applyNumberFormat="0" applyProtection="0">
      <alignment horizontal="right" vertical="center"/>
    </xf>
    <xf numFmtId="4" fontId="61" fillId="21" borderId="49" applyNumberFormat="0" applyProtection="0">
      <alignment horizontal="right" vertical="center"/>
    </xf>
    <xf numFmtId="4" fontId="61" fillId="20" borderId="49" applyNumberFormat="0" applyProtection="0">
      <alignment horizontal="right" vertical="center"/>
    </xf>
    <xf numFmtId="4" fontId="61" fillId="40" borderId="49" applyNumberFormat="0" applyProtection="0">
      <alignment horizontal="right" vertical="center"/>
    </xf>
    <xf numFmtId="4" fontId="61" fillId="11" borderId="49" applyNumberFormat="0" applyProtection="0">
      <alignment horizontal="right" vertical="center"/>
    </xf>
    <xf numFmtId="4" fontId="71" fillId="41" borderId="50" applyNumberFormat="0" applyProtection="0">
      <alignment horizontal="left" vertical="center" indent="1"/>
    </xf>
    <xf numFmtId="4" fontId="61" fillId="42" borderId="0" applyNumberFormat="0" applyProtection="0">
      <alignment horizontal="left" vertical="center" indent="1"/>
    </xf>
    <xf numFmtId="4" fontId="61" fillId="42" borderId="0" applyNumberFormat="0" applyProtection="0">
      <alignment horizontal="left" indent="1"/>
    </xf>
    <xf numFmtId="4" fontId="61" fillId="42" borderId="0" applyNumberFormat="0" applyProtection="0">
      <alignment horizontal="left" indent="1"/>
    </xf>
    <xf numFmtId="4" fontId="61" fillId="42" borderId="0" applyNumberFormat="0" applyProtection="0">
      <alignment horizontal="left" indent="1"/>
    </xf>
    <xf numFmtId="4" fontId="61" fillId="42" borderId="0" applyNumberFormat="0" applyProtection="0">
      <alignment horizontal="left" indent="1"/>
    </xf>
    <xf numFmtId="4" fontId="61" fillId="42" borderId="0" applyNumberFormat="0" applyProtection="0">
      <alignment horizontal="left" indent="1"/>
    </xf>
    <xf numFmtId="4" fontId="61" fillId="42" borderId="0" applyNumberFormat="0" applyProtection="0">
      <alignment horizontal="left" indent="1"/>
    </xf>
    <xf numFmtId="4" fontId="114" fillId="43" borderId="0" applyNumberFormat="0" applyProtection="0">
      <alignment horizontal="left" vertical="center" indent="1"/>
    </xf>
    <xf numFmtId="4" fontId="114" fillId="43" borderId="0" applyNumberFormat="0" applyProtection="0">
      <alignment horizontal="left" vertical="center" indent="1"/>
    </xf>
    <xf numFmtId="4" fontId="114" fillId="43" borderId="0" applyNumberFormat="0" applyProtection="0">
      <alignment horizontal="left" vertical="center" indent="1"/>
    </xf>
    <xf numFmtId="4" fontId="114" fillId="43" borderId="0" applyNumberFormat="0" applyProtection="0">
      <alignment horizontal="left" vertical="center" indent="1"/>
    </xf>
    <xf numFmtId="4" fontId="114" fillId="43" borderId="0" applyNumberFormat="0" applyProtection="0">
      <alignment horizontal="left" vertical="center" indent="1"/>
    </xf>
    <xf numFmtId="4" fontId="61" fillId="44" borderId="49" applyNumberFormat="0" applyProtection="0">
      <alignment horizontal="right" vertical="center"/>
    </xf>
    <xf numFmtId="4" fontId="115" fillId="0" borderId="0" applyNumberFormat="0" applyProtection="0">
      <alignment horizontal="left" vertical="center" indent="1"/>
    </xf>
    <xf numFmtId="4" fontId="116" fillId="45" borderId="0" applyNumberFormat="0" applyProtection="0">
      <alignment horizontal="left" indent="1"/>
    </xf>
    <xf numFmtId="4" fontId="116" fillId="45" borderId="0" applyNumberFormat="0" applyProtection="0">
      <alignment horizontal="left" indent="1"/>
    </xf>
    <xf numFmtId="4" fontId="116" fillId="45" borderId="0" applyNumberFormat="0" applyProtection="0">
      <alignment horizontal="left" indent="1"/>
    </xf>
    <xf numFmtId="4" fontId="116" fillId="45" borderId="0" applyNumberFormat="0" applyProtection="0">
      <alignment horizontal="left" indent="1"/>
    </xf>
    <xf numFmtId="4" fontId="116" fillId="45" borderId="0" applyNumberFormat="0" applyProtection="0">
      <alignment horizontal="left" indent="1"/>
    </xf>
    <xf numFmtId="4" fontId="116" fillId="45" borderId="0" applyNumberFormat="0" applyProtection="0">
      <alignment horizontal="left" indent="1"/>
    </xf>
    <xf numFmtId="4" fontId="116" fillId="45" borderId="0" applyNumberFormat="0" applyProtection="0">
      <alignment horizontal="left" indent="1"/>
    </xf>
    <xf numFmtId="4" fontId="117" fillId="0" borderId="0" applyNumberFormat="0" applyProtection="0">
      <alignment horizontal="left" vertical="center" indent="1"/>
    </xf>
    <xf numFmtId="4" fontId="117" fillId="46" borderId="0" applyNumberFormat="0" applyProtection="0"/>
    <xf numFmtId="4" fontId="117" fillId="46" borderId="0" applyNumberFormat="0" applyProtection="0"/>
    <xf numFmtId="4" fontId="117" fillId="46" borderId="0" applyNumberFormat="0" applyProtection="0"/>
    <xf numFmtId="4" fontId="117" fillId="46" borderId="0" applyNumberFormat="0" applyProtection="0"/>
    <xf numFmtId="4" fontId="117" fillId="46" borderId="0" applyNumberFormat="0" applyProtection="0"/>
    <xf numFmtId="4" fontId="117" fillId="46" borderId="0" applyNumberFormat="0" applyProtection="0"/>
    <xf numFmtId="4" fontId="117" fillId="46" borderId="0" applyNumberFormat="0" applyProtection="0"/>
    <xf numFmtId="0" fontId="41" fillId="43" borderId="49" applyNumberFormat="0" applyProtection="0">
      <alignment horizontal="left" vertical="center" indent="1"/>
    </xf>
    <xf numFmtId="0" fontId="41" fillId="43" borderId="49" applyNumberFormat="0" applyProtection="0">
      <alignment horizontal="left" vertical="center" indent="1"/>
    </xf>
    <xf numFmtId="0" fontId="41" fillId="43" borderId="49" applyNumberFormat="0" applyProtection="0">
      <alignment horizontal="left" vertical="center" indent="1"/>
    </xf>
    <xf numFmtId="0" fontId="41" fillId="43" borderId="49" applyNumberFormat="0" applyProtection="0">
      <alignment horizontal="left" vertical="center" indent="1"/>
    </xf>
    <xf numFmtId="0" fontId="41" fillId="43" borderId="49" applyNumberFormat="0" applyProtection="0">
      <alignment horizontal="left" vertical="center" indent="1"/>
    </xf>
    <xf numFmtId="0" fontId="41" fillId="43" borderId="49" applyNumberFormat="0" applyProtection="0">
      <alignment horizontal="left" vertical="top" indent="1"/>
    </xf>
    <xf numFmtId="0" fontId="41" fillId="43" borderId="49" applyNumberFormat="0" applyProtection="0">
      <alignment horizontal="left" vertical="top" indent="1"/>
    </xf>
    <xf numFmtId="0" fontId="41" fillId="43" borderId="49" applyNumberFormat="0" applyProtection="0">
      <alignment horizontal="left" vertical="top" indent="1"/>
    </xf>
    <xf numFmtId="0" fontId="41" fillId="43" borderId="49" applyNumberFormat="0" applyProtection="0">
      <alignment horizontal="left" vertical="top" indent="1"/>
    </xf>
    <xf numFmtId="0" fontId="41" fillId="43" borderId="49" applyNumberFormat="0" applyProtection="0">
      <alignment horizontal="left" vertical="top" indent="1"/>
    </xf>
    <xf numFmtId="0" fontId="41" fillId="39" borderId="49" applyNumberFormat="0" applyProtection="0">
      <alignment horizontal="left" vertical="center" indent="1"/>
    </xf>
    <xf numFmtId="0" fontId="41" fillId="39" borderId="49" applyNumberFormat="0" applyProtection="0">
      <alignment horizontal="left" vertical="center" indent="1"/>
    </xf>
    <xf numFmtId="0" fontId="41" fillId="39" borderId="49" applyNumberFormat="0" applyProtection="0">
      <alignment horizontal="left" vertical="center" indent="1"/>
    </xf>
    <xf numFmtId="0" fontId="41" fillId="39" borderId="49" applyNumberFormat="0" applyProtection="0">
      <alignment horizontal="left" vertical="center" indent="1"/>
    </xf>
    <xf numFmtId="0" fontId="41" fillId="39" borderId="49" applyNumberFormat="0" applyProtection="0">
      <alignment horizontal="left" vertical="center" indent="1"/>
    </xf>
    <xf numFmtId="0" fontId="41" fillId="39" borderId="49" applyNumberFormat="0" applyProtection="0">
      <alignment horizontal="left" vertical="top" indent="1"/>
    </xf>
    <xf numFmtId="0" fontId="41" fillId="39" borderId="49" applyNumberFormat="0" applyProtection="0">
      <alignment horizontal="left" vertical="top" indent="1"/>
    </xf>
    <xf numFmtId="0" fontId="41" fillId="39" borderId="49" applyNumberFormat="0" applyProtection="0">
      <alignment horizontal="left" vertical="top" indent="1"/>
    </xf>
    <xf numFmtId="0" fontId="41" fillId="39" borderId="49" applyNumberFormat="0" applyProtection="0">
      <alignment horizontal="left" vertical="top" indent="1"/>
    </xf>
    <xf numFmtId="0" fontId="41" fillId="39" borderId="49" applyNumberFormat="0" applyProtection="0">
      <alignment horizontal="left" vertical="top" indent="1"/>
    </xf>
    <xf numFmtId="0" fontId="41" fillId="36" borderId="49" applyNumberFormat="0" applyProtection="0">
      <alignment horizontal="left" vertical="center" indent="1"/>
    </xf>
    <xf numFmtId="0" fontId="41" fillId="36" borderId="49" applyNumberFormat="0" applyProtection="0">
      <alignment horizontal="left" vertical="center" indent="1"/>
    </xf>
    <xf numFmtId="0" fontId="41" fillId="36" borderId="49" applyNumberFormat="0" applyProtection="0">
      <alignment horizontal="left" vertical="center" indent="1"/>
    </xf>
    <xf numFmtId="0" fontId="41" fillId="36" borderId="49" applyNumberFormat="0" applyProtection="0">
      <alignment horizontal="left" vertical="center" indent="1"/>
    </xf>
    <xf numFmtId="0" fontId="41" fillId="36" borderId="49" applyNumberFormat="0" applyProtection="0">
      <alignment horizontal="left" vertical="center" indent="1"/>
    </xf>
    <xf numFmtId="0" fontId="41" fillId="36" borderId="49" applyNumberFormat="0" applyProtection="0">
      <alignment horizontal="left" vertical="top" indent="1"/>
    </xf>
    <xf numFmtId="0" fontId="41" fillId="36" borderId="49" applyNumberFormat="0" applyProtection="0">
      <alignment horizontal="left" vertical="top" indent="1"/>
    </xf>
    <xf numFmtId="0" fontId="41" fillId="36" borderId="49" applyNumberFormat="0" applyProtection="0">
      <alignment horizontal="left" vertical="top" indent="1"/>
    </xf>
    <xf numFmtId="0" fontId="41" fillId="36" borderId="49" applyNumberFormat="0" applyProtection="0">
      <alignment horizontal="left" vertical="top" indent="1"/>
    </xf>
    <xf numFmtId="0" fontId="41" fillId="36" borderId="49" applyNumberFormat="0" applyProtection="0">
      <alignment horizontal="left" vertical="top" indent="1"/>
    </xf>
    <xf numFmtId="0" fontId="41" fillId="47" borderId="49" applyNumberFormat="0" applyProtection="0">
      <alignment horizontal="left" vertical="center" indent="1"/>
    </xf>
    <xf numFmtId="0" fontId="41" fillId="47" borderId="49" applyNumberFormat="0" applyProtection="0">
      <alignment horizontal="left" vertical="center" indent="1"/>
    </xf>
    <xf numFmtId="0" fontId="41" fillId="47" borderId="49" applyNumberFormat="0" applyProtection="0">
      <alignment horizontal="left" vertical="center" indent="1"/>
    </xf>
    <xf numFmtId="0" fontId="41" fillId="47" borderId="49" applyNumberFormat="0" applyProtection="0">
      <alignment horizontal="left" vertical="center" indent="1"/>
    </xf>
    <xf numFmtId="0" fontId="41" fillId="47" borderId="49" applyNumberFormat="0" applyProtection="0">
      <alignment horizontal="left" vertical="center" indent="1"/>
    </xf>
    <xf numFmtId="0" fontId="41" fillId="47" borderId="49" applyNumberFormat="0" applyProtection="0">
      <alignment horizontal="left" vertical="top" indent="1"/>
    </xf>
    <xf numFmtId="0" fontId="41" fillId="47" borderId="49" applyNumberFormat="0" applyProtection="0">
      <alignment horizontal="left" vertical="top" indent="1"/>
    </xf>
    <xf numFmtId="0" fontId="41" fillId="47" borderId="49" applyNumberFormat="0" applyProtection="0">
      <alignment horizontal="left" vertical="top" indent="1"/>
    </xf>
    <xf numFmtId="0" fontId="41" fillId="47" borderId="49" applyNumberFormat="0" applyProtection="0">
      <alignment horizontal="left" vertical="top" indent="1"/>
    </xf>
    <xf numFmtId="0" fontId="41" fillId="47" borderId="49" applyNumberFormat="0" applyProtection="0">
      <alignment horizontal="left" vertical="top" indent="1"/>
    </xf>
    <xf numFmtId="4" fontId="61" fillId="26" borderId="49" applyNumberFormat="0" applyProtection="0">
      <alignment vertical="center"/>
    </xf>
    <xf numFmtId="4" fontId="118" fillId="26" borderId="49" applyNumberFormat="0" applyProtection="0">
      <alignment vertical="center"/>
    </xf>
    <xf numFmtId="4" fontId="61" fillId="26" borderId="49" applyNumberFormat="0" applyProtection="0">
      <alignment horizontal="left" vertical="center" indent="1"/>
    </xf>
    <xf numFmtId="0" fontId="61" fillId="26" borderId="49" applyNumberFormat="0" applyProtection="0">
      <alignment horizontal="left" vertical="top" indent="1"/>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31" borderId="14" applyNumberFormat="0" applyProtection="0">
      <alignment horizontal="right" vertical="center"/>
    </xf>
    <xf numFmtId="4" fontId="61" fillId="0" borderId="49" applyNumberFormat="0" applyProtection="0">
      <alignment horizontal="right" vertical="center"/>
    </xf>
    <xf numFmtId="4" fontId="118" fillId="42" borderId="49" applyNumberFormat="0" applyProtection="0">
      <alignment horizontal="right" vertical="center"/>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4" fontId="61" fillId="44" borderId="49"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4" fontId="61" fillId="0" borderId="49"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41" fillId="30" borderId="14" applyNumberFormat="0" applyProtection="0">
      <alignment horizontal="left" vertical="center" indent="1"/>
    </xf>
    <xf numFmtId="0" fontId="61" fillId="39" borderId="49" applyNumberFormat="0" applyProtection="0">
      <alignment horizontal="left" vertical="top"/>
    </xf>
    <xf numFmtId="4" fontId="57" fillId="0" borderId="0" applyNumberFormat="0" applyProtection="0">
      <alignment horizontal="left" vertical="center"/>
    </xf>
    <xf numFmtId="4" fontId="54" fillId="48" borderId="0" applyNumberFormat="0" applyProtection="0">
      <alignment horizontal="left"/>
    </xf>
    <xf numFmtId="4" fontId="54" fillId="48" borderId="0" applyNumberFormat="0" applyProtection="0">
      <alignment horizontal="left"/>
    </xf>
    <xf numFmtId="4" fontId="54" fillId="48" borderId="0" applyNumberFormat="0" applyProtection="0">
      <alignment horizontal="left"/>
    </xf>
    <xf numFmtId="4" fontId="54" fillId="48" borderId="0" applyNumberFormat="0" applyProtection="0">
      <alignment horizontal="left"/>
    </xf>
    <xf numFmtId="4" fontId="54" fillId="48" borderId="0" applyNumberFormat="0" applyProtection="0">
      <alignment horizontal="left"/>
    </xf>
    <xf numFmtId="4" fontId="54" fillId="48" borderId="0" applyNumberFormat="0" applyProtection="0">
      <alignment horizontal="left"/>
    </xf>
    <xf numFmtId="4" fontId="54" fillId="48" borderId="0" applyNumberFormat="0" applyProtection="0">
      <alignment horizontal="left"/>
    </xf>
    <xf numFmtId="4" fontId="44" fillId="42" borderId="49" applyNumberFormat="0" applyProtection="0">
      <alignment horizontal="right" vertical="center"/>
    </xf>
    <xf numFmtId="188" fontId="41" fillId="0" borderId="0" applyFill="0" applyBorder="0" applyAlignment="0" applyProtection="0">
      <alignment wrapText="1"/>
    </xf>
    <xf numFmtId="0" fontId="42" fillId="0" borderId="0" applyNumberFormat="0" applyFill="0" applyBorder="0">
      <alignment horizontal="center" wrapText="1"/>
    </xf>
    <xf numFmtId="0" fontId="42" fillId="0" borderId="0" applyNumberFormat="0" applyFill="0" applyBorder="0">
      <alignment horizontal="center" wrapText="1"/>
    </xf>
    <xf numFmtId="0" fontId="42" fillId="0" borderId="11">
      <alignment horizontal="center" vertical="center" wrapText="1"/>
    </xf>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37" fontId="64" fillId="34" borderId="0" applyNumberFormat="0" applyBorder="0" applyAlignment="0" applyProtection="0"/>
    <xf numFmtId="37" fontId="64" fillId="0" borderId="0"/>
    <xf numFmtId="3" fontId="119" fillId="49" borderId="51" applyProtection="0"/>
    <xf numFmtId="0" fontId="68" fillId="0" borderId="0"/>
    <xf numFmtId="0" fontId="36" fillId="0" borderId="0"/>
    <xf numFmtId="0" fontId="34" fillId="0" borderId="0"/>
    <xf numFmtId="0" fontId="34" fillId="0" borderId="0"/>
    <xf numFmtId="0" fontId="34" fillId="0" borderId="0"/>
    <xf numFmtId="0" fontId="41" fillId="0" borderId="0"/>
    <xf numFmtId="0" fontId="106" fillId="0" borderId="0"/>
    <xf numFmtId="0" fontId="41" fillId="0" borderId="0">
      <alignment vertical="top"/>
    </xf>
    <xf numFmtId="9" fontId="52" fillId="0" borderId="0" applyFont="0" applyFill="0" applyBorder="0" applyAlignment="0" applyProtection="0"/>
    <xf numFmtId="0" fontId="33" fillId="0" borderId="0"/>
    <xf numFmtId="0" fontId="36" fillId="0" borderId="0"/>
    <xf numFmtId="0" fontId="33" fillId="0" borderId="0"/>
    <xf numFmtId="0" fontId="33" fillId="0" borderId="0"/>
    <xf numFmtId="44" fontId="106" fillId="0" borderId="0" applyFont="0" applyFill="0" applyBorder="0" applyAlignment="0" applyProtection="0"/>
    <xf numFmtId="0" fontId="32" fillId="0" borderId="0"/>
    <xf numFmtId="43" fontId="32"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36" fillId="3" borderId="0" applyNumberFormat="0" applyBorder="0" applyAlignment="0" applyProtection="0"/>
    <xf numFmtId="0" fontId="36" fillId="5"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11" borderId="0" applyNumberFormat="0" applyBorder="0" applyAlignment="0" applyProtection="0"/>
    <xf numFmtId="0" fontId="36" fillId="9" borderId="0" applyNumberFormat="0" applyBorder="0" applyAlignment="0" applyProtection="0"/>
    <xf numFmtId="0" fontId="36" fillId="2" borderId="0" applyNumberFormat="0" applyBorder="0" applyAlignment="0" applyProtection="0"/>
    <xf numFmtId="0" fontId="36" fillId="13" borderId="0" applyNumberFormat="0" applyBorder="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41" fillId="6" borderId="13" applyNumberFormat="0" applyFont="0" applyAlignment="0" applyProtection="0"/>
    <xf numFmtId="43" fontId="125" fillId="0" borderId="0" applyFont="0" applyFill="0" applyBorder="0" applyAlignment="0" applyProtection="0"/>
    <xf numFmtId="0" fontId="41" fillId="6" borderId="13" applyNumberFormat="0" applyFont="0" applyAlignment="0" applyProtection="0"/>
    <xf numFmtId="0" fontId="41" fillId="0" borderId="0"/>
    <xf numFmtId="0" fontId="76" fillId="8" borderId="1" applyNumberFormat="0" applyAlignment="0" applyProtection="0"/>
    <xf numFmtId="0" fontId="41" fillId="6" borderId="13" applyNumberFormat="0" applyFont="0" applyAlignment="0" applyProtection="0"/>
    <xf numFmtId="9" fontId="125" fillId="0" borderId="0" applyFont="0" applyFill="0" applyBorder="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76" fillId="8" borderId="1" applyNumberFormat="0" applyAlignment="0" applyProtection="0"/>
    <xf numFmtId="0" fontId="41" fillId="6" borderId="13" applyNumberFormat="0" applyFont="0" applyAlignment="0" applyProtection="0"/>
    <xf numFmtId="0" fontId="76" fillId="8" borderId="1" applyNumberFormat="0" applyAlignment="0" applyProtection="0"/>
    <xf numFmtId="0" fontId="41" fillId="6" borderId="13" applyNumberFormat="0" applyFont="0" applyAlignment="0" applyProtection="0"/>
    <xf numFmtId="0" fontId="41" fillId="6" borderId="13" applyNumberFormat="0" applyFont="0" applyAlignment="0" applyProtection="0"/>
    <xf numFmtId="0" fontId="41" fillId="0" borderId="0"/>
    <xf numFmtId="0" fontId="41" fillId="6" borderId="13" applyNumberFormat="0" applyFont="0" applyAlignment="0" applyProtection="0"/>
    <xf numFmtId="0" fontId="41" fillId="0" borderId="0"/>
    <xf numFmtId="0" fontId="41" fillId="6" borderId="13" applyNumberFormat="0" applyFont="0" applyAlignment="0" applyProtection="0"/>
    <xf numFmtId="0" fontId="41" fillId="0" borderId="0"/>
    <xf numFmtId="0" fontId="41" fillId="6" borderId="13" applyNumberFormat="0" applyFont="0" applyAlignment="0" applyProtection="0"/>
    <xf numFmtId="0" fontId="41" fillId="0" borderId="0"/>
    <xf numFmtId="0" fontId="41" fillId="6" borderId="13" applyNumberFormat="0" applyFont="0" applyAlignment="0" applyProtection="0"/>
    <xf numFmtId="0" fontId="41" fillId="0" borderId="0"/>
    <xf numFmtId="0" fontId="41" fillId="0" borderId="0"/>
    <xf numFmtId="0" fontId="41" fillId="0" borderId="0"/>
    <xf numFmtId="0" fontId="41" fillId="0" borderId="0"/>
    <xf numFmtId="0" fontId="41" fillId="0" borderId="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0" fontId="4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41" fillId="0" borderId="0"/>
    <xf numFmtId="0" fontId="31" fillId="0" borderId="0"/>
    <xf numFmtId="0" fontId="4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31"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126" fillId="0" borderId="0" applyFont="0" applyFill="0" applyBorder="0" applyAlignment="0" applyProtection="0"/>
    <xf numFmtId="9" fontId="126" fillId="0" borderId="0" applyFont="0" applyFill="0" applyBorder="0" applyAlignment="0" applyProtection="0"/>
    <xf numFmtId="43" fontId="126" fillId="0" borderId="0" applyFont="0" applyFill="0" applyBorder="0" applyAlignment="0" applyProtection="0"/>
    <xf numFmtId="9" fontId="12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169" fontId="52" fillId="0" borderId="0" applyProtection="0"/>
    <xf numFmtId="0" fontId="41" fillId="0" borderId="0"/>
    <xf numFmtId="169" fontId="52" fillId="0" borderId="0" applyProtection="0"/>
    <xf numFmtId="169" fontId="52" fillId="0" borderId="0" applyProtection="0"/>
    <xf numFmtId="0" fontId="52" fillId="0" borderId="0" applyProtection="0"/>
  </cellStyleXfs>
  <cellXfs count="1788">
    <xf numFmtId="0" fontId="0" fillId="0" borderId="0" xfId="0"/>
    <xf numFmtId="0" fontId="43" fillId="0" borderId="0" xfId="0" applyFont="1"/>
    <xf numFmtId="0" fontId="45" fillId="0" borderId="0" xfId="0" applyFont="1" applyAlignment="1"/>
    <xf numFmtId="0" fontId="43" fillId="0" borderId="17" xfId="0" applyNumberFormat="1" applyFont="1" applyFill="1" applyBorder="1" applyAlignment="1"/>
    <xf numFmtId="0" fontId="43" fillId="0" borderId="17" xfId="0" applyFont="1" applyBorder="1"/>
    <xf numFmtId="0" fontId="43" fillId="0" borderId="0" xfId="0" applyNumberFormat="1" applyFont="1" applyFill="1" applyBorder="1" applyAlignment="1"/>
    <xf numFmtId="0" fontId="45" fillId="0" borderId="0" xfId="0" applyFont="1" applyBorder="1" applyAlignment="1"/>
    <xf numFmtId="0" fontId="45" fillId="0" borderId="0" xfId="0" applyNumberFormat="1" applyFont="1" applyBorder="1" applyAlignment="1">
      <alignment horizontal="center"/>
    </xf>
    <xf numFmtId="0" fontId="45" fillId="0" borderId="0" xfId="0" applyNumberFormat="1" applyFont="1" applyBorder="1" applyAlignment="1">
      <alignment horizontal="left"/>
    </xf>
    <xf numFmtId="0" fontId="45" fillId="0" borderId="0" xfId="0" applyFont="1" applyFill="1" applyBorder="1" applyAlignment="1"/>
    <xf numFmtId="0" fontId="45" fillId="0" borderId="0" xfId="0" applyFont="1" applyBorder="1"/>
    <xf numFmtId="0" fontId="43" fillId="0" borderId="0" xfId="0" applyNumberFormat="1" applyFont="1" applyBorder="1" applyAlignment="1"/>
    <xf numFmtId="0" fontId="45" fillId="0" borderId="18" xfId="0" applyFont="1" applyFill="1" applyBorder="1" applyAlignment="1">
      <alignment horizontal="left"/>
    </xf>
    <xf numFmtId="0" fontId="45" fillId="0" borderId="18" xfId="0" applyNumberFormat="1" applyFont="1" applyBorder="1" applyAlignment="1">
      <alignment horizontal="left"/>
    </xf>
    <xf numFmtId="0" fontId="45" fillId="0" borderId="0" xfId="0" applyFont="1" applyFill="1" applyBorder="1" applyAlignment="1">
      <alignment horizontal="left"/>
    </xf>
    <xf numFmtId="0" fontId="45" fillId="0" borderId="0" xfId="0" applyFont="1" applyFill="1" applyBorder="1"/>
    <xf numFmtId="0" fontId="43" fillId="0" borderId="17" xfId="0" applyFont="1" applyBorder="1" applyAlignment="1"/>
    <xf numFmtId="0" fontId="45" fillId="0" borderId="17" xfId="0" applyFont="1" applyBorder="1"/>
    <xf numFmtId="168" fontId="43" fillId="0" borderId="17" xfId="0" applyNumberFormat="1" applyFont="1" applyBorder="1" applyAlignment="1">
      <alignment horizontal="left"/>
    </xf>
    <xf numFmtId="0" fontId="45" fillId="0" borderId="17" xfId="0" applyFont="1" applyFill="1" applyBorder="1" applyAlignment="1"/>
    <xf numFmtId="0" fontId="56" fillId="0" borderId="0" xfId="0" applyFont="1" applyFill="1" applyBorder="1" applyAlignment="1"/>
    <xf numFmtId="0" fontId="43" fillId="0" borderId="0" xfId="0" applyFont="1" applyBorder="1" applyAlignment="1"/>
    <xf numFmtId="168" fontId="43" fillId="0" borderId="0" xfId="0" applyNumberFormat="1" applyFont="1" applyBorder="1" applyAlignment="1">
      <alignment horizontal="left"/>
    </xf>
    <xf numFmtId="0" fontId="45" fillId="33" borderId="0" xfId="0" applyNumberFormat="1" applyFont="1" applyFill="1" applyAlignment="1">
      <alignment horizontal="center"/>
    </xf>
    <xf numFmtId="0" fontId="56" fillId="33" borderId="0" xfId="0" applyNumberFormat="1" applyFont="1" applyFill="1" applyAlignment="1">
      <alignment horizontal="left"/>
    </xf>
    <xf numFmtId="0" fontId="45" fillId="0" borderId="18" xfId="0" applyNumberFormat="1" applyFont="1" applyFill="1" applyBorder="1" applyAlignment="1">
      <alignment horizontal="left"/>
    </xf>
    <xf numFmtId="0" fontId="43" fillId="0" borderId="0" xfId="0" applyNumberFormat="1" applyFont="1" applyBorder="1" applyAlignment="1">
      <alignment horizontal="left"/>
    </xf>
    <xf numFmtId="0" fontId="45" fillId="0" borderId="18" xfId="0" applyNumberFormat="1" applyFont="1" applyBorder="1" applyAlignment="1">
      <alignment horizontal="center"/>
    </xf>
    <xf numFmtId="0" fontId="45" fillId="0" borderId="0" xfId="0" applyFont="1" applyBorder="1" applyAlignment="1">
      <alignment horizontal="center"/>
    </xf>
    <xf numFmtId="0" fontId="43" fillId="0" borderId="17" xfId="0" applyFont="1" applyBorder="1" applyAlignment="1">
      <alignment horizontal="center"/>
    </xf>
    <xf numFmtId="0" fontId="45" fillId="0" borderId="18" xfId="0" applyNumberFormat="1" applyFont="1" applyFill="1" applyBorder="1" applyAlignment="1">
      <alignment horizontal="center"/>
    </xf>
    <xf numFmtId="0" fontId="45" fillId="0" borderId="18" xfId="0" applyFont="1" applyBorder="1" applyAlignment="1">
      <alignment horizontal="center"/>
    </xf>
    <xf numFmtId="0" fontId="43" fillId="0" borderId="0" xfId="0" applyFont="1" applyBorder="1" applyAlignment="1">
      <alignment horizontal="center"/>
    </xf>
    <xf numFmtId="0" fontId="45" fillId="0" borderId="0" xfId="0" applyNumberFormat="1" applyFont="1" applyFill="1" applyBorder="1" applyAlignment="1">
      <alignment horizontal="center"/>
    </xf>
    <xf numFmtId="0" fontId="47" fillId="0" borderId="0" xfId="0" applyFont="1" applyFill="1" applyBorder="1" applyAlignment="1">
      <alignment horizontal="center"/>
    </xf>
    <xf numFmtId="0" fontId="47" fillId="0" borderId="18" xfId="0" applyFont="1" applyFill="1" applyBorder="1" applyAlignment="1"/>
    <xf numFmtId="0" fontId="45" fillId="0" borderId="0" xfId="0" applyFont="1" applyFill="1" applyBorder="1" applyAlignment="1">
      <alignment horizontal="center"/>
    </xf>
    <xf numFmtId="0" fontId="43" fillId="0" borderId="0" xfId="0" applyFont="1" applyFill="1"/>
    <xf numFmtId="0" fontId="43" fillId="0" borderId="0" xfId="0" applyFont="1" applyFill="1" applyBorder="1"/>
    <xf numFmtId="0" fontId="50" fillId="0" borderId="0" xfId="0" applyFont="1"/>
    <xf numFmtId="0" fontId="42" fillId="0" borderId="0" xfId="0" applyFont="1" applyAlignment="1">
      <alignment horizontal="left"/>
    </xf>
    <xf numFmtId="0" fontId="43" fillId="0" borderId="0" xfId="0" applyNumberFormat="1" applyFont="1" applyFill="1" applyBorder="1" applyAlignment="1">
      <alignment horizontal="left"/>
    </xf>
    <xf numFmtId="0" fontId="42" fillId="0" borderId="0" xfId="0" applyFont="1" applyFill="1" applyAlignment="1">
      <alignment horizontal="center"/>
    </xf>
    <xf numFmtId="0" fontId="41" fillId="0" borderId="0" xfId="0" applyFont="1" applyFill="1"/>
    <xf numFmtId="0" fontId="41" fillId="0" borderId="0" xfId="0" applyFont="1"/>
    <xf numFmtId="0" fontId="41" fillId="0" borderId="0" xfId="0" applyFont="1" applyFill="1" applyBorder="1"/>
    <xf numFmtId="0" fontId="42" fillId="0" borderId="0" xfId="0" applyFont="1" applyFill="1" applyBorder="1" applyAlignment="1">
      <alignment horizontal="left"/>
    </xf>
    <xf numFmtId="37" fontId="43" fillId="0" borderId="0" xfId="0" applyNumberFormat="1" applyFont="1" applyBorder="1" applyAlignment="1">
      <alignment horizontal="right"/>
    </xf>
    <xf numFmtId="0" fontId="45" fillId="0" borderId="18" xfId="0" applyNumberFormat="1" applyFont="1" applyBorder="1" applyAlignment="1"/>
    <xf numFmtId="3" fontId="45" fillId="0" borderId="0" xfId="0" applyNumberFormat="1" applyFont="1" applyBorder="1" applyAlignment="1"/>
    <xf numFmtId="3" fontId="45" fillId="0" borderId="0" xfId="0" applyNumberFormat="1" applyFont="1" applyFill="1" applyBorder="1" applyAlignment="1"/>
    <xf numFmtId="0" fontId="43" fillId="0" borderId="0" xfId="0" applyFont="1" applyFill="1" applyBorder="1" applyAlignment="1"/>
    <xf numFmtId="0" fontId="43" fillId="0" borderId="0" xfId="0" applyNumberFormat="1" applyFont="1" applyFill="1" applyBorder="1" applyAlignment="1">
      <alignment horizontal="center"/>
    </xf>
    <xf numFmtId="3" fontId="45" fillId="0" borderId="17" xfId="0" applyNumberFormat="1" applyFont="1" applyFill="1" applyBorder="1" applyAlignment="1">
      <alignment horizontal="center"/>
    </xf>
    <xf numFmtId="0" fontId="45" fillId="0" borderId="0" xfId="0" applyNumberFormat="1" applyFont="1" applyBorder="1" applyAlignment="1"/>
    <xf numFmtId="3" fontId="45" fillId="0" borderId="0" xfId="0" applyNumberFormat="1" applyFont="1" applyBorder="1" applyAlignment="1">
      <alignment horizontal="center"/>
    </xf>
    <xf numFmtId="0" fontId="43" fillId="0" borderId="0" xfId="0" applyFont="1" applyBorder="1" applyAlignment="1">
      <alignment horizontal="left"/>
    </xf>
    <xf numFmtId="3" fontId="45" fillId="0" borderId="17" xfId="0" applyNumberFormat="1" applyFont="1" applyBorder="1" applyAlignment="1">
      <alignment horizontal="center"/>
    </xf>
    <xf numFmtId="0" fontId="45" fillId="0" borderId="0" xfId="0" applyNumberFormat="1" applyFont="1" applyFill="1" applyBorder="1" applyAlignment="1">
      <alignment horizontal="left"/>
    </xf>
    <xf numFmtId="0" fontId="43" fillId="0" borderId="17" xfId="0" applyNumberFormat="1" applyFont="1" applyBorder="1" applyAlignment="1">
      <alignment horizontal="left"/>
    </xf>
    <xf numFmtId="0" fontId="43" fillId="0" borderId="17" xfId="0" applyNumberFormat="1" applyFont="1" applyBorder="1" applyAlignment="1">
      <alignment horizontal="center"/>
    </xf>
    <xf numFmtId="0" fontId="45" fillId="0" borderId="0" xfId="0" applyNumberFormat="1" applyFont="1" applyFill="1" applyBorder="1" applyAlignment="1"/>
    <xf numFmtId="168" fontId="45" fillId="0" borderId="0" xfId="0" applyNumberFormat="1" applyFont="1" applyBorder="1" applyAlignment="1">
      <alignment horizontal="left"/>
    </xf>
    <xf numFmtId="0" fontId="45" fillId="0" borderId="18" xfId="0" applyNumberFormat="1" applyFont="1" applyFill="1" applyBorder="1" applyAlignment="1"/>
    <xf numFmtId="37" fontId="45" fillId="0" borderId="0" xfId="0" applyNumberFormat="1" applyFont="1" applyBorder="1" applyAlignment="1">
      <alignment horizontal="left"/>
    </xf>
    <xf numFmtId="0" fontId="43" fillId="0" borderId="0" xfId="0" applyNumberFormat="1" applyFont="1" applyBorder="1" applyAlignment="1">
      <alignment horizontal="center"/>
    </xf>
    <xf numFmtId="0" fontId="41" fillId="0" borderId="0" xfId="504" applyFont="1"/>
    <xf numFmtId="0" fontId="57" fillId="0" borderId="0" xfId="0" applyFont="1" applyAlignment="1">
      <alignment horizontal="left"/>
    </xf>
    <xf numFmtId="0" fontId="45" fillId="0" borderId="18" xfId="0" applyFont="1" applyFill="1" applyBorder="1" applyAlignment="1"/>
    <xf numFmtId="0" fontId="43" fillId="0" borderId="0" xfId="0" applyFont="1" applyBorder="1"/>
    <xf numFmtId="3" fontId="45" fillId="0" borderId="26" xfId="0" applyNumberFormat="1" applyFont="1" applyFill="1" applyBorder="1"/>
    <xf numFmtId="3" fontId="45" fillId="0" borderId="26" xfId="0" applyNumberFormat="1" applyFont="1" applyFill="1" applyBorder="1" applyAlignment="1"/>
    <xf numFmtId="3" fontId="43" fillId="0" borderId="27" xfId="0" applyNumberFormat="1" applyFont="1" applyFill="1" applyBorder="1" applyAlignment="1"/>
    <xf numFmtId="171" fontId="43" fillId="0" borderId="26" xfId="674" applyNumberFormat="1" applyFont="1" applyBorder="1" applyAlignment="1"/>
    <xf numFmtId="164" fontId="43" fillId="0" borderId="26" xfId="382" applyNumberFormat="1" applyFont="1" applyFill="1" applyBorder="1" applyAlignment="1"/>
    <xf numFmtId="0" fontId="42" fillId="0" borderId="0" xfId="0" applyFont="1" applyFill="1" applyBorder="1"/>
    <xf numFmtId="0" fontId="45" fillId="0" borderId="18" xfId="0" applyFont="1" applyFill="1" applyBorder="1" applyAlignment="1">
      <alignment horizontal="center"/>
    </xf>
    <xf numFmtId="0" fontId="45" fillId="0" borderId="22" xfId="0" applyNumberFormat="1" applyFont="1" applyFill="1" applyBorder="1" applyAlignment="1">
      <alignment horizontal="center"/>
    </xf>
    <xf numFmtId="0" fontId="48" fillId="0" borderId="0" xfId="0" applyFont="1" applyBorder="1" applyAlignment="1"/>
    <xf numFmtId="0" fontId="41" fillId="0" borderId="11" xfId="0" applyFont="1" applyBorder="1"/>
    <xf numFmtId="164" fontId="41" fillId="0" borderId="0" xfId="382" applyNumberFormat="1" applyFont="1" applyFill="1"/>
    <xf numFmtId="0" fontId="41" fillId="0" borderId="0" xfId="504" applyFont="1" applyFill="1"/>
    <xf numFmtId="0" fontId="41" fillId="0" borderId="0" xfId="504" applyFont="1" applyBorder="1"/>
    <xf numFmtId="171" fontId="45" fillId="0" borderId="30" xfId="674" applyNumberFormat="1" applyFont="1" applyFill="1" applyBorder="1" applyAlignment="1"/>
    <xf numFmtId="0" fontId="47" fillId="0" borderId="0" xfId="0" applyFont="1" applyFill="1" applyBorder="1" applyAlignment="1"/>
    <xf numFmtId="0" fontId="42" fillId="0" borderId="0" xfId="504" applyFont="1"/>
    <xf numFmtId="0" fontId="42" fillId="0" borderId="0" xfId="0" applyFont="1"/>
    <xf numFmtId="0" fontId="45" fillId="0" borderId="26" xfId="0" applyFont="1" applyBorder="1"/>
    <xf numFmtId="171" fontId="43" fillId="0" borderId="26" xfId="674" applyNumberFormat="1" applyFont="1" applyFill="1" applyBorder="1" applyAlignment="1"/>
    <xf numFmtId="0" fontId="45" fillId="0" borderId="26" xfId="0" applyFont="1" applyFill="1" applyBorder="1"/>
    <xf numFmtId="0" fontId="45" fillId="0" borderId="26" xfId="0" applyFont="1" applyFill="1" applyBorder="1" applyAlignment="1">
      <alignment horizontal="center" wrapText="1"/>
    </xf>
    <xf numFmtId="3" fontId="43" fillId="0" borderId="26" xfId="0" applyNumberFormat="1" applyFont="1" applyFill="1" applyBorder="1" applyAlignment="1"/>
    <xf numFmtId="3" fontId="45" fillId="0" borderId="26" xfId="0" applyNumberFormat="1" applyFont="1" applyFill="1" applyBorder="1" applyAlignment="1">
      <alignment horizontal="right"/>
    </xf>
    <xf numFmtId="171" fontId="45" fillId="0" borderId="26" xfId="0" applyNumberFormat="1" applyFont="1" applyFill="1" applyBorder="1" applyAlignment="1">
      <alignment horizontal="right"/>
    </xf>
    <xf numFmtId="171" fontId="45" fillId="0" borderId="30" xfId="0" applyNumberFormat="1" applyFont="1" applyFill="1" applyBorder="1" applyAlignment="1">
      <alignment horizontal="right"/>
    </xf>
    <xf numFmtId="10" fontId="45" fillId="0" borderId="26" xfId="674" applyNumberFormat="1" applyFont="1" applyFill="1" applyBorder="1" applyAlignment="1"/>
    <xf numFmtId="166" fontId="43" fillId="0" borderId="26" xfId="0" applyNumberFormat="1" applyFont="1" applyBorder="1" applyAlignment="1"/>
    <xf numFmtId="166" fontId="45" fillId="0" borderId="26" xfId="0" applyNumberFormat="1" applyFont="1" applyBorder="1" applyAlignment="1"/>
    <xf numFmtId="10" fontId="45" fillId="0" borderId="26" xfId="0" applyNumberFormat="1" applyFont="1" applyFill="1" applyBorder="1"/>
    <xf numFmtId="10" fontId="45" fillId="0" borderId="26" xfId="0" applyNumberFormat="1" applyFont="1" applyFill="1" applyBorder="1" applyAlignment="1">
      <alignment horizontal="right"/>
    </xf>
    <xf numFmtId="10" fontId="45" fillId="0" borderId="26" xfId="674" applyNumberFormat="1" applyFont="1" applyBorder="1" applyAlignment="1"/>
    <xf numFmtId="164" fontId="43" fillId="0" borderId="27" xfId="382" applyNumberFormat="1" applyFont="1" applyFill="1" applyBorder="1" applyAlignment="1">
      <alignment horizontal="right"/>
    </xf>
    <xf numFmtId="164" fontId="45" fillId="0" borderId="26" xfId="382" applyNumberFormat="1" applyFont="1" applyFill="1" applyBorder="1" applyAlignment="1"/>
    <xf numFmtId="0" fontId="45" fillId="0" borderId="25" xfId="0" applyFont="1" applyFill="1" applyBorder="1" applyAlignment="1">
      <alignment horizontal="left"/>
    </xf>
    <xf numFmtId="0" fontId="45" fillId="0" borderId="24" xfId="0" applyFont="1" applyFill="1" applyBorder="1" applyAlignment="1"/>
    <xf numFmtId="0" fontId="43" fillId="0" borderId="24" xfId="0" applyNumberFormat="1" applyFont="1" applyFill="1" applyBorder="1" applyAlignment="1">
      <alignment horizontal="center"/>
    </xf>
    <xf numFmtId="0" fontId="45" fillId="0" borderId="33" xfId="0" applyFont="1" applyFill="1" applyBorder="1" applyAlignment="1">
      <alignment horizontal="center" wrapText="1"/>
    </xf>
    <xf numFmtId="0" fontId="43" fillId="0" borderId="22" xfId="0" applyNumberFormat="1" applyFont="1" applyFill="1" applyBorder="1" applyAlignment="1">
      <alignment horizontal="center"/>
    </xf>
    <xf numFmtId="0" fontId="45" fillId="0" borderId="22" xfId="0" applyNumberFormat="1" applyFont="1" applyBorder="1" applyAlignment="1">
      <alignment horizontal="center"/>
    </xf>
    <xf numFmtId="0" fontId="47" fillId="0" borderId="0" xfId="0" applyFont="1" applyFill="1" applyBorder="1" applyAlignment="1">
      <alignment horizontal="left"/>
    </xf>
    <xf numFmtId="3" fontId="45" fillId="0" borderId="0" xfId="0" applyNumberFormat="1" applyFont="1" applyFill="1" applyBorder="1" applyAlignment="1">
      <alignment horizontal="center"/>
    </xf>
    <xf numFmtId="0" fontId="45" fillId="0" borderId="22" xfId="0" applyFont="1" applyBorder="1" applyAlignment="1">
      <alignment horizontal="center"/>
    </xf>
    <xf numFmtId="0" fontId="45" fillId="0" borderId="22" xfId="0" applyNumberFormat="1" applyFont="1" applyBorder="1" applyAlignment="1">
      <alignment horizontal="left"/>
    </xf>
    <xf numFmtId="0" fontId="55" fillId="0" borderId="22" xfId="0" applyFont="1" applyFill="1" applyBorder="1" applyAlignment="1">
      <alignment horizontal="center"/>
    </xf>
    <xf numFmtId="0" fontId="45" fillId="0" borderId="22" xfId="0" applyFont="1" applyFill="1" applyBorder="1" applyAlignment="1">
      <alignment horizontal="center"/>
    </xf>
    <xf numFmtId="0" fontId="58" fillId="0" borderId="22" xfId="0" applyFont="1" applyBorder="1" applyAlignment="1">
      <alignment horizontal="left"/>
    </xf>
    <xf numFmtId="0" fontId="58" fillId="0" borderId="0" xfId="0" applyFont="1" applyBorder="1"/>
    <xf numFmtId="0" fontId="45" fillId="0" borderId="0" xfId="0" applyNumberFormat="1" applyFont="1" applyFill="1" applyBorder="1" applyAlignment="1">
      <alignment horizontal="right"/>
    </xf>
    <xf numFmtId="0" fontId="43" fillId="0" borderId="0" xfId="0" applyNumberFormat="1" applyFont="1" applyFill="1" applyBorder="1" applyAlignment="1">
      <alignment horizontal="right"/>
    </xf>
    <xf numFmtId="0" fontId="43" fillId="0" borderId="22" xfId="0" applyFont="1" applyBorder="1"/>
    <xf numFmtId="0" fontId="45" fillId="0" borderId="22" xfId="0" applyFont="1" applyBorder="1" applyAlignment="1">
      <alignment horizontal="left"/>
    </xf>
    <xf numFmtId="0" fontId="45" fillId="0" borderId="22" xfId="0" applyFont="1" applyFill="1" applyBorder="1" applyAlignment="1"/>
    <xf numFmtId="43" fontId="45" fillId="0" borderId="0" xfId="382" applyFont="1" applyFill="1" applyBorder="1" applyAlignment="1"/>
    <xf numFmtId="0" fontId="43" fillId="0" borderId="22" xfId="0" applyNumberFormat="1" applyFont="1" applyFill="1" applyBorder="1" applyAlignment="1"/>
    <xf numFmtId="0" fontId="45" fillId="0" borderId="0" xfId="0" applyNumberFormat="1" applyFont="1" applyBorder="1" applyAlignment="1">
      <alignment horizontal="right"/>
    </xf>
    <xf numFmtId="0" fontId="49" fillId="0" borderId="0" xfId="0" applyNumberFormat="1" applyFont="1" applyFill="1" applyBorder="1" applyAlignment="1"/>
    <xf numFmtId="0" fontId="43" fillId="0" borderId="22" xfId="0" applyNumberFormat="1" applyFont="1" applyBorder="1" applyAlignment="1">
      <alignment horizontal="center"/>
    </xf>
    <xf numFmtId="0" fontId="45" fillId="0" borderId="22" xfId="0" applyNumberFormat="1" applyFont="1" applyFill="1" applyBorder="1" applyAlignment="1">
      <alignment horizontal="left"/>
    </xf>
    <xf numFmtId="0" fontId="45" fillId="0" borderId="0" xfId="0" applyNumberFormat="1" applyFont="1" applyFill="1" applyBorder="1"/>
    <xf numFmtId="169" fontId="45" fillId="0" borderId="0" xfId="0" applyNumberFormat="1" applyFont="1" applyBorder="1" applyAlignment="1"/>
    <xf numFmtId="168" fontId="45" fillId="0" borderId="0" xfId="0" applyNumberFormat="1" applyFont="1" applyBorder="1" applyAlignment="1">
      <alignment horizontal="center"/>
    </xf>
    <xf numFmtId="0" fontId="45" fillId="0" borderId="34" xfId="0" applyFont="1" applyFill="1" applyBorder="1"/>
    <xf numFmtId="3" fontId="45" fillId="0" borderId="35" xfId="0" applyNumberFormat="1" applyFont="1" applyBorder="1" applyAlignment="1"/>
    <xf numFmtId="0" fontId="45" fillId="0" borderId="35" xfId="0" applyFont="1" applyFill="1" applyBorder="1"/>
    <xf numFmtId="3" fontId="45" fillId="0" borderId="36" xfId="0" applyNumberFormat="1" applyFont="1" applyFill="1" applyBorder="1" applyAlignment="1"/>
    <xf numFmtId="0" fontId="45" fillId="0" borderId="35" xfId="0" applyFont="1" applyBorder="1" applyAlignment="1"/>
    <xf numFmtId="0" fontId="45" fillId="0" borderId="35" xfId="0" applyFont="1" applyBorder="1"/>
    <xf numFmtId="3" fontId="45" fillId="0" borderId="35" xfId="0" applyNumberFormat="1" applyFont="1" applyFill="1" applyBorder="1" applyAlignment="1"/>
    <xf numFmtId="3" fontId="45" fillId="0" borderId="37" xfId="0" applyNumberFormat="1" applyFont="1" applyFill="1" applyBorder="1" applyAlignment="1"/>
    <xf numFmtId="0" fontId="45" fillId="0" borderId="35" xfId="0" applyFont="1" applyFill="1" applyBorder="1" applyAlignment="1">
      <alignment horizontal="left"/>
    </xf>
    <xf numFmtId="3" fontId="45" fillId="0" borderId="37" xfId="0" applyNumberFormat="1" applyFont="1" applyBorder="1" applyAlignment="1"/>
    <xf numFmtId="3" fontId="43" fillId="0" borderId="36" xfId="0" applyNumberFormat="1" applyFont="1" applyBorder="1" applyAlignment="1"/>
    <xf numFmtId="3" fontId="45" fillId="0" borderId="35" xfId="0" applyNumberFormat="1" applyFont="1" applyFill="1" applyBorder="1" applyAlignment="1">
      <alignment horizontal="right"/>
    </xf>
    <xf numFmtId="3" fontId="47" fillId="0" borderId="35" xfId="0" applyNumberFormat="1" applyFont="1" applyFill="1" applyBorder="1" applyAlignment="1">
      <alignment horizontal="right"/>
    </xf>
    <xf numFmtId="0" fontId="45" fillId="0" borderId="35" xfId="0" applyFont="1" applyFill="1" applyBorder="1" applyAlignment="1"/>
    <xf numFmtId="0" fontId="45" fillId="0" borderId="35" xfId="0" applyNumberFormat="1" applyFont="1" applyFill="1" applyBorder="1" applyAlignment="1"/>
    <xf numFmtId="0" fontId="45" fillId="0" borderId="37" xfId="0" applyFont="1" applyFill="1" applyBorder="1" applyAlignment="1"/>
    <xf numFmtId="0" fontId="45" fillId="0" borderId="35" xfId="0" applyNumberFormat="1" applyFont="1" applyFill="1" applyBorder="1" applyAlignment="1">
      <alignment horizontal="left"/>
    </xf>
    <xf numFmtId="3" fontId="43" fillId="0" borderId="35" xfId="0" applyNumberFormat="1" applyFont="1" applyBorder="1" applyAlignment="1"/>
    <xf numFmtId="168" fontId="45" fillId="0" borderId="35" xfId="0" applyNumberFormat="1" applyFont="1" applyBorder="1" applyAlignment="1">
      <alignment horizontal="left"/>
    </xf>
    <xf numFmtId="3" fontId="49" fillId="0" borderId="35" xfId="0" applyNumberFormat="1" applyFont="1" applyBorder="1" applyAlignment="1"/>
    <xf numFmtId="0" fontId="43" fillId="0" borderId="5" xfId="0" applyFont="1" applyBorder="1"/>
    <xf numFmtId="0" fontId="45" fillId="0" borderId="23" xfId="0" applyFont="1" applyFill="1" applyBorder="1" applyAlignment="1">
      <alignment horizontal="center"/>
    </xf>
    <xf numFmtId="0" fontId="45" fillId="0" borderId="7" xfId="0" applyNumberFormat="1" applyFont="1" applyFill="1" applyBorder="1" applyAlignment="1">
      <alignment horizontal="center"/>
    </xf>
    <xf numFmtId="0" fontId="45" fillId="0" borderId="7" xfId="0" applyNumberFormat="1" applyFont="1" applyBorder="1" applyAlignment="1">
      <alignment horizontal="left"/>
    </xf>
    <xf numFmtId="0" fontId="45" fillId="0" borderId="7" xfId="0" applyFont="1" applyBorder="1" applyAlignment="1"/>
    <xf numFmtId="164" fontId="41" fillId="0" borderId="0" xfId="382" applyNumberFormat="1" applyFont="1" applyFill="1" applyBorder="1" applyAlignment="1"/>
    <xf numFmtId="37" fontId="45" fillId="0" borderId="35" xfId="0" applyNumberFormat="1" applyFont="1" applyFill="1" applyBorder="1"/>
    <xf numFmtId="37" fontId="45" fillId="0" borderId="0" xfId="0" applyNumberFormat="1" applyFont="1" applyFill="1" applyBorder="1"/>
    <xf numFmtId="37" fontId="45" fillId="0" borderId="26" xfId="0" applyNumberFormat="1" applyFont="1" applyFill="1" applyBorder="1"/>
    <xf numFmtId="3" fontId="45" fillId="0" borderId="0" xfId="0" applyNumberFormat="1" applyFont="1" applyFill="1" applyBorder="1" applyAlignment="1">
      <alignment horizontal="left"/>
    </xf>
    <xf numFmtId="0" fontId="45" fillId="0" borderId="35" xfId="0" applyFont="1" applyFill="1" applyBorder="1" applyAlignment="1">
      <alignment horizontal="right"/>
    </xf>
    <xf numFmtId="171" fontId="47" fillId="0" borderId="26" xfId="0" applyNumberFormat="1" applyFont="1" applyFill="1" applyBorder="1" applyAlignment="1">
      <alignment horizontal="right"/>
    </xf>
    <xf numFmtId="0" fontId="43" fillId="0" borderId="17" xfId="0" applyFont="1" applyFill="1" applyBorder="1"/>
    <xf numFmtId="0" fontId="43" fillId="0" borderId="17" xfId="0" applyFont="1" applyFill="1" applyBorder="1" applyAlignment="1">
      <alignment horizontal="center"/>
    </xf>
    <xf numFmtId="0" fontId="59" fillId="0" borderId="0" xfId="0" applyFont="1" applyFill="1"/>
    <xf numFmtId="0" fontId="45" fillId="0" borderId="0" xfId="0" applyNumberFormat="1" applyFont="1" applyFill="1" applyBorder="1" applyAlignment="1">
      <alignment horizontal="center" vertical="top"/>
    </xf>
    <xf numFmtId="0" fontId="42" fillId="0" borderId="0" xfId="504" applyFont="1" applyFill="1" applyBorder="1" applyAlignment="1">
      <alignment horizontal="left"/>
    </xf>
    <xf numFmtId="0" fontId="41" fillId="0" borderId="0" xfId="504" applyFont="1" applyFill="1" applyBorder="1" applyAlignment="1">
      <alignment horizontal="left"/>
    </xf>
    <xf numFmtId="164" fontId="41" fillId="0" borderId="0" xfId="504" applyNumberFormat="1" applyFont="1"/>
    <xf numFmtId="164" fontId="41" fillId="0" borderId="0" xfId="382" applyNumberFormat="1" applyFont="1" applyFill="1" applyBorder="1" applyAlignment="1">
      <alignment horizontal="center"/>
    </xf>
    <xf numFmtId="0" fontId="91" fillId="0" borderId="0" xfId="0" applyFont="1" applyFill="1" applyBorder="1"/>
    <xf numFmtId="0" fontId="60" fillId="0" borderId="0" xfId="0" applyFont="1" applyFill="1" applyBorder="1"/>
    <xf numFmtId="0" fontId="41" fillId="0" borderId="0" xfId="530" applyFont="1" applyAlignment="1">
      <alignment horizontal="right" vertical="top"/>
    </xf>
    <xf numFmtId="0" fontId="41" fillId="0" borderId="0" xfId="484" applyFont="1" applyAlignment="1">
      <alignment vertical="top"/>
    </xf>
    <xf numFmtId="0" fontId="41" fillId="0" borderId="0" xfId="484" applyFont="1" applyFill="1" applyAlignment="1">
      <alignment vertical="top"/>
    </xf>
    <xf numFmtId="0" fontId="41" fillId="0" borderId="0" xfId="484" applyFont="1" applyFill="1" applyAlignment="1">
      <alignment horizontal="center" vertical="top"/>
    </xf>
    <xf numFmtId="0" fontId="41" fillId="0" borderId="0" xfId="474" applyFont="1" applyProtection="1">
      <protection locked="0"/>
    </xf>
    <xf numFmtId="0" fontId="41" fillId="0" borderId="0" xfId="474" quotePrefix="1" applyFont="1" applyAlignment="1" applyProtection="1">
      <alignment horizontal="left"/>
      <protection locked="0"/>
    </xf>
    <xf numFmtId="0" fontId="61" fillId="0" borderId="0" xfId="569" applyFont="1"/>
    <xf numFmtId="0" fontId="61" fillId="0" borderId="0" xfId="569" applyFont="1" applyAlignment="1">
      <alignment horizontal="left"/>
    </xf>
    <xf numFmtId="164" fontId="61" fillId="0" borderId="0" xfId="569" applyNumberFormat="1" applyFont="1" applyFill="1"/>
    <xf numFmtId="0" fontId="41" fillId="0" borderId="0" xfId="474"/>
    <xf numFmtId="0" fontId="41" fillId="0" borderId="0" xfId="474" applyFont="1" applyFill="1"/>
    <xf numFmtId="0" fontId="41" fillId="0" borderId="0" xfId="0" applyFont="1" applyFill="1" applyAlignment="1"/>
    <xf numFmtId="164" fontId="41" fillId="0" borderId="0" xfId="0" applyNumberFormat="1" applyFont="1" applyFill="1" applyAlignment="1"/>
    <xf numFmtId="164" fontId="41" fillId="0" borderId="0" xfId="382" applyNumberFormat="1" applyFont="1" applyFill="1" applyAlignment="1"/>
    <xf numFmtId="164" fontId="41" fillId="0" borderId="0" xfId="0" applyNumberFormat="1" applyFont="1" applyFill="1" applyBorder="1" applyAlignment="1"/>
    <xf numFmtId="0" fontId="41" fillId="0" borderId="0" xfId="0" applyFont="1" applyAlignment="1">
      <alignment vertical="top"/>
    </xf>
    <xf numFmtId="37" fontId="41" fillId="0" borderId="0" xfId="484" applyNumberFormat="1" applyFont="1" applyFill="1" applyAlignment="1">
      <alignment vertical="top"/>
    </xf>
    <xf numFmtId="0" fontId="104" fillId="0" borderId="0" xfId="0" applyFont="1"/>
    <xf numFmtId="0" fontId="104" fillId="0" borderId="0" xfId="0" applyFont="1" applyAlignment="1">
      <alignment horizontal="center"/>
    </xf>
    <xf numFmtId="164" fontId="41" fillId="0" borderId="0" xfId="504" applyNumberFormat="1" applyFont="1" applyFill="1" applyBorder="1"/>
    <xf numFmtId="0" fontId="45" fillId="0" borderId="0" xfId="0" applyNumberFormat="1" applyFont="1" applyFill="1" applyBorder="1" applyAlignment="1">
      <alignment horizontal="left" indent="1"/>
    </xf>
    <xf numFmtId="0" fontId="41" fillId="0" borderId="35" xfId="0" applyFont="1" applyBorder="1" applyAlignment="1"/>
    <xf numFmtId="0" fontId="41" fillId="0" borderId="0" xfId="0" applyFont="1" applyAlignment="1"/>
    <xf numFmtId="0" fontId="41" fillId="0" borderId="0" xfId="0" applyFont="1" applyBorder="1"/>
    <xf numFmtId="0" fontId="41" fillId="0" borderId="0" xfId="0" applyFont="1" applyFill="1" applyBorder="1" applyAlignment="1"/>
    <xf numFmtId="0" fontId="41" fillId="37" borderId="0" xfId="0" applyFont="1" applyFill="1" applyAlignment="1"/>
    <xf numFmtId="164" fontId="41" fillId="37" borderId="0" xfId="0" applyNumberFormat="1" applyFont="1" applyFill="1" applyAlignment="1"/>
    <xf numFmtId="164" fontId="41" fillId="37" borderId="0" xfId="0" applyNumberFormat="1" applyFont="1" applyFill="1" applyBorder="1" applyAlignment="1"/>
    <xf numFmtId="0" fontId="41" fillId="37" borderId="0" xfId="0" applyFont="1" applyFill="1" applyBorder="1" applyAlignment="1"/>
    <xf numFmtId="0" fontId="41" fillId="37" borderId="0" xfId="0" applyFont="1" applyFill="1" applyAlignment="1">
      <alignment wrapText="1"/>
    </xf>
    <xf numFmtId="0" fontId="41" fillId="37" borderId="0" xfId="0" applyFont="1" applyFill="1" applyBorder="1" applyAlignment="1">
      <alignment wrapText="1"/>
    </xf>
    <xf numFmtId="164" fontId="41" fillId="37" borderId="18" xfId="0" applyNumberFormat="1" applyFont="1" applyFill="1" applyBorder="1" applyAlignment="1"/>
    <xf numFmtId="3" fontId="43" fillId="0" borderId="17" xfId="0" applyNumberFormat="1" applyFont="1" applyBorder="1" applyAlignment="1">
      <alignment horizontal="right"/>
    </xf>
    <xf numFmtId="0" fontId="43" fillId="0" borderId="0" xfId="0" applyFont="1" applyFill="1" applyBorder="1" applyAlignment="1">
      <alignment horizontal="center"/>
    </xf>
    <xf numFmtId="0" fontId="43" fillId="0" borderId="7" xfId="0" applyFont="1" applyBorder="1" applyAlignment="1">
      <alignment horizontal="center"/>
    </xf>
    <xf numFmtId="164" fontId="41" fillId="37" borderId="0" xfId="382" applyNumberFormat="1" applyFont="1" applyFill="1" applyBorder="1"/>
    <xf numFmtId="0" fontId="41" fillId="0" borderId="0" xfId="0" applyNumberFormat="1" applyFont="1" applyFill="1" applyBorder="1" applyAlignment="1">
      <alignment horizontal="center"/>
    </xf>
    <xf numFmtId="0" fontId="50" fillId="0" borderId="0" xfId="0" applyFont="1" applyFill="1" applyBorder="1"/>
    <xf numFmtId="0" fontId="0" fillId="0" borderId="0" xfId="0" applyAlignment="1">
      <alignment horizontal="center"/>
    </xf>
    <xf numFmtId="164" fontId="42" fillId="0" borderId="0" xfId="504" applyNumberFormat="1" applyFont="1" applyFill="1" applyBorder="1" applyAlignment="1">
      <alignment horizontal="center"/>
    </xf>
    <xf numFmtId="164" fontId="41" fillId="0" borderId="0" xfId="504" applyNumberFormat="1" applyFont="1" applyFill="1" applyBorder="1" applyAlignment="1">
      <alignment horizontal="center"/>
    </xf>
    <xf numFmtId="164" fontId="41" fillId="0" borderId="0" xfId="403" applyNumberFormat="1" applyFont="1" applyFill="1" applyBorder="1" applyAlignment="1"/>
    <xf numFmtId="164" fontId="41" fillId="0" borderId="0" xfId="403" applyNumberFormat="1" applyFont="1" applyBorder="1"/>
    <xf numFmtId="164" fontId="41" fillId="0" borderId="0" xfId="504" applyNumberFormat="1" applyFont="1" applyBorder="1"/>
    <xf numFmtId="164" fontId="41" fillId="0" borderId="0" xfId="403" applyNumberFormat="1" applyFont="1" applyFill="1" applyBorder="1"/>
    <xf numFmtId="164" fontId="41" fillId="0" borderId="0" xfId="403" applyNumberFormat="1" applyFont="1" applyFill="1" applyAlignment="1"/>
    <xf numFmtId="164" fontId="41" fillId="0" borderId="0" xfId="403" applyNumberFormat="1" applyFont="1" applyFill="1" applyBorder="1" applyAlignment="1">
      <alignment horizontal="right"/>
    </xf>
    <xf numFmtId="0" fontId="41" fillId="0" borderId="0" xfId="0" applyFont="1" applyFill="1" applyAlignment="1">
      <alignment horizontal="left"/>
    </xf>
    <xf numFmtId="164" fontId="41" fillId="0" borderId="0" xfId="403" applyNumberFormat="1" applyFont="1"/>
    <xf numFmtId="164" fontId="41" fillId="37" borderId="0" xfId="382" applyNumberFormat="1" applyFont="1" applyFill="1"/>
    <xf numFmtId="0" fontId="45" fillId="0" borderId="0" xfId="0" applyFont="1" applyAlignment="1">
      <alignment horizontal="center"/>
    </xf>
    <xf numFmtId="10" fontId="45" fillId="37" borderId="26" xfId="674" applyNumberFormat="1" applyFont="1" applyFill="1" applyBorder="1" applyAlignment="1"/>
    <xf numFmtId="164" fontId="45" fillId="37" borderId="26" xfId="382" applyNumberFormat="1" applyFont="1" applyFill="1" applyBorder="1" applyAlignment="1"/>
    <xf numFmtId="0" fontId="42" fillId="0" borderId="0" xfId="564" quotePrefix="1" applyFont="1" applyFill="1" applyBorder="1" applyAlignment="1">
      <alignment vertical="top"/>
    </xf>
    <xf numFmtId="0" fontId="41" fillId="0" borderId="0" xfId="11272">
      <alignment vertical="top"/>
    </xf>
    <xf numFmtId="0" fontId="104" fillId="0" borderId="0" xfId="11272" applyFont="1" applyAlignment="1">
      <alignment horizontal="center"/>
    </xf>
    <xf numFmtId="0" fontId="109" fillId="0" borderId="0" xfId="496" applyFont="1"/>
    <xf numFmtId="0" fontId="92" fillId="0" borderId="0" xfId="569" applyFont="1"/>
    <xf numFmtId="0" fontId="120" fillId="0" borderId="0" xfId="496" applyFont="1"/>
    <xf numFmtId="0" fontId="41" fillId="0" borderId="0" xfId="11267" applyFont="1" applyFill="1" applyAlignment="1">
      <alignment horizontal="left"/>
    </xf>
    <xf numFmtId="0" fontId="109" fillId="0" borderId="0" xfId="496" applyFont="1" applyAlignment="1">
      <alignment horizontal="center"/>
    </xf>
    <xf numFmtId="0" fontId="42" fillId="0" borderId="0" xfId="0" applyFont="1" applyAlignment="1"/>
    <xf numFmtId="0" fontId="41" fillId="0" borderId="0" xfId="504" applyFont="1" applyFill="1" applyAlignment="1">
      <alignment horizontal="left"/>
    </xf>
    <xf numFmtId="0" fontId="41" fillId="0" borderId="0" xfId="504" applyFont="1" applyBorder="1" applyAlignment="1">
      <alignment horizontal="left"/>
    </xf>
    <xf numFmtId="0" fontId="41" fillId="0" borderId="0" xfId="504" applyFont="1" applyFill="1" applyBorder="1" applyAlignment="1">
      <alignment horizontal="center"/>
    </xf>
    <xf numFmtId="0" fontId="42" fillId="0" borderId="0" xfId="504" applyFont="1" applyFill="1" applyBorder="1"/>
    <xf numFmtId="164" fontId="42" fillId="0" borderId="0" xfId="403" applyNumberFormat="1" applyFont="1" applyFill="1" applyBorder="1" applyAlignment="1"/>
    <xf numFmtId="37" fontId="41" fillId="0" borderId="0" xfId="0" applyNumberFormat="1" applyFont="1" applyFill="1"/>
    <xf numFmtId="0" fontId="41" fillId="0" borderId="0" xfId="0" quotePrefix="1" applyFont="1" applyFill="1" applyAlignment="1">
      <alignment horizontal="center"/>
    </xf>
    <xf numFmtId="37" fontId="41" fillId="0" borderId="0" xfId="0" applyNumberFormat="1" applyFont="1" applyFill="1" applyBorder="1"/>
    <xf numFmtId="164" fontId="41" fillId="0" borderId="0" xfId="382" applyNumberFormat="1" applyFont="1" applyAlignment="1"/>
    <xf numFmtId="164" fontId="41" fillId="0" borderId="18" xfId="403" applyNumberFormat="1" applyFont="1" applyBorder="1"/>
    <xf numFmtId="0" fontId="41" fillId="0" borderId="0" xfId="504" applyFont="1" applyAlignment="1">
      <alignment horizontal="center"/>
    </xf>
    <xf numFmtId="0" fontId="41" fillId="0" borderId="0" xfId="504" applyFont="1" applyAlignment="1">
      <alignment wrapText="1"/>
    </xf>
    <xf numFmtId="0" fontId="41" fillId="0" borderId="0" xfId="591" applyFont="1" applyFill="1" applyBorder="1" applyAlignment="1">
      <alignment horizontal="center"/>
    </xf>
    <xf numFmtId="164" fontId="41" fillId="0" borderId="0" xfId="504" applyNumberFormat="1" applyFont="1" applyFill="1" applyBorder="1" applyAlignment="1">
      <alignment wrapText="1"/>
    </xf>
    <xf numFmtId="43" fontId="41" fillId="0" borderId="0" xfId="504" applyNumberFormat="1" applyFont="1"/>
    <xf numFmtId="167" fontId="41" fillId="0" borderId="0" xfId="504" applyNumberFormat="1" applyFont="1" applyFill="1" applyBorder="1"/>
    <xf numFmtId="164" fontId="41" fillId="0" borderId="0" xfId="404" applyNumberFormat="1" applyFont="1" applyFill="1" applyBorder="1"/>
    <xf numFmtId="0" fontId="50" fillId="0" borderId="0" xfId="504" applyFont="1" applyFill="1" applyBorder="1" applyAlignment="1">
      <alignment horizontal="left"/>
    </xf>
    <xf numFmtId="0" fontId="41" fillId="0" borderId="0" xfId="504" applyFont="1" applyBorder="1" applyAlignment="1">
      <alignment horizontal="center"/>
    </xf>
    <xf numFmtId="0" fontId="45" fillId="0" borderId="22" xfId="0" applyNumberFormat="1" applyFont="1" applyFill="1" applyBorder="1" applyAlignment="1">
      <alignment horizontal="center" vertical="top"/>
    </xf>
    <xf numFmtId="0" fontId="45" fillId="0" borderId="0" xfId="0" applyFont="1" applyFill="1" applyBorder="1" applyAlignment="1">
      <alignment vertical="top"/>
    </xf>
    <xf numFmtId="3" fontId="45" fillId="0" borderId="0" xfId="0" applyNumberFormat="1" applyFont="1" applyFill="1" applyBorder="1" applyAlignment="1">
      <alignment horizontal="left" vertical="top"/>
    </xf>
    <xf numFmtId="0" fontId="45" fillId="0" borderId="0" xfId="0" applyFont="1" applyFill="1" applyAlignment="1">
      <alignment vertical="top"/>
    </xf>
    <xf numFmtId="0" fontId="45" fillId="0" borderId="0" xfId="0" applyNumberFormat="1" applyFont="1" applyFill="1" applyAlignment="1">
      <alignment horizontal="center" vertical="top"/>
    </xf>
    <xf numFmtId="0" fontId="45" fillId="50" borderId="0" xfId="0" applyFont="1" applyFill="1" applyBorder="1" applyAlignment="1"/>
    <xf numFmtId="0" fontId="45" fillId="50" borderId="0" xfId="0" applyFont="1" applyFill="1" applyBorder="1"/>
    <xf numFmtId="0" fontId="43" fillId="50" borderId="0" xfId="0" applyFont="1" applyFill="1" applyBorder="1" applyAlignment="1"/>
    <xf numFmtId="0" fontId="45" fillId="50" borderId="11" xfId="0" applyFont="1" applyFill="1" applyBorder="1" applyAlignment="1">
      <alignment horizontal="center" wrapText="1"/>
    </xf>
    <xf numFmtId="0" fontId="43" fillId="50" borderId="6" xfId="0" applyFont="1" applyFill="1" applyBorder="1" applyAlignment="1"/>
    <xf numFmtId="0" fontId="45" fillId="50" borderId="6" xfId="0" applyFont="1" applyFill="1" applyBorder="1" applyAlignment="1"/>
    <xf numFmtId="0" fontId="43" fillId="50" borderId="6" xfId="0" applyNumberFormat="1" applyFont="1" applyFill="1" applyBorder="1" applyAlignment="1">
      <alignment horizontal="center"/>
    </xf>
    <xf numFmtId="0" fontId="45" fillId="50" borderId="6" xfId="0" applyFont="1" applyFill="1" applyBorder="1"/>
    <xf numFmtId="0" fontId="45" fillId="50" borderId="21" xfId="0" applyFont="1" applyFill="1" applyBorder="1" applyAlignment="1">
      <alignment horizontal="center" wrapText="1"/>
    </xf>
    <xf numFmtId="0" fontId="45" fillId="50" borderId="21" xfId="0" applyFont="1" applyFill="1" applyBorder="1"/>
    <xf numFmtId="3" fontId="45" fillId="0" borderId="35" xfId="0" applyNumberFormat="1" applyFont="1" applyFill="1" applyBorder="1" applyAlignment="1">
      <alignment vertical="top"/>
    </xf>
    <xf numFmtId="164" fontId="41" fillId="0" borderId="0" xfId="382" applyNumberFormat="1" applyFont="1"/>
    <xf numFmtId="171" fontId="45" fillId="0" borderId="30" xfId="674" applyNumberFormat="1" applyFont="1" applyFill="1" applyBorder="1"/>
    <xf numFmtId="168" fontId="45" fillId="0" borderId="0" xfId="0" applyNumberFormat="1" applyFont="1" applyFill="1" applyBorder="1" applyAlignment="1">
      <alignment horizontal="left"/>
    </xf>
    <xf numFmtId="10" fontId="45" fillId="0" borderId="30" xfId="674" applyNumberFormat="1" applyFont="1" applyFill="1" applyBorder="1" applyAlignment="1"/>
    <xf numFmtId="10" fontId="43" fillId="0" borderId="26" xfId="674" applyNumberFormat="1" applyFont="1" applyFill="1" applyBorder="1" applyAlignment="1"/>
    <xf numFmtId="3" fontId="45" fillId="0" borderId="35" xfId="0" applyNumberFormat="1" applyFont="1" applyFill="1" applyBorder="1" applyAlignment="1">
      <alignment horizontal="left"/>
    </xf>
    <xf numFmtId="0" fontId="45" fillId="0" borderId="0" xfId="0" applyFont="1" applyAlignment="1">
      <alignment vertical="center"/>
    </xf>
    <xf numFmtId="0" fontId="45" fillId="0" borderId="0" xfId="0" applyFont="1" applyFill="1" applyAlignment="1">
      <alignment vertical="center"/>
    </xf>
    <xf numFmtId="164" fontId="41" fillId="37" borderId="18" xfId="382" applyNumberFormat="1" applyFont="1" applyFill="1" applyBorder="1"/>
    <xf numFmtId="0" fontId="45" fillId="0" borderId="37" xfId="0" applyFont="1" applyFill="1" applyBorder="1"/>
    <xf numFmtId="0" fontId="45" fillId="0" borderId="0" xfId="0" applyFont="1"/>
    <xf numFmtId="0" fontId="45" fillId="0" borderId="0" xfId="0" applyFont="1" applyFill="1"/>
    <xf numFmtId="0" fontId="41" fillId="0" borderId="0" xfId="504" applyFont="1" applyFill="1" applyBorder="1"/>
    <xf numFmtId="164" fontId="41" fillId="0" borderId="0" xfId="382" applyNumberFormat="1" applyFont="1" applyFill="1" applyBorder="1"/>
    <xf numFmtId="0" fontId="42" fillId="0" borderId="0" xfId="504" applyNumberFormat="1" applyFont="1" applyFill="1" applyBorder="1" applyAlignment="1"/>
    <xf numFmtId="3" fontId="42" fillId="0" borderId="0" xfId="504" applyNumberFormat="1" applyFont="1" applyFill="1" applyBorder="1" applyAlignment="1">
      <alignment horizontal="center"/>
    </xf>
    <xf numFmtId="0" fontId="42" fillId="0" borderId="0" xfId="504" applyNumberFormat="1" applyFont="1" applyFill="1" applyBorder="1" applyAlignment="1">
      <alignment horizontal="left"/>
    </xf>
    <xf numFmtId="0" fontId="41" fillId="0" borderId="0" xfId="504" applyNumberFormat="1" applyFont="1" applyFill="1" applyBorder="1" applyAlignment="1">
      <alignment horizontal="left"/>
    </xf>
    <xf numFmtId="0" fontId="41" fillId="0" borderId="0" xfId="504" applyNumberFormat="1" applyFont="1" applyFill="1" applyBorder="1" applyAlignment="1">
      <alignment horizontal="center"/>
    </xf>
    <xf numFmtId="0" fontId="42" fillId="0" borderId="0" xfId="504" applyFont="1" applyFill="1" applyBorder="1" applyAlignment="1"/>
    <xf numFmtId="3" fontId="42" fillId="0" borderId="0" xfId="504" applyNumberFormat="1" applyFont="1" applyFill="1" applyBorder="1" applyAlignment="1"/>
    <xf numFmtId="164" fontId="42" fillId="0" borderId="0" xfId="13644" applyNumberFormat="1" applyFont="1"/>
    <xf numFmtId="10" fontId="45" fillId="0" borderId="26" xfId="0" applyNumberFormat="1" applyFont="1" applyFill="1" applyBorder="1" applyAlignment="1"/>
    <xf numFmtId="169" fontId="45" fillId="0" borderId="0" xfId="0" applyNumberFormat="1" applyFont="1" applyFill="1" applyBorder="1" applyAlignment="1"/>
    <xf numFmtId="164" fontId="41" fillId="0" borderId="0" xfId="504" applyNumberFormat="1" applyFont="1" applyFill="1"/>
    <xf numFmtId="167" fontId="41" fillId="0" borderId="0" xfId="434" applyNumberFormat="1" applyFont="1" applyFill="1" applyBorder="1" applyAlignment="1">
      <alignment horizontal="center" wrapText="1"/>
    </xf>
    <xf numFmtId="164" fontId="61" fillId="37" borderId="0" xfId="382" applyNumberFormat="1" applyFont="1" applyFill="1" applyAlignment="1">
      <alignment horizontal="left"/>
    </xf>
    <xf numFmtId="41" fontId="41" fillId="0" borderId="0" xfId="484" applyNumberFormat="1" applyFont="1" applyFill="1" applyBorder="1" applyAlignment="1">
      <alignment vertical="top"/>
    </xf>
    <xf numFmtId="0" fontId="41" fillId="0" borderId="0" xfId="0" applyFont="1" applyAlignment="1">
      <alignment horizontal="left" indent="1"/>
    </xf>
    <xf numFmtId="0" fontId="61" fillId="0" borderId="0" xfId="11275" applyFont="1"/>
    <xf numFmtId="0" fontId="45" fillId="0" borderId="47" xfId="0" applyNumberFormat="1" applyFont="1" applyFill="1" applyBorder="1" applyAlignment="1"/>
    <xf numFmtId="3" fontId="45" fillId="0" borderId="47" xfId="0" applyNumberFormat="1" applyFont="1" applyFill="1" applyBorder="1" applyAlignment="1"/>
    <xf numFmtId="3" fontId="45" fillId="0" borderId="47" xfId="0" applyNumberFormat="1" applyFont="1" applyFill="1" applyBorder="1" applyAlignment="1">
      <alignment horizontal="center"/>
    </xf>
    <xf numFmtId="0" fontId="45" fillId="0" borderId="47" xfId="0" applyFont="1" applyFill="1" applyBorder="1" applyAlignment="1"/>
    <xf numFmtId="0" fontId="45" fillId="0" borderId="47" xfId="0" applyFont="1" applyFill="1" applyBorder="1" applyAlignment="1">
      <alignment horizontal="center"/>
    </xf>
    <xf numFmtId="0" fontId="43" fillId="0" borderId="47" xfId="0" applyNumberFormat="1" applyFont="1" applyFill="1" applyBorder="1" applyAlignment="1"/>
    <xf numFmtId="0" fontId="45" fillId="0" borderId="47" xfId="0" applyFont="1" applyFill="1" applyBorder="1"/>
    <xf numFmtId="0" fontId="43" fillId="0" borderId="47" xfId="0" applyFont="1" applyFill="1" applyBorder="1"/>
    <xf numFmtId="0" fontId="43" fillId="0" borderId="47" xfId="0" applyFont="1" applyFill="1" applyBorder="1" applyAlignment="1"/>
    <xf numFmtId="0" fontId="43" fillId="0" borderId="47" xfId="0" applyNumberFormat="1" applyFont="1" applyFill="1" applyBorder="1" applyAlignment="1">
      <alignment horizontal="center"/>
    </xf>
    <xf numFmtId="43" fontId="45" fillId="0" borderId="47" xfId="0" applyNumberFormat="1" applyFont="1" applyFill="1" applyBorder="1" applyAlignment="1"/>
    <xf numFmtId="3" fontId="43" fillId="0" borderId="38" xfId="0" applyNumberFormat="1" applyFont="1" applyFill="1" applyBorder="1" applyAlignment="1"/>
    <xf numFmtId="169" fontId="110" fillId="0" borderId="0" xfId="37694" applyFont="1" applyAlignment="1"/>
    <xf numFmtId="164" fontId="110" fillId="0" borderId="0" xfId="382" applyNumberFormat="1" applyFont="1" applyAlignment="1"/>
    <xf numFmtId="0" fontId="110" fillId="0" borderId="0" xfId="37695" applyFont="1"/>
    <xf numFmtId="0" fontId="110" fillId="0" borderId="0" xfId="37695" applyFont="1" applyAlignment="1">
      <alignment horizontal="right"/>
    </xf>
    <xf numFmtId="169" fontId="110" fillId="0" borderId="0" xfId="37696" applyFont="1" applyAlignment="1"/>
    <xf numFmtId="0" fontId="110" fillId="0" borderId="0" xfId="37696" applyNumberFormat="1" applyFont="1" applyAlignment="1" applyProtection="1">
      <protection locked="0"/>
    </xf>
    <xf numFmtId="0" fontId="110" fillId="0" borderId="0" xfId="37696" applyNumberFormat="1" applyFont="1" applyAlignment="1" applyProtection="1">
      <alignment horizontal="center"/>
      <protection locked="0"/>
    </xf>
    <xf numFmtId="0" fontId="110" fillId="0" borderId="0" xfId="37696" applyNumberFormat="1" applyFont="1" applyFill="1" applyAlignment="1" applyProtection="1">
      <protection locked="0"/>
    </xf>
    <xf numFmtId="0" fontId="110" fillId="0" borderId="0" xfId="37696" applyNumberFormat="1" applyFont="1" applyFill="1" applyProtection="1">
      <protection locked="0"/>
    </xf>
    <xf numFmtId="3" fontId="110" fillId="0" borderId="0" xfId="37696" applyNumberFormat="1" applyFont="1" applyAlignment="1">
      <alignment horizontal="center"/>
    </xf>
    <xf numFmtId="3" fontId="110" fillId="0" borderId="0" xfId="37696" applyNumberFormat="1" applyFont="1" applyAlignment="1"/>
    <xf numFmtId="0" fontId="110" fillId="0" borderId="0" xfId="37696" applyNumberFormat="1" applyFont="1" applyProtection="1">
      <protection locked="0"/>
    </xf>
    <xf numFmtId="0" fontId="110" fillId="0" borderId="0" xfId="37696" applyNumberFormat="1" applyFont="1"/>
    <xf numFmtId="0" fontId="130" fillId="0" borderId="0" xfId="37696" applyNumberFormat="1" applyFont="1"/>
    <xf numFmtId="0" fontId="110" fillId="0" borderId="0" xfId="37696" applyNumberFormat="1" applyFont="1" applyFill="1"/>
    <xf numFmtId="49" fontId="110" fillId="0" borderId="0" xfId="37696" applyNumberFormat="1" applyFont="1" applyAlignment="1"/>
    <xf numFmtId="49" fontId="110" fillId="0" borderId="0" xfId="37696" applyNumberFormat="1" applyFont="1" applyAlignment="1">
      <alignment horizontal="center"/>
    </xf>
    <xf numFmtId="164" fontId="110" fillId="0" borderId="0" xfId="382" applyNumberFormat="1" applyFont="1" applyAlignment="1">
      <alignment horizontal="left"/>
    </xf>
    <xf numFmtId="0" fontId="110" fillId="0" borderId="0" xfId="37696" applyNumberFormat="1" applyFont="1" applyAlignment="1">
      <alignment horizontal="center"/>
    </xf>
    <xf numFmtId="49" fontId="110" fillId="0" borderId="0" xfId="37696" applyNumberFormat="1" applyFont="1"/>
    <xf numFmtId="0" fontId="110" fillId="0" borderId="7" xfId="37696" applyNumberFormat="1" applyFont="1" applyBorder="1" applyAlignment="1" applyProtection="1">
      <alignment horizontal="center"/>
      <protection locked="0"/>
    </xf>
    <xf numFmtId="3" fontId="110" fillId="0" borderId="0" xfId="37696" applyNumberFormat="1" applyFont="1"/>
    <xf numFmtId="164" fontId="110" fillId="0" borderId="0" xfId="382" applyNumberFormat="1" applyFont="1" applyFill="1" applyAlignment="1"/>
    <xf numFmtId="0" fontId="110" fillId="0" borderId="0" xfId="37696" applyNumberFormat="1" applyFont="1" applyFill="1" applyAlignment="1"/>
    <xf numFmtId="3" fontId="110" fillId="0" borderId="0" xfId="37696" applyNumberFormat="1" applyFont="1" applyFill="1" applyAlignment="1"/>
    <xf numFmtId="0" fontId="110" fillId="0" borderId="7" xfId="37696" applyNumberFormat="1" applyFont="1" applyFill="1" applyBorder="1" applyAlignment="1" applyProtection="1">
      <alignment horizontal="center"/>
      <protection locked="0"/>
    </xf>
    <xf numFmtId="0" fontId="110" fillId="0" borderId="7" xfId="37696" applyNumberFormat="1" applyFont="1" applyFill="1" applyBorder="1" applyAlignment="1" applyProtection="1">
      <alignment horizontal="centerContinuous"/>
      <protection locked="0"/>
    </xf>
    <xf numFmtId="3" fontId="110" fillId="0" borderId="0" xfId="37696" applyNumberFormat="1" applyFont="1" applyFill="1"/>
    <xf numFmtId="170" fontId="110" fillId="0" borderId="0" xfId="382" applyNumberFormat="1" applyFont="1" applyFill="1" applyAlignment="1"/>
    <xf numFmtId="3" fontId="110" fillId="0" borderId="0" xfId="37695" applyNumberFormat="1" applyFont="1" applyFill="1" applyAlignment="1"/>
    <xf numFmtId="43" fontId="110" fillId="0" borderId="0" xfId="382" applyFont="1" applyFill="1" applyAlignment="1"/>
    <xf numFmtId="3" fontId="110" fillId="0" borderId="0" xfId="37696" applyNumberFormat="1" applyFont="1" applyFill="1" applyAlignment="1">
      <alignment horizontal="left"/>
    </xf>
    <xf numFmtId="43" fontId="110" fillId="0" borderId="7" xfId="382" applyFont="1" applyFill="1" applyBorder="1" applyAlignment="1"/>
    <xf numFmtId="43" fontId="110" fillId="0" borderId="0" xfId="382" applyFont="1" applyFill="1" applyAlignment="1">
      <alignment horizontal="fill"/>
    </xf>
    <xf numFmtId="189" fontId="110" fillId="0" borderId="0" xfId="37695" applyNumberFormat="1" applyFont="1" applyFill="1" applyAlignment="1"/>
    <xf numFmtId="169" fontId="110" fillId="0" borderId="0" xfId="37696" applyFont="1" applyFill="1" applyAlignment="1"/>
    <xf numFmtId="189" fontId="110" fillId="0" borderId="0" xfId="37696" applyNumberFormat="1" applyFont="1" applyFill="1" applyAlignment="1"/>
    <xf numFmtId="0" fontId="110" fillId="0" borderId="0" xfId="37698" applyNumberFormat="1" applyFont="1" applyFill="1" applyAlignment="1"/>
    <xf numFmtId="0" fontId="110" fillId="0" borderId="0" xfId="37698" applyNumberFormat="1" applyFont="1" applyFill="1"/>
    <xf numFmtId="0" fontId="110" fillId="0" borderId="0" xfId="37698" applyNumberFormat="1" applyFont="1" applyFill="1" applyBorder="1" applyAlignment="1"/>
    <xf numFmtId="189" fontId="110" fillId="0" borderId="0" xfId="37698" applyNumberFormat="1" applyFont="1" applyFill="1" applyAlignment="1"/>
    <xf numFmtId="169" fontId="110" fillId="0" borderId="0" xfId="37694" applyFont="1" applyFill="1" applyAlignment="1"/>
    <xf numFmtId="0" fontId="110" fillId="0" borderId="0" xfId="37696" applyNumberFormat="1" applyFont="1" applyFill="1" applyBorder="1"/>
    <xf numFmtId="0" fontId="110" fillId="0" borderId="0" xfId="37698" applyFont="1" applyFill="1" applyAlignment="1"/>
    <xf numFmtId="3" fontId="110" fillId="0" borderId="0" xfId="37698" applyNumberFormat="1" applyFont="1" applyFill="1" applyAlignment="1"/>
    <xf numFmtId="0" fontId="110" fillId="0" borderId="0" xfId="37696" applyNumberFormat="1" applyFont="1" applyFill="1" applyBorder="1" applyAlignment="1" applyProtection="1">
      <alignment horizontal="center"/>
      <protection locked="0"/>
    </xf>
    <xf numFmtId="3" fontId="110" fillId="0" borderId="0" xfId="37696" applyNumberFormat="1" applyFont="1" applyFill="1" applyBorder="1"/>
    <xf numFmtId="169" fontId="110" fillId="0" borderId="0" xfId="37696" applyFont="1" applyFill="1" applyBorder="1" applyAlignment="1"/>
    <xf numFmtId="0" fontId="110" fillId="0" borderId="0" xfId="37696" applyNumberFormat="1" applyFont="1" applyFill="1" applyBorder="1" applyProtection="1">
      <protection locked="0"/>
    </xf>
    <xf numFmtId="0" fontId="110" fillId="0" borderId="0" xfId="37696" applyNumberFormat="1" applyFont="1" applyFill="1" applyBorder="1" applyAlignment="1"/>
    <xf numFmtId="0" fontId="110" fillId="0" borderId="0" xfId="37694" applyNumberFormat="1" applyFont="1" applyFill="1" applyAlignment="1"/>
    <xf numFmtId="0" fontId="110" fillId="0" borderId="0" xfId="37694" applyNumberFormat="1" applyFont="1" applyFill="1"/>
    <xf numFmtId="3" fontId="110" fillId="0" borderId="0" xfId="37694" applyNumberFormat="1" applyFont="1" applyFill="1"/>
    <xf numFmtId="43" fontId="110" fillId="0" borderId="0" xfId="382" applyFont="1" applyFill="1"/>
    <xf numFmtId="0" fontId="110" fillId="0" borderId="0" xfId="37694" applyNumberFormat="1" applyFont="1" applyFill="1" applyProtection="1">
      <protection locked="0"/>
    </xf>
    <xf numFmtId="164" fontId="110" fillId="0" borderId="0" xfId="382" applyNumberFormat="1" applyFont="1" applyFill="1"/>
    <xf numFmtId="3" fontId="110" fillId="0" borderId="0" xfId="37694" applyNumberFormat="1" applyFont="1" applyFill="1" applyAlignment="1"/>
    <xf numFmtId="43" fontId="110" fillId="0" borderId="0" xfId="382" applyFont="1" applyFill="1" applyBorder="1"/>
    <xf numFmtId="43" fontId="110" fillId="0" borderId="7" xfId="382" applyFont="1" applyFill="1" applyBorder="1"/>
    <xf numFmtId="0" fontId="110" fillId="0" borderId="0" xfId="37694" applyNumberFormat="1" applyFont="1" applyFill="1" applyAlignment="1" applyProtection="1">
      <protection locked="0"/>
    </xf>
    <xf numFmtId="43" fontId="110" fillId="0" borderId="0" xfId="382" applyFont="1" applyFill="1" applyAlignment="1">
      <alignment horizontal="center"/>
    </xf>
    <xf numFmtId="0" fontId="110" fillId="0" borderId="0" xfId="37694" applyNumberFormat="1" applyFont="1" applyFill="1" applyAlignment="1">
      <alignment horizontal="left"/>
    </xf>
    <xf numFmtId="0" fontId="110" fillId="0" borderId="0" xfId="37694" applyNumberFormat="1" applyFont="1" applyAlignment="1"/>
    <xf numFmtId="43" fontId="110" fillId="0" borderId="0" xfId="382" applyFont="1" applyProtection="1">
      <protection locked="0"/>
    </xf>
    <xf numFmtId="190" fontId="110" fillId="0" borderId="0" xfId="37694" applyNumberFormat="1" applyFont="1" applyProtection="1">
      <protection locked="0"/>
    </xf>
    <xf numFmtId="0" fontId="110" fillId="0" borderId="0" xfId="37694" applyNumberFormat="1" applyFont="1" applyFill="1" applyAlignment="1" applyProtection="1">
      <alignment horizontal="center"/>
      <protection locked="0"/>
    </xf>
    <xf numFmtId="190" fontId="110" fillId="0" borderId="0" xfId="37694" applyNumberFormat="1" applyFont="1" applyFill="1" applyProtection="1">
      <protection locked="0"/>
    </xf>
    <xf numFmtId="0" fontId="110" fillId="0" borderId="0" xfId="37696" applyNumberFormat="1" applyFont="1" applyAlignment="1"/>
    <xf numFmtId="190" fontId="110" fillId="0" borderId="0" xfId="37696" applyNumberFormat="1" applyFont="1" applyFill="1" applyProtection="1">
      <protection locked="0"/>
    </xf>
    <xf numFmtId="190" fontId="110" fillId="0" borderId="0" xfId="37696" applyNumberFormat="1" applyFont="1" applyProtection="1">
      <protection locked="0"/>
    </xf>
    <xf numFmtId="0" fontId="110" fillId="0" borderId="0" xfId="37695" applyFont="1" applyFill="1" applyAlignment="1">
      <alignment horizontal="right"/>
    </xf>
    <xf numFmtId="166" fontId="110" fillId="0" borderId="0" xfId="37696" applyNumberFormat="1" applyFont="1"/>
    <xf numFmtId="0" fontId="110" fillId="0" borderId="0" xfId="37696" applyNumberFormat="1" applyFont="1" applyAlignment="1">
      <alignment horizontal="right"/>
    </xf>
    <xf numFmtId="0" fontId="133" fillId="0" borderId="0" xfId="37696" applyNumberFormat="1" applyFont="1" applyAlignment="1"/>
    <xf numFmtId="0" fontId="97" fillId="0" borderId="0" xfId="37696" applyNumberFormat="1" applyFont="1" applyAlignment="1" applyProtection="1">
      <alignment horizontal="center"/>
      <protection locked="0"/>
    </xf>
    <xf numFmtId="3" fontId="97" fillId="0" borderId="0" xfId="37696" applyNumberFormat="1" applyFont="1" applyAlignment="1"/>
    <xf numFmtId="0" fontId="97" fillId="0" borderId="0" xfId="37696" applyNumberFormat="1" applyFont="1" applyAlignment="1"/>
    <xf numFmtId="0" fontId="110" fillId="0" borderId="0" xfId="37696" applyNumberFormat="1" applyFont="1" applyFill="1" applyAlignment="1" applyProtection="1">
      <alignment horizontal="center"/>
      <protection locked="0"/>
    </xf>
    <xf numFmtId="191" fontId="110" fillId="0" borderId="0" xfId="37696" applyNumberFormat="1" applyFont="1" applyFill="1" applyAlignment="1"/>
    <xf numFmtId="10" fontId="110" fillId="0" borderId="0" xfId="674" applyNumberFormat="1" applyFont="1" applyAlignment="1"/>
    <xf numFmtId="164" fontId="110" fillId="0" borderId="7" xfId="382" applyNumberFormat="1" applyFont="1" applyFill="1" applyBorder="1" applyAlignment="1"/>
    <xf numFmtId="170" fontId="110" fillId="0" borderId="0" xfId="382" applyNumberFormat="1" applyFont="1" applyFill="1" applyAlignment="1">
      <alignment horizontal="center"/>
    </xf>
    <xf numFmtId="170" fontId="110" fillId="0" borderId="0" xfId="37696" applyNumberFormat="1" applyFont="1" applyFill="1" applyAlignment="1">
      <alignment horizontal="center"/>
    </xf>
    <xf numFmtId="170" fontId="110" fillId="0" borderId="0" xfId="37696" applyNumberFormat="1" applyFont="1" applyFill="1" applyAlignment="1"/>
    <xf numFmtId="3" fontId="110" fillId="0" borderId="0" xfId="37698" applyNumberFormat="1" applyFont="1" applyFill="1" applyBorder="1" applyAlignment="1"/>
    <xf numFmtId="164" fontId="110" fillId="0" borderId="0" xfId="382" applyNumberFormat="1" applyFont="1" applyFill="1" applyBorder="1" applyAlignment="1"/>
    <xf numFmtId="3" fontId="133" fillId="0" borderId="0" xfId="37696" applyNumberFormat="1" applyFont="1" applyFill="1" applyAlignment="1"/>
    <xf numFmtId="169" fontId="133" fillId="0" borderId="0" xfId="37694" applyFont="1" applyFill="1" applyAlignment="1"/>
    <xf numFmtId="169" fontId="133" fillId="0" borderId="0" xfId="37694" applyFont="1" applyAlignment="1"/>
    <xf numFmtId="191" fontId="110" fillId="0" borderId="0" xfId="37695" applyNumberFormat="1" applyFont="1" applyFill="1" applyAlignment="1">
      <alignment horizontal="right"/>
    </xf>
    <xf numFmtId="168" fontId="110" fillId="0" borderId="0" xfId="37696" applyNumberFormat="1" applyFont="1" applyFill="1" applyAlignment="1">
      <alignment horizontal="center"/>
    </xf>
    <xf numFmtId="170" fontId="110" fillId="0" borderId="0" xfId="382" applyNumberFormat="1" applyFont="1" applyFill="1" applyAlignment="1">
      <alignment horizontal="right"/>
    </xf>
    <xf numFmtId="0" fontId="110" fillId="0" borderId="0" xfId="37695" applyNumberFormat="1" applyFont="1" applyFill="1"/>
    <xf numFmtId="164" fontId="110" fillId="0" borderId="40" xfId="382" applyNumberFormat="1" applyFont="1" applyFill="1" applyBorder="1" applyAlignment="1"/>
    <xf numFmtId="168" fontId="110" fillId="0" borderId="0" xfId="37695" applyNumberFormat="1" applyFont="1" applyFill="1" applyAlignment="1">
      <alignment horizontal="center"/>
    </xf>
    <xf numFmtId="3" fontId="110" fillId="0" borderId="0" xfId="37695" applyNumberFormat="1" applyFont="1" applyFill="1" applyBorder="1" applyAlignment="1"/>
    <xf numFmtId="3" fontId="110" fillId="0" borderId="0" xfId="37696" applyNumberFormat="1" applyFont="1" applyFill="1" applyAlignment="1">
      <alignment horizontal="right"/>
    </xf>
    <xf numFmtId="3" fontId="110" fillId="0" borderId="0" xfId="37696" applyNumberFormat="1" applyFont="1" applyFill="1" applyAlignment="1">
      <alignment horizontal="center"/>
    </xf>
    <xf numFmtId="0" fontId="110" fillId="0" borderId="0" xfId="37695" applyFont="1" applyFill="1"/>
    <xf numFmtId="0" fontId="110" fillId="0" borderId="0" xfId="37696" applyNumberFormat="1" applyFont="1" applyFill="1" applyAlignment="1">
      <alignment horizontal="center"/>
    </xf>
    <xf numFmtId="49" fontId="110" fillId="0" borderId="0" xfId="37696" applyNumberFormat="1" applyFont="1" applyFill="1" applyAlignment="1">
      <alignment horizontal="center"/>
    </xf>
    <xf numFmtId="3" fontId="97" fillId="0" borderId="0" xfId="37696" applyNumberFormat="1" applyFont="1" applyFill="1" applyAlignment="1">
      <alignment horizontal="center"/>
    </xf>
    <xf numFmtId="0" fontId="97" fillId="0" borderId="0" xfId="37696" applyNumberFormat="1" applyFont="1" applyFill="1" applyAlignment="1" applyProtection="1">
      <alignment horizontal="center"/>
      <protection locked="0"/>
    </xf>
    <xf numFmtId="169" fontId="97" fillId="0" borderId="0" xfId="37696" applyFont="1" applyFill="1" applyAlignment="1">
      <alignment horizontal="center"/>
    </xf>
    <xf numFmtId="3" fontId="97" fillId="0" borderId="0" xfId="37696" applyNumberFormat="1" applyFont="1" applyFill="1" applyAlignment="1"/>
    <xf numFmtId="193" fontId="110" fillId="0" borderId="0" xfId="37694" applyNumberFormat="1" applyFont="1" applyAlignment="1"/>
    <xf numFmtId="0" fontId="110" fillId="0" borderId="0" xfId="37696" quotePrefix="1" applyNumberFormat="1" applyFont="1" applyFill="1"/>
    <xf numFmtId="0" fontId="110" fillId="0" borderId="0" xfId="37698" applyNumberFormat="1" applyFont="1" applyFill="1" applyAlignment="1" applyProtection="1">
      <alignment horizontal="center"/>
      <protection locked="0"/>
    </xf>
    <xf numFmtId="169" fontId="110" fillId="0" borderId="0" xfId="37694" quotePrefix="1" applyFont="1" applyFill="1" applyAlignment="1"/>
    <xf numFmtId="10" fontId="110" fillId="0" borderId="0" xfId="674" applyNumberFormat="1" applyFont="1" applyFill="1" applyAlignment="1"/>
    <xf numFmtId="3" fontId="134" fillId="0" borderId="0" xfId="37695" applyNumberFormat="1" applyFont="1" applyFill="1" applyAlignment="1"/>
    <xf numFmtId="3" fontId="134" fillId="0" borderId="0" xfId="37696" applyNumberFormat="1" applyFont="1" applyFill="1" applyAlignment="1"/>
    <xf numFmtId="169" fontId="134" fillId="0" borderId="0" xfId="37694" applyFont="1" applyFill="1" applyAlignment="1"/>
    <xf numFmtId="164" fontId="134" fillId="0" borderId="0" xfId="382" applyNumberFormat="1" applyFont="1" applyAlignment="1"/>
    <xf numFmtId="169" fontId="134" fillId="0" borderId="0" xfId="37694" applyFont="1" applyAlignment="1"/>
    <xf numFmtId="189" fontId="110" fillId="0" borderId="0" xfId="37696" applyNumberFormat="1" applyFont="1" applyFill="1" applyAlignment="1">
      <alignment horizontal="center"/>
    </xf>
    <xf numFmtId="194" fontId="110" fillId="0" borderId="0" xfId="37696" applyNumberFormat="1" applyFont="1" applyFill="1" applyAlignment="1"/>
    <xf numFmtId="189" fontId="110" fillId="0" borderId="0" xfId="37695" applyNumberFormat="1" applyFont="1" applyFill="1" applyAlignment="1">
      <alignment horizontal="center"/>
    </xf>
    <xf numFmtId="164" fontId="110" fillId="0" borderId="17" xfId="382" applyNumberFormat="1" applyFont="1" applyFill="1" applyBorder="1" applyAlignment="1"/>
    <xf numFmtId="164" fontId="110" fillId="0" borderId="53" xfId="382" applyNumberFormat="1" applyFont="1" applyFill="1" applyBorder="1" applyAlignment="1"/>
    <xf numFmtId="0" fontId="110" fillId="0" borderId="0" xfId="37695" applyNumberFormat="1" applyFont="1" applyFill="1" applyAlignment="1"/>
    <xf numFmtId="169" fontId="110" fillId="0" borderId="0" xfId="37696" applyFont="1" applyFill="1" applyAlignment="1">
      <alignment horizontal="center"/>
    </xf>
    <xf numFmtId="169" fontId="110" fillId="0" borderId="0" xfId="37696" applyFont="1" applyFill="1" applyAlignment="1">
      <alignment horizontal="right"/>
    </xf>
    <xf numFmtId="0" fontId="134" fillId="0" borderId="0" xfId="37696" applyNumberFormat="1" applyFont="1" applyFill="1" applyAlignment="1" applyProtection="1">
      <alignment horizontal="center"/>
      <protection locked="0"/>
    </xf>
    <xf numFmtId="0" fontId="97" fillId="0" borderId="0" xfId="37696" applyNumberFormat="1" applyFont="1" applyFill="1" applyAlignment="1"/>
    <xf numFmtId="0" fontId="110" fillId="0" borderId="7" xfId="37696" applyNumberFormat="1" applyFont="1" applyFill="1" applyBorder="1"/>
    <xf numFmtId="49" fontId="110" fillId="0" borderId="0" xfId="37696" applyNumberFormat="1" applyFont="1" applyFill="1" applyAlignment="1"/>
    <xf numFmtId="3" fontId="110" fillId="0" borderId="7" xfId="37696" applyNumberFormat="1" applyFont="1" applyFill="1" applyBorder="1" applyAlignment="1"/>
    <xf numFmtId="3" fontId="110" fillId="0" borderId="7" xfId="37696" applyNumberFormat="1" applyFont="1" applyFill="1" applyBorder="1" applyAlignment="1">
      <alignment horizontal="center"/>
    </xf>
    <xf numFmtId="43" fontId="110" fillId="0" borderId="0" xfId="382" applyNumberFormat="1" applyFont="1" applyFill="1" applyAlignment="1"/>
    <xf numFmtId="3" fontId="110" fillId="0" borderId="0" xfId="37695" applyNumberFormat="1" applyFont="1" applyFill="1" applyBorder="1" applyAlignment="1">
      <alignment horizontal="center"/>
    </xf>
    <xf numFmtId="0" fontId="110" fillId="0" borderId="7" xfId="37695" applyNumberFormat="1" applyFont="1" applyFill="1" applyBorder="1" applyAlignment="1">
      <alignment horizontal="center"/>
    </xf>
    <xf numFmtId="0" fontId="110" fillId="0" borderId="0" xfId="37695" applyNumberFormat="1" applyFont="1" applyFill="1" applyAlignment="1">
      <alignment horizontal="center"/>
    </xf>
    <xf numFmtId="192" fontId="110" fillId="0" borderId="0" xfId="382" applyNumberFormat="1" applyFont="1" applyFill="1" applyAlignment="1"/>
    <xf numFmtId="189" fontId="110" fillId="0" borderId="0" xfId="37696" applyNumberFormat="1" applyFont="1" applyFill="1" applyAlignment="1" applyProtection="1">
      <alignment horizontal="center"/>
      <protection locked="0"/>
    </xf>
    <xf numFmtId="0" fontId="110" fillId="0" borderId="0" xfId="37696" applyNumberFormat="1" applyFont="1" applyFill="1" applyAlignment="1">
      <alignment horizontal="left"/>
    </xf>
    <xf numFmtId="192" fontId="110" fillId="0" borderId="0" xfId="382" applyNumberFormat="1" applyFont="1" applyFill="1" applyAlignment="1">
      <alignment horizontal="center"/>
    </xf>
    <xf numFmtId="168" fontId="110" fillId="0" borderId="0" xfId="674" applyNumberFormat="1" applyFont="1" applyFill="1" applyAlignment="1"/>
    <xf numFmtId="3" fontId="110" fillId="0" borderId="0" xfId="37696" quotePrefix="1" applyNumberFormat="1" applyFont="1" applyFill="1" applyAlignment="1"/>
    <xf numFmtId="168" fontId="110" fillId="0" borderId="7" xfId="674" applyNumberFormat="1" applyFont="1" applyFill="1" applyBorder="1" applyAlignment="1"/>
    <xf numFmtId="164" fontId="110" fillId="0" borderId="0" xfId="382" applyNumberFormat="1" applyFont="1" applyFill="1" applyAlignment="1">
      <alignment horizontal="center"/>
    </xf>
    <xf numFmtId="0" fontId="135" fillId="0" borderId="0" xfId="37696" applyNumberFormat="1" applyFont="1" applyFill="1" applyProtection="1">
      <protection locked="0"/>
    </xf>
    <xf numFmtId="169" fontId="135" fillId="0" borderId="0" xfId="37696" applyFont="1" applyFill="1" applyAlignment="1"/>
    <xf numFmtId="169" fontId="110" fillId="0" borderId="0" xfId="37696" applyFont="1" applyFill="1" applyAlignment="1" applyProtection="1"/>
    <xf numFmtId="195" fontId="110" fillId="0" borderId="0" xfId="382" applyNumberFormat="1" applyFont="1" applyFill="1" applyBorder="1" applyProtection="1">
      <protection locked="0"/>
    </xf>
    <xf numFmtId="38" fontId="110" fillId="0" borderId="0" xfId="37696" applyNumberFormat="1" applyFont="1" applyFill="1" applyAlignment="1" applyProtection="1"/>
    <xf numFmtId="195" fontId="110" fillId="0" borderId="7" xfId="382" applyNumberFormat="1" applyFont="1" applyFill="1" applyBorder="1" applyProtection="1">
      <protection locked="0"/>
    </xf>
    <xf numFmtId="38" fontId="110" fillId="0" borderId="0" xfId="37696" applyNumberFormat="1" applyFont="1" applyFill="1" applyAlignment="1"/>
    <xf numFmtId="193" fontId="110" fillId="0" borderId="0" xfId="37696" applyNumberFormat="1" applyFont="1" applyFill="1" applyBorder="1" applyProtection="1"/>
    <xf numFmtId="196" fontId="110" fillId="0" borderId="0" xfId="37696" applyNumberFormat="1" applyFont="1" applyFill="1" applyProtection="1">
      <protection locked="0"/>
    </xf>
    <xf numFmtId="1" fontId="110" fillId="0" borderId="0" xfId="37696" applyNumberFormat="1" applyFont="1" applyFill="1" applyProtection="1"/>
    <xf numFmtId="1" fontId="110" fillId="0" borderId="0" xfId="37696" applyNumberFormat="1" applyFont="1" applyFill="1" applyAlignment="1" applyProtection="1"/>
    <xf numFmtId="3" fontId="110" fillId="0" borderId="0" xfId="37696" applyNumberFormat="1" applyFont="1" applyFill="1" applyAlignment="1" applyProtection="1"/>
    <xf numFmtId="164" fontId="110" fillId="0" borderId="0" xfId="382" applyNumberFormat="1" applyFont="1" applyFill="1" applyBorder="1" applyAlignment="1" applyProtection="1"/>
    <xf numFmtId="193" fontId="110" fillId="0" borderId="0" xfId="37696" applyNumberFormat="1" applyFont="1" applyFill="1" applyBorder="1" applyAlignment="1" applyProtection="1"/>
    <xf numFmtId="0" fontId="132" fillId="0" borderId="0" xfId="37698" applyNumberFormat="1" applyFont="1" applyFill="1" applyAlignment="1" applyProtection="1">
      <alignment vertical="top" wrapText="1"/>
      <protection locked="0"/>
    </xf>
    <xf numFmtId="0" fontId="136" fillId="0" borderId="0" xfId="37698" applyNumberFormat="1" applyFont="1" applyFill="1" applyAlignment="1" applyProtection="1">
      <alignment vertical="top" wrapText="1"/>
      <protection locked="0"/>
    </xf>
    <xf numFmtId="164" fontId="136" fillId="0" borderId="0" xfId="382" applyNumberFormat="1" applyFont="1" applyFill="1" applyAlignment="1" applyProtection="1">
      <alignment vertical="top" wrapText="1"/>
      <protection locked="0"/>
    </xf>
    <xf numFmtId="164" fontId="132" fillId="0" borderId="0" xfId="382" applyNumberFormat="1" applyFont="1" applyFill="1" applyAlignment="1" applyProtection="1">
      <alignment vertical="top" wrapText="1"/>
      <protection locked="0"/>
    </xf>
    <xf numFmtId="164" fontId="45" fillId="0" borderId="0" xfId="382" applyNumberFormat="1" applyFont="1"/>
    <xf numFmtId="0" fontId="43" fillId="0" borderId="0" xfId="0" applyFont="1" applyAlignment="1">
      <alignment horizontal="center"/>
    </xf>
    <xf numFmtId="3" fontId="45" fillId="0" borderId="0" xfId="0" applyNumberFormat="1" applyFont="1" applyFill="1" applyBorder="1"/>
    <xf numFmtId="0" fontId="45" fillId="0" borderId="17" xfId="0" applyFont="1" applyFill="1" applyBorder="1"/>
    <xf numFmtId="0" fontId="45" fillId="0" borderId="17" xfId="0" applyFont="1" applyFill="1" applyBorder="1" applyAlignment="1">
      <alignment horizontal="center"/>
    </xf>
    <xf numFmtId="3" fontId="43" fillId="0" borderId="36" xfId="0" applyNumberFormat="1" applyFont="1" applyFill="1" applyBorder="1" applyAlignment="1"/>
    <xf numFmtId="164" fontId="45" fillId="0" borderId="30" xfId="382" applyNumberFormat="1" applyFont="1" applyFill="1" applyBorder="1"/>
    <xf numFmtId="0" fontId="45" fillId="0" borderId="0" xfId="0" quotePrefix="1" applyFont="1" applyFill="1" applyBorder="1" applyAlignment="1">
      <alignment horizontal="center" wrapText="1"/>
    </xf>
    <xf numFmtId="0" fontId="45" fillId="0" borderId="18" xfId="0" applyFont="1" applyFill="1" applyBorder="1"/>
    <xf numFmtId="0" fontId="45" fillId="0" borderId="0" xfId="0" applyFont="1" applyFill="1" applyAlignment="1">
      <alignment horizontal="right"/>
    </xf>
    <xf numFmtId="0" fontId="43" fillId="0" borderId="17" xfId="0" applyFont="1" applyFill="1" applyBorder="1" applyAlignment="1"/>
    <xf numFmtId="3" fontId="43" fillId="0" borderId="47" xfId="0" applyNumberFormat="1" applyFont="1" applyFill="1" applyBorder="1" applyAlignment="1">
      <alignment horizontal="center"/>
    </xf>
    <xf numFmtId="0" fontId="43" fillId="0" borderId="6" xfId="0" applyNumberFormat="1" applyFont="1" applyFill="1" applyBorder="1" applyAlignment="1">
      <alignment horizontal="center"/>
    </xf>
    <xf numFmtId="0" fontId="43" fillId="0" borderId="6" xfId="0" applyFont="1" applyFill="1" applyBorder="1" applyAlignment="1">
      <alignment horizontal="center" wrapText="1"/>
    </xf>
    <xf numFmtId="0" fontId="109" fillId="0" borderId="0" xfId="11279" applyFont="1"/>
    <xf numFmtId="0" fontId="43" fillId="0" borderId="6" xfId="0" applyFont="1" applyFill="1" applyBorder="1" applyAlignment="1">
      <alignment horizontal="center"/>
    </xf>
    <xf numFmtId="43" fontId="43" fillId="0" borderId="0" xfId="382" applyFont="1" applyBorder="1"/>
    <xf numFmtId="0" fontId="43" fillId="35" borderId="46" xfId="0" applyFont="1" applyFill="1" applyBorder="1" applyAlignment="1">
      <alignment horizontal="center" wrapText="1"/>
    </xf>
    <xf numFmtId="0" fontId="45" fillId="50" borderId="32" xfId="0" applyFont="1" applyFill="1" applyBorder="1" applyAlignment="1">
      <alignment horizontal="center" wrapText="1"/>
    </xf>
    <xf numFmtId="0" fontId="45" fillId="50" borderId="42" xfId="0" applyFont="1" applyFill="1" applyBorder="1" applyAlignment="1">
      <alignment horizontal="center" wrapText="1"/>
    </xf>
    <xf numFmtId="0" fontId="57" fillId="35" borderId="31" xfId="0" applyFont="1" applyFill="1" applyBorder="1" applyAlignment="1">
      <alignment horizontal="left"/>
    </xf>
    <xf numFmtId="0" fontId="43" fillId="35" borderId="46" xfId="0" applyFont="1" applyFill="1" applyBorder="1" applyAlignment="1"/>
    <xf numFmtId="0" fontId="43" fillId="35" borderId="46" xfId="0" applyNumberFormat="1" applyFont="1" applyFill="1" applyBorder="1" applyAlignment="1">
      <alignment horizontal="center"/>
    </xf>
    <xf numFmtId="0" fontId="43" fillId="35" borderId="46" xfId="0" applyNumberFormat="1" applyFont="1" applyFill="1" applyBorder="1" applyAlignment="1">
      <alignment horizontal="center" wrapText="1"/>
    </xf>
    <xf numFmtId="3" fontId="45" fillId="0" borderId="41" xfId="0" applyNumberFormat="1" applyFont="1" applyBorder="1" applyAlignment="1"/>
    <xf numFmtId="43" fontId="43" fillId="0" borderId="35" xfId="382" applyFont="1" applyBorder="1"/>
    <xf numFmtId="43" fontId="43" fillId="0" borderId="41" xfId="382" applyFont="1" applyBorder="1"/>
    <xf numFmtId="164" fontId="121" fillId="0" borderId="0" xfId="382" applyNumberFormat="1" applyFont="1" applyFill="1"/>
    <xf numFmtId="43" fontId="122" fillId="0" borderId="0" xfId="382" applyFont="1" applyFill="1" applyAlignment="1">
      <alignment horizontal="center" wrapText="1"/>
    </xf>
    <xf numFmtId="0" fontId="42" fillId="0" borderId="0" xfId="0" applyFont="1" applyFill="1" applyAlignment="1">
      <alignment horizontal="center" vertical="center"/>
    </xf>
    <xf numFmtId="164" fontId="121" fillId="0" borderId="0" xfId="382" applyNumberFormat="1" applyFont="1" applyFill="1" applyBorder="1"/>
    <xf numFmtId="164" fontId="41" fillId="0" borderId="35" xfId="0" applyNumberFormat="1" applyFont="1" applyFill="1" applyBorder="1" applyAlignment="1"/>
    <xf numFmtId="0" fontId="41" fillId="0" borderId="35" xfId="0" applyFont="1" applyFill="1" applyBorder="1" applyAlignment="1"/>
    <xf numFmtId="164" fontId="121" fillId="0" borderId="35" xfId="382" applyNumberFormat="1" applyFont="1" applyFill="1" applyBorder="1"/>
    <xf numFmtId="0" fontId="42" fillId="0" borderId="19" xfId="0" applyFont="1" applyFill="1" applyBorder="1"/>
    <xf numFmtId="0" fontId="60" fillId="0" borderId="5" xfId="0" applyFont="1" applyFill="1" applyBorder="1"/>
    <xf numFmtId="197" fontId="42" fillId="0" borderId="0" xfId="434" applyNumberFormat="1" applyFont="1" applyFill="1" applyAlignment="1">
      <alignment horizontal="center"/>
    </xf>
    <xf numFmtId="164" fontId="41" fillId="37" borderId="35" xfId="0" applyNumberFormat="1" applyFont="1" applyFill="1" applyBorder="1" applyAlignment="1"/>
    <xf numFmtId="164" fontId="121" fillId="0" borderId="44" xfId="382" applyNumberFormat="1" applyFont="1" applyFill="1" applyBorder="1"/>
    <xf numFmtId="0" fontId="124" fillId="0" borderId="0" xfId="0" applyFont="1"/>
    <xf numFmtId="0" fontId="41" fillId="0" borderId="0" xfId="0" applyFont="1" applyFill="1" applyBorder="1" applyAlignment="1">
      <alignment horizontal="center"/>
    </xf>
    <xf numFmtId="164" fontId="121" fillId="0" borderId="0" xfId="382" applyNumberFormat="1" applyFont="1" applyFill="1" applyAlignment="1">
      <alignment horizontal="center"/>
    </xf>
    <xf numFmtId="17" fontId="41" fillId="0" borderId="0" xfId="0" applyNumberFormat="1" applyFont="1" applyFill="1" applyBorder="1"/>
    <xf numFmtId="166" fontId="41" fillId="0" borderId="0" xfId="678" applyNumberFormat="1" applyFont="1" applyBorder="1"/>
    <xf numFmtId="43" fontId="41" fillId="0" borderId="0" xfId="0" applyNumberFormat="1" applyFont="1" applyFill="1"/>
    <xf numFmtId="43" fontId="41" fillId="0" borderId="0" xfId="0" applyNumberFormat="1" applyFont="1" applyFill="1" applyBorder="1"/>
    <xf numFmtId="0" fontId="137" fillId="0" borderId="0" xfId="0" applyFont="1" applyAlignment="1">
      <alignment horizontal="center"/>
    </xf>
    <xf numFmtId="43" fontId="129" fillId="0" borderId="0" xfId="382" applyFont="1" applyAlignment="1">
      <alignment horizontal="center"/>
    </xf>
    <xf numFmtId="10" fontId="41" fillId="0" borderId="0" xfId="678" applyNumberFormat="1" applyFont="1" applyFill="1" applyBorder="1"/>
    <xf numFmtId="164" fontId="129" fillId="0" borderId="0" xfId="382" applyNumberFormat="1" applyFont="1"/>
    <xf numFmtId="0" fontId="42" fillId="0" borderId="0" xfId="0" applyFont="1" applyBorder="1"/>
    <xf numFmtId="39" fontId="41" fillId="0" borderId="0" xfId="403" applyNumberFormat="1" applyFont="1" applyFill="1"/>
    <xf numFmtId="10" fontId="41" fillId="0" borderId="0" xfId="674" applyNumberFormat="1" applyFont="1" applyFill="1"/>
    <xf numFmtId="10" fontId="41" fillId="0" borderId="0" xfId="678" applyNumberFormat="1" applyFont="1" applyBorder="1"/>
    <xf numFmtId="43" fontId="41" fillId="0" borderId="0" xfId="0" applyNumberFormat="1" applyFont="1"/>
    <xf numFmtId="43" fontId="41" fillId="0" borderId="0" xfId="0" quotePrefix="1" applyNumberFormat="1" applyFont="1" applyFill="1"/>
    <xf numFmtId="164" fontId="61" fillId="0" borderId="0" xfId="382" applyNumberFormat="1" applyFont="1" applyFill="1"/>
    <xf numFmtId="0" fontId="61" fillId="0" borderId="0" xfId="0" applyFont="1" applyAlignment="1">
      <alignment horizontal="center"/>
    </xf>
    <xf numFmtId="164" fontId="61" fillId="0" borderId="0" xfId="382" applyNumberFormat="1" applyFont="1" applyAlignment="1">
      <alignment horizontal="center"/>
    </xf>
    <xf numFmtId="0" fontId="41" fillId="0" borderId="0" xfId="0" applyFont="1" applyAlignment="1">
      <alignment horizontal="center" wrapText="1"/>
    </xf>
    <xf numFmtId="0" fontId="61" fillId="0" borderId="0" xfId="0" quotePrefix="1" applyFont="1" applyAlignment="1">
      <alignment horizontal="center" wrapText="1"/>
    </xf>
    <xf numFmtId="0" fontId="61" fillId="0" borderId="0" xfId="0" applyFont="1" applyAlignment="1">
      <alignment horizontal="left"/>
    </xf>
    <xf numFmtId="37" fontId="61" fillId="0" borderId="0" xfId="0" applyNumberFormat="1" applyFont="1" applyAlignment="1">
      <alignment horizontal="center"/>
    </xf>
    <xf numFmtId="164" fontId="61" fillId="37" borderId="0" xfId="382" applyNumberFormat="1" applyFont="1" applyFill="1" applyAlignment="1"/>
    <xf numFmtId="37" fontId="61" fillId="0" borderId="0" xfId="0" applyNumberFormat="1" applyFont="1" applyBorder="1" applyAlignment="1">
      <alignment horizontal="center"/>
    </xf>
    <xf numFmtId="0" fontId="123" fillId="0" borderId="0" xfId="0" quotePrefix="1" applyFont="1" applyAlignment="1">
      <alignment horizontal="left" wrapText="1"/>
    </xf>
    <xf numFmtId="0" fontId="90" fillId="0" borderId="0" xfId="0" applyFont="1" applyFill="1" applyBorder="1"/>
    <xf numFmtId="0" fontId="61" fillId="0" borderId="0" xfId="474" quotePrefix="1" applyFont="1" applyAlignment="1"/>
    <xf numFmtId="0" fontId="61" fillId="0" borderId="0" xfId="11272" applyFont="1" applyAlignment="1"/>
    <xf numFmtId="43" fontId="121" fillId="0" borderId="0" xfId="0" applyNumberFormat="1" applyFont="1" applyFill="1"/>
    <xf numFmtId="43" fontId="121" fillId="0" borderId="0" xfId="382" applyFont="1" applyFill="1" applyBorder="1" applyAlignment="1">
      <alignment horizontal="center" wrapText="1"/>
    </xf>
    <xf numFmtId="17" fontId="41" fillId="0" borderId="0" xfId="0" applyNumberFormat="1" applyFont="1" applyFill="1" applyBorder="1" applyAlignment="1">
      <alignment horizontal="left" vertical="top"/>
    </xf>
    <xf numFmtId="10" fontId="41" fillId="0" borderId="0" xfId="678" applyNumberFormat="1" applyFont="1" applyBorder="1" applyAlignment="1">
      <alignment horizontal="left" vertical="top"/>
    </xf>
    <xf numFmtId="166" fontId="41" fillId="0" borderId="0" xfId="678" applyNumberFormat="1" applyFont="1" applyBorder="1" applyAlignment="1">
      <alignment horizontal="left" vertical="top"/>
    </xf>
    <xf numFmtId="43" fontId="41" fillId="0" borderId="0" xfId="403" applyNumberFormat="1" applyFont="1" applyFill="1"/>
    <xf numFmtId="0" fontId="41" fillId="0" borderId="0" xfId="564" quotePrefix="1" applyFont="1" applyFill="1" applyBorder="1" applyAlignment="1">
      <alignment horizontal="center" vertical="top"/>
    </xf>
    <xf numFmtId="164" fontId="61" fillId="0" borderId="0" xfId="382" applyNumberFormat="1" applyFont="1" applyFill="1" applyBorder="1" applyAlignment="1">
      <alignment horizontal="left"/>
    </xf>
    <xf numFmtId="164" fontId="109" fillId="0" borderId="0" xfId="382" applyNumberFormat="1" applyFont="1"/>
    <xf numFmtId="164" fontId="121" fillId="0" borderId="0" xfId="382" applyNumberFormat="1" applyFont="1" applyFill="1" applyBorder="1" applyAlignment="1"/>
    <xf numFmtId="0" fontId="61" fillId="0" borderId="0" xfId="569" applyFont="1" applyAlignment="1">
      <alignment horizontal="center"/>
    </xf>
    <xf numFmtId="164" fontId="138" fillId="0" borderId="0" xfId="382" applyNumberFormat="1" applyFont="1"/>
    <xf numFmtId="0" fontId="41" fillId="0" borderId="0" xfId="474" applyFont="1"/>
    <xf numFmtId="43" fontId="122" fillId="0" borderId="0" xfId="382" applyFont="1" applyFill="1" applyBorder="1" applyAlignment="1">
      <alignment horizontal="center" wrapText="1"/>
    </xf>
    <xf numFmtId="0" fontId="41" fillId="0" borderId="0" xfId="11267" applyFont="1" applyFill="1" applyAlignment="1">
      <alignment horizontal="left" indent="1"/>
    </xf>
    <xf numFmtId="49" fontId="41" fillId="0" borderId="0" xfId="0" applyNumberFormat="1" applyFont="1"/>
    <xf numFmtId="43" fontId="129" fillId="0" borderId="0" xfId="382" applyFont="1"/>
    <xf numFmtId="0" fontId="41" fillId="0" borderId="0" xfId="474" applyFont="1" applyBorder="1"/>
    <xf numFmtId="164" fontId="41" fillId="0" borderId="0" xfId="382" applyNumberFormat="1" applyFont="1" applyBorder="1"/>
    <xf numFmtId="164" fontId="41" fillId="0" borderId="0" xfId="474" applyNumberFormat="1" applyFont="1" applyBorder="1"/>
    <xf numFmtId="0" fontId="41" fillId="0" borderId="0" xfId="517" applyNumberFormat="1" applyFont="1" applyFill="1" applyBorder="1" applyAlignment="1">
      <alignment horizontal="center"/>
    </xf>
    <xf numFmtId="0" fontId="41" fillId="0" borderId="0" xfId="474" applyFont="1" applyBorder="1" applyAlignment="1">
      <alignment horizontal="center"/>
    </xf>
    <xf numFmtId="164" fontId="41" fillId="0" borderId="0" xfId="474" applyNumberFormat="1" applyFont="1"/>
    <xf numFmtId="0" fontId="42" fillId="0" borderId="0" xfId="474" applyFont="1" applyAlignment="1"/>
    <xf numFmtId="17" fontId="41" fillId="0" borderId="0" xfId="517" applyNumberFormat="1" applyFont="1" applyBorder="1"/>
    <xf numFmtId="0" fontId="42" fillId="0" borderId="0" xfId="474" applyFont="1"/>
    <xf numFmtId="0" fontId="41" fillId="0" borderId="0" xfId="517" applyNumberFormat="1" applyFont="1" applyFill="1" applyBorder="1" applyAlignment="1">
      <alignment horizontal="right"/>
    </xf>
    <xf numFmtId="17" fontId="41" fillId="0" borderId="0" xfId="517" applyNumberFormat="1" applyFont="1" applyBorder="1" applyAlignment="1">
      <alignment horizontal="center"/>
    </xf>
    <xf numFmtId="43" fontId="41" fillId="0" borderId="0" xfId="382" applyFont="1" applyAlignment="1">
      <alignment wrapText="1"/>
    </xf>
    <xf numFmtId="43" fontId="41" fillId="0" borderId="0" xfId="382" applyFont="1" applyAlignment="1">
      <alignment horizontal="left"/>
    </xf>
    <xf numFmtId="43" fontId="43" fillId="0" borderId="26" xfId="382" applyFont="1" applyFill="1" applyBorder="1" applyAlignment="1">
      <alignment horizontal="center"/>
    </xf>
    <xf numFmtId="49" fontId="41" fillId="0" borderId="0" xfId="0" applyNumberFormat="1" applyFont="1" applyBorder="1"/>
    <xf numFmtId="164" fontId="41" fillId="0" borderId="0" xfId="382" applyNumberFormat="1" applyFont="1" applyFill="1" applyBorder="1" applyAlignment="1">
      <alignment horizontal="left"/>
    </xf>
    <xf numFmtId="43" fontId="121" fillId="0" borderId="0" xfId="382" applyFont="1" applyFill="1" applyBorder="1" applyAlignment="1">
      <alignment horizontal="center"/>
    </xf>
    <xf numFmtId="0" fontId="41" fillId="0" borderId="0" xfId="474" applyFont="1" applyBorder="1" applyProtection="1">
      <protection locked="0"/>
    </xf>
    <xf numFmtId="164" fontId="41" fillId="0" borderId="0" xfId="382" applyNumberFormat="1" applyFont="1" applyBorder="1" applyProtection="1">
      <protection locked="0"/>
    </xf>
    <xf numFmtId="43" fontId="61" fillId="0" borderId="0" xfId="382" applyFont="1" applyAlignment="1">
      <alignment horizontal="center"/>
    </xf>
    <xf numFmtId="0" fontId="41" fillId="0" borderId="0" xfId="504" applyFont="1" applyFill="1" applyBorder="1" applyAlignment="1">
      <alignment horizontal="center" wrapText="1"/>
    </xf>
    <xf numFmtId="0" fontId="42" fillId="0" borderId="0" xfId="569" applyFont="1" applyFill="1" applyBorder="1" applyAlignment="1">
      <alignment horizontal="center" vertical="top"/>
    </xf>
    <xf numFmtId="164" fontId="41" fillId="0" borderId="0" xfId="569" applyNumberFormat="1" applyFont="1" applyFill="1" applyBorder="1" applyAlignment="1">
      <alignment horizontal="center" vertical="top"/>
    </xf>
    <xf numFmtId="0" fontId="41" fillId="0" borderId="0" xfId="569" quotePrefix="1" applyFont="1" applyFill="1" applyBorder="1" applyAlignment="1">
      <alignment horizontal="left" vertical="top"/>
    </xf>
    <xf numFmtId="0" fontId="61" fillId="0" borderId="0" xfId="569" applyFont="1" applyFill="1" applyAlignment="1">
      <alignment horizontal="center"/>
    </xf>
    <xf numFmtId="0" fontId="41" fillId="0" borderId="0" xfId="530" applyFont="1" applyAlignment="1"/>
    <xf numFmtId="0" fontId="41" fillId="0" borderId="0" xfId="530" applyFont="1" applyBorder="1" applyAlignment="1"/>
    <xf numFmtId="0" fontId="61" fillId="0" borderId="0" xfId="530" applyFont="1" applyBorder="1" applyAlignment="1"/>
    <xf numFmtId="0" fontId="61" fillId="0" borderId="18" xfId="530" applyFont="1" applyBorder="1" applyAlignment="1"/>
    <xf numFmtId="0" fontId="121" fillId="0" borderId="18" xfId="0" applyFont="1" applyBorder="1"/>
    <xf numFmtId="0" fontId="41" fillId="0" borderId="18" xfId="0" applyFont="1" applyBorder="1"/>
    <xf numFmtId="0" fontId="61" fillId="0" borderId="18" xfId="530" applyFont="1" applyBorder="1" applyAlignment="1">
      <alignment horizontal="center"/>
    </xf>
    <xf numFmtId="164" fontId="41" fillId="0" borderId="18" xfId="0" applyNumberFormat="1" applyFont="1" applyBorder="1"/>
    <xf numFmtId="164" fontId="61" fillId="37" borderId="54" xfId="382" applyNumberFormat="1" applyFont="1" applyFill="1" applyBorder="1" applyAlignment="1">
      <alignment horizontal="left"/>
    </xf>
    <xf numFmtId="164" fontId="61" fillId="37" borderId="45" xfId="382" applyNumberFormat="1" applyFont="1" applyFill="1" applyBorder="1" applyAlignment="1">
      <alignment horizontal="left"/>
    </xf>
    <xf numFmtId="0" fontId="61" fillId="0" borderId="45" xfId="530" applyFont="1" applyBorder="1" applyAlignment="1">
      <alignment horizontal="center"/>
    </xf>
    <xf numFmtId="0" fontId="41" fillId="0" borderId="0" xfId="533" applyFont="1"/>
    <xf numFmtId="0" fontId="41" fillId="0" borderId="11" xfId="0" applyFont="1" applyFill="1" applyBorder="1"/>
    <xf numFmtId="0" fontId="41" fillId="0" borderId="0" xfId="0" applyFont="1" applyFill="1" applyBorder="1" applyAlignment="1">
      <alignment horizontal="center" wrapText="1"/>
    </xf>
    <xf numFmtId="0" fontId="41" fillId="0" borderId="0" xfId="0" applyFont="1" applyFill="1" applyAlignment="1">
      <alignment horizontal="center" vertical="top"/>
    </xf>
    <xf numFmtId="0" fontId="41" fillId="0" borderId="0" xfId="0" applyFont="1" applyFill="1" applyAlignment="1">
      <alignment vertical="top"/>
    </xf>
    <xf numFmtId="164" fontId="41" fillId="0" borderId="18" xfId="382" applyNumberFormat="1" applyFont="1" applyFill="1" applyBorder="1"/>
    <xf numFmtId="164" fontId="41" fillId="0" borderId="18" xfId="382" applyNumberFormat="1" applyFont="1" applyBorder="1"/>
    <xf numFmtId="164" fontId="53" fillId="0" borderId="0" xfId="382" applyNumberFormat="1" applyFont="1" applyFill="1" applyBorder="1" applyAlignment="1">
      <alignment horizontal="center"/>
    </xf>
    <xf numFmtId="164" fontId="42" fillId="0" borderId="0" xfId="403" applyNumberFormat="1" applyFont="1" applyFill="1" applyAlignment="1"/>
    <xf numFmtId="164" fontId="42" fillId="0" borderId="0" xfId="504" applyNumberFormat="1" applyFont="1"/>
    <xf numFmtId="0" fontId="42" fillId="0" borderId="0" xfId="504" applyFont="1" applyBorder="1"/>
    <xf numFmtId="0" fontId="65" fillId="0" borderId="0" xfId="0" applyFont="1" applyFill="1" applyBorder="1"/>
    <xf numFmtId="0" fontId="25" fillId="0" borderId="0" xfId="496" applyFont="1"/>
    <xf numFmtId="0" fontId="41" fillId="0" borderId="0" xfId="504" applyFont="1" applyAlignment="1">
      <alignment vertical="center"/>
    </xf>
    <xf numFmtId="0" fontId="41" fillId="0" borderId="0" xfId="504" applyFont="1" applyAlignment="1">
      <alignment horizontal="center" vertical="center"/>
    </xf>
    <xf numFmtId="0" fontId="41" fillId="0" borderId="0" xfId="0" applyFont="1" applyFill="1" applyAlignment="1">
      <alignment horizontal="left" indent="1"/>
    </xf>
    <xf numFmtId="164" fontId="41" fillId="0" borderId="6" xfId="403" applyNumberFormat="1" applyFont="1" applyFill="1" applyBorder="1" applyAlignment="1"/>
    <xf numFmtId="0" fontId="25" fillId="0" borderId="0" xfId="496" applyFont="1" applyAlignment="1">
      <alignment horizontal="center"/>
    </xf>
    <xf numFmtId="43" fontId="41" fillId="0" borderId="18" xfId="382" applyFont="1" applyFill="1" applyBorder="1" applyAlignment="1">
      <alignment horizontal="center" wrapText="1"/>
    </xf>
    <xf numFmtId="0" fontId="43" fillId="0" borderId="19" xfId="0" applyNumberFormat="1" applyFont="1" applyBorder="1" applyAlignment="1">
      <alignment horizontal="center"/>
    </xf>
    <xf numFmtId="0" fontId="45" fillId="0" borderId="5" xfId="0" applyNumberFormat="1" applyFont="1" applyBorder="1" applyAlignment="1">
      <alignment horizontal="center"/>
    </xf>
    <xf numFmtId="0" fontId="43" fillId="0" borderId="5" xfId="0" applyNumberFormat="1" applyFont="1" applyFill="1" applyBorder="1" applyAlignment="1"/>
    <xf numFmtId="0" fontId="43" fillId="0" borderId="5" xfId="0" applyFont="1" applyFill="1" applyBorder="1" applyAlignment="1"/>
    <xf numFmtId="0" fontId="43" fillId="0" borderId="18" xfId="0" applyFont="1" applyFill="1" applyBorder="1" applyAlignment="1"/>
    <xf numFmtId="3" fontId="43" fillId="0" borderId="0" xfId="0" applyNumberFormat="1" applyFont="1" applyFill="1" applyBorder="1" applyAlignment="1">
      <alignment horizontal="center"/>
    </xf>
    <xf numFmtId="0" fontId="43" fillId="0" borderId="5" xfId="0" applyNumberFormat="1" applyFont="1" applyBorder="1" applyAlignment="1">
      <alignment horizontal="left"/>
    </xf>
    <xf numFmtId="0" fontId="43" fillId="0" borderId="5" xfId="0" applyFont="1" applyFill="1" applyBorder="1"/>
    <xf numFmtId="0" fontId="43" fillId="0" borderId="5" xfId="0" applyFont="1" applyBorder="1" applyAlignment="1">
      <alignment horizontal="center"/>
    </xf>
    <xf numFmtId="0" fontId="48" fillId="0" borderId="0" xfId="0" applyFont="1" applyFill="1" applyBorder="1" applyAlignment="1"/>
    <xf numFmtId="164" fontId="45" fillId="0" borderId="0" xfId="382" applyNumberFormat="1" applyFont="1" applyFill="1"/>
    <xf numFmtId="10" fontId="45" fillId="0" borderId="0" xfId="674" applyNumberFormat="1" applyFont="1" applyFill="1"/>
    <xf numFmtId="164" fontId="42" fillId="0" borderId="0" xfId="382" applyNumberFormat="1" applyFont="1" applyFill="1" applyAlignment="1">
      <alignment horizontal="center"/>
    </xf>
    <xf numFmtId="164" fontId="41" fillId="0" borderId="0" xfId="382" applyNumberFormat="1" applyFont="1" applyFill="1" applyAlignment="1">
      <alignment horizontal="right" wrapText="1"/>
    </xf>
    <xf numFmtId="164" fontId="41" fillId="0" borderId="0" xfId="382" quotePrefix="1" applyNumberFormat="1" applyFont="1" applyFill="1" applyBorder="1" applyAlignment="1">
      <alignment horizontal="center" vertical="top"/>
    </xf>
    <xf numFmtId="164" fontId="42" fillId="0" borderId="0" xfId="382" applyNumberFormat="1" applyFont="1" applyFill="1" applyBorder="1" applyAlignment="1">
      <alignment horizontal="center" vertical="top"/>
    </xf>
    <xf numFmtId="164" fontId="43" fillId="0" borderId="27" xfId="382" applyNumberFormat="1" applyFont="1" applyFill="1" applyBorder="1"/>
    <xf numFmtId="164" fontId="25" fillId="0" borderId="0" xfId="382" applyNumberFormat="1" applyFont="1" applyAlignment="1">
      <alignment horizontal="center"/>
    </xf>
    <xf numFmtId="0" fontId="41" fillId="0" borderId="0" xfId="0" applyFont="1" applyFill="1" applyAlignment="1">
      <alignment horizontal="center" vertical="center"/>
    </xf>
    <xf numFmtId="166" fontId="41" fillId="0" borderId="0" xfId="0" applyNumberFormat="1" applyFont="1" applyAlignment="1">
      <alignment horizontal="center" vertical="center"/>
    </xf>
    <xf numFmtId="39" fontId="41" fillId="0" borderId="0" xfId="403" applyNumberFormat="1" applyFont="1" applyAlignment="1">
      <alignment horizontal="center" vertical="center"/>
    </xf>
    <xf numFmtId="0" fontId="124" fillId="0" borderId="0" xfId="0" applyFont="1" applyAlignment="1"/>
    <xf numFmtId="0" fontId="124" fillId="0" borderId="0" xfId="504" applyFont="1" applyAlignment="1">
      <alignment horizontal="left"/>
    </xf>
    <xf numFmtId="0" fontId="41" fillId="0" borderId="0" xfId="504" applyFont="1" applyFill="1" applyBorder="1" applyAlignment="1"/>
    <xf numFmtId="185" fontId="41" fillId="0" borderId="0" xfId="474" applyNumberFormat="1" applyFont="1" applyAlignment="1" applyProtection="1">
      <alignment horizontal="center"/>
      <protection locked="0"/>
    </xf>
    <xf numFmtId="164" fontId="61" fillId="0" borderId="18" xfId="382" applyNumberFormat="1" applyFont="1" applyFill="1" applyBorder="1"/>
    <xf numFmtId="0" fontId="61" fillId="0" borderId="0" xfId="569" applyFont="1" applyBorder="1"/>
    <xf numFmtId="164" fontId="41" fillId="0" borderId="4" xfId="382" applyNumberFormat="1" applyFont="1" applyFill="1" applyBorder="1" applyAlignment="1">
      <alignment horizontal="center"/>
    </xf>
    <xf numFmtId="43" fontId="61" fillId="0" borderId="21" xfId="382" applyFont="1" applyFill="1" applyBorder="1" applyAlignment="1">
      <alignment horizontal="center"/>
    </xf>
    <xf numFmtId="164" fontId="61" fillId="0" borderId="54" xfId="382" applyNumberFormat="1" applyFont="1" applyFill="1" applyBorder="1" applyAlignment="1">
      <alignment horizontal="left"/>
    </xf>
    <xf numFmtId="164" fontId="61" fillId="0" borderId="35" xfId="382" applyNumberFormat="1" applyFont="1" applyFill="1" applyBorder="1" applyAlignment="1">
      <alignment horizontal="left"/>
    </xf>
    <xf numFmtId="0" fontId="41" fillId="0" borderId="0" xfId="0" applyFont="1" applyAlignment="1">
      <alignment vertical="center" wrapText="1"/>
    </xf>
    <xf numFmtId="0" fontId="42" fillId="0" borderId="0" xfId="569" applyFont="1" applyFill="1" applyBorder="1" applyAlignment="1">
      <alignment vertical="top"/>
    </xf>
    <xf numFmtId="0" fontId="41" fillId="0" borderId="0" xfId="504" applyFont="1" applyBorder="1" applyAlignment="1">
      <alignment horizontal="center" wrapText="1"/>
    </xf>
    <xf numFmtId="0" fontId="41" fillId="0" borderId="0" xfId="504" applyFont="1" applyAlignment="1">
      <alignment horizontal="center" wrapText="1"/>
    </xf>
    <xf numFmtId="0" fontId="61" fillId="0" borderId="0" xfId="511" applyFont="1"/>
    <xf numFmtId="43" fontId="129" fillId="0" borderId="0" xfId="382" applyFont="1" applyFill="1" applyAlignment="1">
      <alignment horizontal="center"/>
    </xf>
    <xf numFmtId="0" fontId="61" fillId="0" borderId="0" xfId="511" applyFont="1" applyAlignment="1">
      <alignment horizontal="center"/>
    </xf>
    <xf numFmtId="0" fontId="61" fillId="0" borderId="0" xfId="0" applyFont="1" applyFill="1" applyAlignment="1"/>
    <xf numFmtId="0" fontId="41" fillId="0" borderId="0" xfId="484" applyFont="1" applyFill="1" applyAlignment="1">
      <alignment horizontal="left" vertical="top" indent="2"/>
    </xf>
    <xf numFmtId="0" fontId="41" fillId="0" borderId="0" xfId="484" applyFont="1" applyFill="1" applyBorder="1" applyAlignment="1">
      <alignment vertical="top"/>
    </xf>
    <xf numFmtId="41" fontId="41" fillId="0" borderId="0" xfId="484" applyNumberFormat="1" applyFont="1" applyBorder="1" applyAlignment="1">
      <alignment vertical="top"/>
    </xf>
    <xf numFmtId="0" fontId="41" fillId="0" borderId="0" xfId="484" applyFont="1" applyFill="1" applyBorder="1" applyAlignment="1">
      <alignment horizontal="center" vertical="top"/>
    </xf>
    <xf numFmtId="0" fontId="41" fillId="0" borderId="0" xfId="504" applyFont="1" applyBorder="1" applyAlignment="1">
      <alignment horizontal="left" indent="1"/>
    </xf>
    <xf numFmtId="0" fontId="41" fillId="0" borderId="0" xfId="504" applyNumberFormat="1" applyFont="1" applyFill="1" applyBorder="1" applyAlignment="1">
      <alignment horizontal="left" indent="1"/>
    </xf>
    <xf numFmtId="0" fontId="42" fillId="0" borderId="0" xfId="0" applyFont="1" applyAlignment="1">
      <alignment horizontal="center"/>
    </xf>
    <xf numFmtId="0" fontId="42" fillId="0" borderId="0" xfId="0" applyNumberFormat="1" applyFont="1" applyFill="1" applyBorder="1" applyAlignment="1"/>
    <xf numFmtId="43" fontId="41" fillId="0" borderId="0" xfId="382" applyFont="1" applyFill="1" applyBorder="1" applyAlignment="1">
      <alignment horizontal="center" wrapText="1"/>
    </xf>
    <xf numFmtId="43" fontId="61" fillId="0" borderId="0" xfId="425" applyFont="1"/>
    <xf numFmtId="0" fontId="42" fillId="50" borderId="6" xfId="0" applyFont="1" applyFill="1" applyBorder="1" applyAlignment="1"/>
    <xf numFmtId="0" fontId="41" fillId="50" borderId="6" xfId="0" applyFont="1" applyFill="1" applyBorder="1" applyAlignment="1"/>
    <xf numFmtId="0" fontId="42" fillId="50" borderId="6" xfId="0" applyNumberFormat="1" applyFont="1" applyFill="1" applyBorder="1" applyAlignment="1">
      <alignment horizontal="center"/>
    </xf>
    <xf numFmtId="0" fontId="42" fillId="50" borderId="4" xfId="0" applyFont="1" applyFill="1" applyBorder="1" applyAlignment="1">
      <alignment horizontal="left"/>
    </xf>
    <xf numFmtId="0" fontId="41" fillId="50" borderId="6" xfId="0" applyFont="1" applyFill="1" applyBorder="1"/>
    <xf numFmtId="0" fontId="41" fillId="50" borderId="6" xfId="0" applyFont="1" applyFill="1" applyBorder="1" applyAlignment="1">
      <alignment horizontal="center" wrapText="1"/>
    </xf>
    <xf numFmtId="43" fontId="122" fillId="0" borderId="35" xfId="382" applyFont="1" applyFill="1" applyBorder="1" applyAlignment="1">
      <alignment horizontal="center" wrapText="1"/>
    </xf>
    <xf numFmtId="0" fontId="59" fillId="0" borderId="35" xfId="0" applyFont="1" applyFill="1" applyBorder="1"/>
    <xf numFmtId="43" fontId="122" fillId="0" borderId="54" xfId="382" applyFont="1" applyFill="1" applyBorder="1" applyAlignment="1">
      <alignment horizontal="center" wrapText="1"/>
    </xf>
    <xf numFmtId="0" fontId="41" fillId="0" borderId="0" xfId="504" applyFont="1" applyFill="1" applyAlignment="1">
      <alignment horizontal="left" indent="1"/>
    </xf>
    <xf numFmtId="0" fontId="41" fillId="0" borderId="0" xfId="504" applyNumberFormat="1" applyFont="1" applyFill="1" applyBorder="1" applyAlignment="1">
      <alignment horizontal="left" indent="2"/>
    </xf>
    <xf numFmtId="0" fontId="45" fillId="0" borderId="16" xfId="0" applyNumberFormat="1" applyFont="1" applyFill="1" applyBorder="1" applyAlignment="1">
      <alignment horizontal="left"/>
    </xf>
    <xf numFmtId="164" fontId="45" fillId="0" borderId="26" xfId="382" applyNumberFormat="1" applyFont="1" applyFill="1" applyBorder="1" applyAlignment="1">
      <alignment horizontal="right"/>
    </xf>
    <xf numFmtId="0" fontId="61" fillId="0" borderId="4" xfId="530" applyFont="1" applyBorder="1" applyAlignment="1">
      <alignment horizontal="center"/>
    </xf>
    <xf numFmtId="164" fontId="61" fillId="37" borderId="43" xfId="382" applyNumberFormat="1" applyFont="1" applyFill="1" applyBorder="1" applyAlignment="1">
      <alignment horizontal="left"/>
    </xf>
    <xf numFmtId="0" fontId="121" fillId="0" borderId="45" xfId="0" applyFont="1" applyBorder="1"/>
    <xf numFmtId="0" fontId="61" fillId="0" borderId="6" xfId="530" applyFont="1" applyBorder="1" applyAlignment="1">
      <alignment horizontal="center"/>
    </xf>
    <xf numFmtId="0" fontId="61" fillId="0" borderId="21" xfId="530" applyFont="1" applyBorder="1" applyAlignment="1">
      <alignment horizontal="center"/>
    </xf>
    <xf numFmtId="43" fontId="41" fillId="0" borderId="0" xfId="382" applyFont="1" applyBorder="1" applyAlignment="1">
      <alignment horizontal="center" wrapText="1"/>
    </xf>
    <xf numFmtId="43" fontId="41" fillId="0" borderId="0" xfId="382" applyFont="1" applyAlignment="1">
      <alignment horizontal="center" wrapText="1"/>
    </xf>
    <xf numFmtId="0" fontId="90" fillId="0" borderId="0" xfId="0" applyFont="1" applyAlignment="1">
      <alignment horizontal="left"/>
    </xf>
    <xf numFmtId="43" fontId="41" fillId="0" borderId="0" xfId="382" applyFont="1" applyFill="1" applyBorder="1" applyAlignment="1">
      <alignment horizontal="left"/>
    </xf>
    <xf numFmtId="43" fontId="41" fillId="0" borderId="0" xfId="382" applyFont="1" applyBorder="1" applyAlignment="1">
      <alignment horizontal="left"/>
    </xf>
    <xf numFmtId="0" fontId="41" fillId="0" borderId="0" xfId="474" applyFont="1" applyFill="1" applyBorder="1" applyAlignment="1">
      <alignment horizontal="center"/>
    </xf>
    <xf numFmtId="0" fontId="41" fillId="0" borderId="0" xfId="533" applyFont="1" applyAlignment="1">
      <alignment horizontal="center"/>
    </xf>
    <xf numFmtId="0" fontId="41" fillId="0" borderId="0" xfId="484" applyFont="1" applyFill="1" applyAlignment="1">
      <alignment horizontal="left" vertical="top"/>
    </xf>
    <xf numFmtId="41" fontId="41" fillId="0" borderId="17" xfId="484" applyNumberFormat="1" applyFont="1" applyFill="1" applyBorder="1" applyAlignment="1">
      <alignment vertical="top"/>
    </xf>
    <xf numFmtId="0" fontId="61" fillId="0" borderId="0" xfId="0" quotePrefix="1" applyFont="1" applyAlignment="1">
      <alignment horizontal="center"/>
    </xf>
    <xf numFmtId="0" fontId="42" fillId="0" borderId="0" xfId="0" applyFont="1" applyFill="1" applyBorder="1" applyAlignment="1"/>
    <xf numFmtId="0" fontId="42" fillId="0" borderId="0" xfId="0" applyNumberFormat="1" applyFont="1" applyFill="1" applyBorder="1" applyAlignment="1">
      <alignment horizontal="center"/>
    </xf>
    <xf numFmtId="164" fontId="25" fillId="0" borderId="17" xfId="382" applyNumberFormat="1" applyFont="1" applyBorder="1"/>
    <xf numFmtId="0" fontId="61" fillId="0" borderId="18" xfId="0" applyFont="1" applyBorder="1" applyAlignment="1">
      <alignment horizontal="left"/>
    </xf>
    <xf numFmtId="164" fontId="61" fillId="37" borderId="18" xfId="382" applyNumberFormat="1" applyFont="1" applyFill="1" applyBorder="1" applyAlignment="1"/>
    <xf numFmtId="164" fontId="45" fillId="0" borderId="26" xfId="382" applyNumberFormat="1" applyFont="1" applyFill="1" applyBorder="1"/>
    <xf numFmtId="164" fontId="45" fillId="0" borderId="30" xfId="382" applyNumberFormat="1" applyFont="1" applyFill="1" applyBorder="1" applyAlignment="1">
      <alignment horizontal="right"/>
    </xf>
    <xf numFmtId="164" fontId="43" fillId="0" borderId="26" xfId="382" applyNumberFormat="1" applyFont="1" applyFill="1" applyBorder="1"/>
    <xf numFmtId="164" fontId="43" fillId="0" borderId="26" xfId="382" applyNumberFormat="1" applyFont="1" applyFill="1" applyBorder="1" applyAlignment="1">
      <alignment horizontal="right"/>
    </xf>
    <xf numFmtId="164" fontId="45" fillId="0" borderId="26" xfId="382" applyNumberFormat="1" applyFont="1" applyBorder="1"/>
    <xf numFmtId="164" fontId="43" fillId="0" borderId="27" xfId="382" applyNumberFormat="1" applyFont="1" applyBorder="1"/>
    <xf numFmtId="164" fontId="45" fillId="50" borderId="21" xfId="382" applyNumberFormat="1" applyFont="1" applyFill="1" applyBorder="1" applyAlignment="1">
      <alignment horizontal="center" wrapText="1"/>
    </xf>
    <xf numFmtId="164" fontId="45" fillId="0" borderId="26" xfId="382" applyNumberFormat="1" applyFont="1" applyFill="1" applyBorder="1" applyAlignment="1">
      <alignment horizontal="center" wrapText="1"/>
    </xf>
    <xf numFmtId="164" fontId="45" fillId="0" borderId="26" xfId="382" applyNumberFormat="1" applyFont="1" applyBorder="1" applyAlignment="1"/>
    <xf numFmtId="164" fontId="45" fillId="0" borderId="30" xfId="382" applyNumberFormat="1" applyFont="1" applyFill="1" applyBorder="1" applyAlignment="1"/>
    <xf numFmtId="164" fontId="47" fillId="0" borderId="26" xfId="382" applyNumberFormat="1" applyFont="1" applyFill="1" applyBorder="1" applyAlignment="1">
      <alignment horizontal="right"/>
    </xf>
    <xf numFmtId="164" fontId="43" fillId="0" borderId="27" xfId="382" applyNumberFormat="1" applyFont="1" applyFill="1" applyBorder="1" applyAlignment="1"/>
    <xf numFmtId="164" fontId="45" fillId="37" borderId="30" xfId="382" applyNumberFormat="1" applyFont="1" applyFill="1" applyBorder="1" applyAlignment="1">
      <alignment horizontal="right"/>
    </xf>
    <xf numFmtId="164" fontId="45" fillId="37" borderId="26" xfId="382" applyNumberFormat="1" applyFont="1" applyFill="1" applyBorder="1" applyAlignment="1">
      <alignment horizontal="right"/>
    </xf>
    <xf numFmtId="164" fontId="43" fillId="0" borderId="26" xfId="382" applyNumberFormat="1" applyFont="1" applyBorder="1" applyAlignment="1"/>
    <xf numFmtId="164" fontId="45" fillId="0" borderId="28" xfId="382" applyNumberFormat="1" applyFont="1" applyFill="1" applyBorder="1" applyAlignment="1">
      <alignment horizontal="right"/>
    </xf>
    <xf numFmtId="164" fontId="45" fillId="0" borderId="26" xfId="382" applyNumberFormat="1" applyFont="1" applyBorder="1" applyAlignment="1">
      <alignment horizontal="right"/>
    </xf>
    <xf numFmtId="164" fontId="43" fillId="0" borderId="28" xfId="382" applyNumberFormat="1" applyFont="1" applyBorder="1"/>
    <xf numFmtId="164" fontId="43" fillId="0" borderId="26" xfId="382" applyNumberFormat="1" applyFont="1" applyBorder="1"/>
    <xf numFmtId="164" fontId="43" fillId="0" borderId="29" xfId="382" applyNumberFormat="1" applyFont="1" applyFill="1" applyBorder="1"/>
    <xf numFmtId="164" fontId="43" fillId="0" borderId="33" xfId="382" applyNumberFormat="1" applyFont="1" applyBorder="1" applyAlignment="1"/>
    <xf numFmtId="164" fontId="45" fillId="0" borderId="35" xfId="382" applyNumberFormat="1" applyFont="1" applyBorder="1"/>
    <xf numFmtId="164" fontId="43" fillId="0" borderId="35" xfId="382" applyNumberFormat="1" applyFont="1" applyBorder="1"/>
    <xf numFmtId="0" fontId="45" fillId="0" borderId="47" xfId="0" applyNumberFormat="1" applyFont="1" applyBorder="1" applyAlignment="1">
      <alignment horizontal="left"/>
    </xf>
    <xf numFmtId="0" fontId="41" fillId="0" borderId="0" xfId="504" quotePrefix="1" applyFont="1" applyFill="1" applyBorder="1"/>
    <xf numFmtId="164" fontId="129" fillId="0" borderId="0" xfId="382" applyNumberFormat="1" applyFont="1" applyFill="1"/>
    <xf numFmtId="3" fontId="45" fillId="0" borderId="37" xfId="0" quotePrefix="1" applyNumberFormat="1" applyFont="1" applyFill="1" applyBorder="1" applyAlignment="1">
      <alignment horizontal="left"/>
    </xf>
    <xf numFmtId="171" fontId="45" fillId="0" borderId="30" xfId="674" applyNumberFormat="1" applyFont="1" applyFill="1" applyBorder="1" applyAlignment="1">
      <alignment horizontal="right"/>
    </xf>
    <xf numFmtId="0" fontId="71" fillId="0" borderId="0" xfId="11272" applyFont="1" applyAlignment="1">
      <alignment horizontal="center"/>
    </xf>
    <xf numFmtId="0" fontId="41" fillId="0" borderId="0" xfId="11272" applyAlignment="1">
      <alignment horizontal="center" vertical="top"/>
    </xf>
    <xf numFmtId="0" fontId="0" fillId="0" borderId="0" xfId="0" applyAlignment="1">
      <alignment vertical="top"/>
    </xf>
    <xf numFmtId="164" fontId="66" fillId="0" borderId="26" xfId="382" applyNumberFormat="1" applyFont="1" applyFill="1" applyBorder="1"/>
    <xf numFmtId="3" fontId="139" fillId="0" borderId="0" xfId="11265" quotePrefix="1" applyNumberFormat="1" applyFont="1" applyFill="1" applyAlignment="1">
      <alignment horizontal="left"/>
    </xf>
    <xf numFmtId="177" fontId="41" fillId="0" borderId="0" xfId="0" applyNumberFormat="1" applyFont="1" applyBorder="1" applyAlignment="1">
      <alignment horizontal="center" wrapText="1"/>
    </xf>
    <xf numFmtId="0" fontId="41" fillId="0" borderId="0" xfId="0" applyNumberFormat="1" applyFont="1" applyBorder="1"/>
    <xf numFmtId="0" fontId="41" fillId="0" borderId="0" xfId="0" applyFont="1" applyBorder="1" applyAlignment="1">
      <alignment horizontal="center"/>
    </xf>
    <xf numFmtId="0" fontId="41" fillId="0" borderId="0" xfId="0" applyFont="1" applyBorder="1" applyAlignment="1">
      <alignment vertical="top"/>
    </xf>
    <xf numFmtId="0" fontId="45" fillId="0" borderId="0" xfId="0" applyNumberFormat="1" applyFont="1" applyFill="1" applyBorder="1" applyAlignment="1">
      <alignment wrapText="1"/>
    </xf>
    <xf numFmtId="0" fontId="41" fillId="0" borderId="0" xfId="0" applyFont="1" applyAlignment="1">
      <alignment horizontal="center" vertical="top"/>
    </xf>
    <xf numFmtId="0" fontId="42" fillId="0" borderId="0" xfId="564" quotePrefix="1" applyFont="1" applyFill="1" applyBorder="1" applyAlignment="1">
      <alignment horizontal="center" vertical="top"/>
    </xf>
    <xf numFmtId="0" fontId="41" fillId="0" borderId="0" xfId="504" applyFont="1" applyAlignment="1">
      <alignment horizontal="left"/>
    </xf>
    <xf numFmtId="0" fontId="41" fillId="50" borderId="21" xfId="0" applyFont="1" applyFill="1" applyBorder="1" applyAlignment="1">
      <alignment horizontal="left" wrapText="1"/>
    </xf>
    <xf numFmtId="0" fontId="41" fillId="0" borderId="18" xfId="504" applyFont="1" applyBorder="1" applyAlignment="1">
      <alignment horizontal="left"/>
    </xf>
    <xf numFmtId="0" fontId="42" fillId="0" borderId="0" xfId="504" applyFont="1" applyAlignment="1">
      <alignment horizontal="left"/>
    </xf>
    <xf numFmtId="0" fontId="50" fillId="0" borderId="0" xfId="0" applyFont="1" applyBorder="1" applyAlignment="1">
      <alignment horizontal="left"/>
    </xf>
    <xf numFmtId="0" fontId="41" fillId="0" borderId="0" xfId="504" applyFont="1" applyBorder="1" applyAlignment="1">
      <alignment horizontal="left" wrapText="1"/>
    </xf>
    <xf numFmtId="0" fontId="41" fillId="50" borderId="6" xfId="0" applyFont="1" applyFill="1" applyBorder="1" applyAlignment="1">
      <alignment horizontal="left" wrapText="1"/>
    </xf>
    <xf numFmtId="0" fontId="41" fillId="0" borderId="0" xfId="0" applyFont="1" applyAlignment="1">
      <alignment horizontal="left"/>
    </xf>
    <xf numFmtId="0" fontId="41" fillId="0" borderId="0" xfId="0" applyFont="1" applyFill="1" applyBorder="1" applyAlignment="1">
      <alignment horizontal="left" wrapText="1"/>
    </xf>
    <xf numFmtId="3" fontId="41" fillId="0" borderId="0" xfId="0" applyNumberFormat="1" applyFont="1" applyFill="1" applyBorder="1" applyAlignment="1">
      <alignment horizontal="left" indent="1"/>
    </xf>
    <xf numFmtId="164" fontId="121" fillId="0" borderId="44" xfId="382" applyNumberFormat="1" applyFont="1" applyFill="1" applyBorder="1" applyAlignment="1"/>
    <xf numFmtId="164" fontId="121" fillId="0" borderId="35" xfId="382" applyNumberFormat="1" applyFont="1" applyFill="1" applyBorder="1" applyAlignment="1"/>
    <xf numFmtId="0" fontId="41" fillId="0" borderId="0" xfId="504" applyFont="1" applyFill="1" applyBorder="1" applyAlignment="1">
      <alignment horizontal="center" vertical="top"/>
    </xf>
    <xf numFmtId="164" fontId="41" fillId="0" borderId="0" xfId="13644" applyNumberFormat="1" applyFont="1"/>
    <xf numFmtId="164" fontId="41" fillId="0" borderId="17" xfId="382" applyNumberFormat="1" applyFont="1" applyBorder="1"/>
    <xf numFmtId="43" fontId="41" fillId="0" borderId="0" xfId="382" applyFont="1" applyFill="1" applyAlignment="1">
      <alignment horizontal="center" wrapText="1"/>
    </xf>
    <xf numFmtId="0" fontId="45" fillId="0" borderId="0" xfId="0" applyFont="1" applyAlignment="1">
      <alignment vertical="top"/>
    </xf>
    <xf numFmtId="164" fontId="139" fillId="0" borderId="0" xfId="382" applyNumberFormat="1" applyFont="1" applyFill="1" applyBorder="1" applyAlignment="1">
      <alignment vertical="top"/>
    </xf>
    <xf numFmtId="43" fontId="41" fillId="0" borderId="0" xfId="382" applyFont="1" applyFill="1" applyBorder="1" applyAlignment="1">
      <alignment horizontal="center"/>
    </xf>
    <xf numFmtId="10" fontId="45" fillId="37" borderId="26" xfId="0" applyNumberFormat="1" applyFont="1" applyFill="1" applyBorder="1" applyAlignment="1"/>
    <xf numFmtId="0" fontId="41" fillId="0" borderId="0" xfId="504" quotePrefix="1" applyFont="1" applyAlignment="1">
      <alignment horizontal="center"/>
    </xf>
    <xf numFmtId="176" fontId="41" fillId="0" borderId="18" xfId="0" applyNumberFormat="1" applyFont="1" applyBorder="1" applyAlignment="1">
      <alignment horizontal="center" wrapText="1"/>
    </xf>
    <xf numFmtId="0" fontId="124" fillId="0" borderId="0" xfId="504" applyFont="1"/>
    <xf numFmtId="164" fontId="41" fillId="37" borderId="0" xfId="404" applyNumberFormat="1" applyFont="1" applyFill="1" applyBorder="1"/>
    <xf numFmtId="164" fontId="41" fillId="37" borderId="0" xfId="382" applyNumberFormat="1" applyFont="1" applyFill="1" applyBorder="1" applyAlignment="1">
      <alignment horizontal="right"/>
    </xf>
    <xf numFmtId="0" fontId="124" fillId="0" borderId="0" xfId="0" applyFont="1" applyBorder="1" applyAlignment="1">
      <alignment vertical="top"/>
    </xf>
    <xf numFmtId="164" fontId="121" fillId="37" borderId="0" xfId="382" applyNumberFormat="1" applyFont="1" applyFill="1"/>
    <xf numFmtId="164" fontId="45" fillId="37" borderId="30" xfId="382" applyNumberFormat="1" applyFont="1" applyFill="1" applyBorder="1" applyAlignment="1"/>
    <xf numFmtId="0" fontId="42" fillId="0" borderId="0" xfId="504" applyFont="1" applyBorder="1" applyAlignment="1">
      <alignment horizontal="left" indent="2"/>
    </xf>
    <xf numFmtId="0" fontId="42" fillId="0" borderId="0" xfId="0" applyNumberFormat="1" applyFont="1" applyFill="1" applyBorder="1" applyAlignment="1">
      <alignment horizontal="left"/>
    </xf>
    <xf numFmtId="0" fontId="41" fillId="0" borderId="0" xfId="517" applyFont="1" applyBorder="1" applyAlignment="1">
      <alignment horizontal="center" vertical="center"/>
    </xf>
    <xf numFmtId="0" fontId="41" fillId="0" borderId="0" xfId="474" applyFont="1" applyAlignment="1">
      <alignment vertical="center"/>
    </xf>
    <xf numFmtId="0" fontId="41" fillId="0" borderId="0" xfId="0" applyFont="1" applyFill="1" applyBorder="1" applyAlignment="1">
      <alignment wrapText="1"/>
    </xf>
    <xf numFmtId="37" fontId="41" fillId="0" borderId="0" xfId="0" applyNumberFormat="1" applyFont="1" applyFill="1" applyBorder="1" applyAlignment="1">
      <alignment wrapText="1"/>
    </xf>
    <xf numFmtId="37" fontId="41" fillId="0" borderId="0" xfId="0" applyNumberFormat="1" applyFont="1" applyFill="1" applyBorder="1" applyAlignment="1">
      <alignment horizontal="left" wrapText="1"/>
    </xf>
    <xf numFmtId="0" fontId="45" fillId="51" borderId="0" xfId="0" applyFont="1" applyFill="1"/>
    <xf numFmtId="0" fontId="109" fillId="0" borderId="0" xfId="35689" applyFont="1" applyFill="1"/>
    <xf numFmtId="0" fontId="109" fillId="0" borderId="0" xfId="496" applyFont="1" applyFill="1"/>
    <xf numFmtId="0" fontId="41" fillId="0" borderId="0" xfId="530" applyFont="1" applyAlignment="1">
      <alignment horizontal="left"/>
    </xf>
    <xf numFmtId="0" fontId="61" fillId="0" borderId="0" xfId="11275" applyFont="1" applyAlignment="1">
      <alignment horizontal="left"/>
    </xf>
    <xf numFmtId="43" fontId="61" fillId="0" borderId="0" xfId="0" applyNumberFormat="1" applyFont="1" applyFill="1" applyAlignment="1">
      <alignment horizontal="left"/>
    </xf>
    <xf numFmtId="43" fontId="61" fillId="0" borderId="0" xfId="511" applyNumberFormat="1" applyFont="1" applyAlignment="1">
      <alignment horizontal="left"/>
    </xf>
    <xf numFmtId="43" fontId="41" fillId="0" borderId="0" xfId="484" applyNumberFormat="1" applyFont="1" applyAlignment="1">
      <alignment horizontal="left" vertical="top"/>
    </xf>
    <xf numFmtId="43" fontId="61" fillId="0" borderId="0" xfId="425" applyNumberFormat="1" applyFont="1" applyAlignment="1">
      <alignment horizontal="left"/>
    </xf>
    <xf numFmtId="43" fontId="61" fillId="0" borderId="0" xfId="511" quotePrefix="1" applyNumberFormat="1" applyFont="1" applyAlignment="1">
      <alignment horizontal="left" vertical="top"/>
    </xf>
    <xf numFmtId="164" fontId="45" fillId="0" borderId="37" xfId="382" applyNumberFormat="1" applyFont="1" applyFill="1" applyBorder="1"/>
    <xf numFmtId="164" fontId="45" fillId="0" borderId="35" xfId="382" applyNumberFormat="1" applyFont="1" applyFill="1" applyBorder="1" applyAlignment="1"/>
    <xf numFmtId="0" fontId="142" fillId="0" borderId="0" xfId="0" applyFont="1"/>
    <xf numFmtId="0" fontId="42" fillId="0" borderId="16" xfId="0" applyFont="1" applyBorder="1" applyAlignment="1">
      <alignment horizontal="left" indent="1"/>
    </xf>
    <xf numFmtId="0" fontId="128" fillId="0" borderId="0" xfId="0" applyFont="1" applyAlignment="1">
      <alignment horizontal="left"/>
    </xf>
    <xf numFmtId="0" fontId="128" fillId="0" borderId="0" xfId="0" applyFont="1"/>
    <xf numFmtId="164" fontId="128" fillId="0" borderId="0" xfId="382" applyNumberFormat="1" applyFont="1"/>
    <xf numFmtId="164" fontId="128" fillId="0" borderId="0" xfId="382" applyNumberFormat="1" applyFont="1" applyFill="1"/>
    <xf numFmtId="0" fontId="41" fillId="0" borderId="0" xfId="0" applyFont="1" applyAlignment="1">
      <alignment horizontal="left" vertical="top"/>
    </xf>
    <xf numFmtId="164" fontId="41" fillId="37" borderId="0" xfId="382" applyNumberFormat="1" applyFont="1" applyFill="1" applyAlignment="1">
      <alignment vertical="top"/>
    </xf>
    <xf numFmtId="0" fontId="41" fillId="0" borderId="0" xfId="0" applyFont="1" applyAlignment="1">
      <alignment vertical="top" wrapText="1"/>
    </xf>
    <xf numFmtId="164" fontId="61" fillId="0" borderId="0" xfId="401" applyNumberFormat="1" applyFont="1" applyFill="1" applyBorder="1"/>
    <xf numFmtId="164" fontId="110" fillId="0" borderId="0" xfId="382" applyNumberFormat="1" applyFont="1" applyFill="1" applyBorder="1" applyAlignment="1">
      <alignment vertical="top"/>
    </xf>
    <xf numFmtId="164" fontId="110" fillId="0" borderId="0" xfId="382" applyNumberFormat="1" applyFont="1" applyFill="1" applyAlignment="1">
      <alignment vertical="top"/>
    </xf>
    <xf numFmtId="0" fontId="110" fillId="0" borderId="0" xfId="37694" applyNumberFormat="1" applyFont="1" applyFill="1" applyAlignment="1">
      <alignment vertical="top" wrapText="1"/>
    </xf>
    <xf numFmtId="3" fontId="110" fillId="0" borderId="0" xfId="37694" applyNumberFormat="1" applyFont="1" applyFill="1" applyAlignment="1">
      <alignment vertical="top" wrapText="1"/>
    </xf>
    <xf numFmtId="164" fontId="110" fillId="0" borderId="0" xfId="382" applyNumberFormat="1" applyFont="1" applyFill="1" applyBorder="1" applyAlignment="1">
      <alignment vertical="top" wrapText="1"/>
    </xf>
    <xf numFmtId="164" fontId="110" fillId="0" borderId="0" xfId="382" applyNumberFormat="1" applyFont="1" applyFill="1" applyAlignment="1">
      <alignment vertical="top" wrapText="1"/>
    </xf>
    <xf numFmtId="169" fontId="110" fillId="0" borderId="0" xfId="37694" applyFont="1" applyFill="1" applyAlignment="1">
      <alignment vertical="top"/>
    </xf>
    <xf numFmtId="164" fontId="110" fillId="0" borderId="0" xfId="382" applyNumberFormat="1" applyFont="1" applyAlignment="1">
      <alignment vertical="top"/>
    </xf>
    <xf numFmtId="169" fontId="110" fillId="0" borderId="0" xfId="37694" applyFont="1" applyAlignment="1">
      <alignment vertical="top"/>
    </xf>
    <xf numFmtId="0" fontId="110" fillId="0" borderId="0" xfId="37696" applyNumberFormat="1" applyFont="1" applyFill="1" applyAlignment="1" applyProtection="1">
      <alignment horizontal="left" indent="1"/>
      <protection locked="0"/>
    </xf>
    <xf numFmtId="0" fontId="110" fillId="0" borderId="0" xfId="37696" applyNumberFormat="1" applyFont="1" applyFill="1" applyAlignment="1">
      <alignment horizontal="left" indent="1"/>
    </xf>
    <xf numFmtId="168" fontId="110" fillId="0" borderId="0" xfId="37696" applyNumberFormat="1" applyFont="1" applyFill="1" applyAlignment="1" applyProtection="1">
      <alignment horizontal="left" indent="1"/>
      <protection locked="0"/>
    </xf>
    <xf numFmtId="0" fontId="110" fillId="0" borderId="0" xfId="37696" quotePrefix="1" applyNumberFormat="1" applyFont="1" applyFill="1" applyAlignment="1">
      <alignment horizontal="left" indent="1"/>
    </xf>
    <xf numFmtId="0" fontId="110" fillId="0" borderId="0" xfId="37694" applyNumberFormat="1" applyFont="1" applyFill="1" applyAlignment="1">
      <alignment horizontal="left" indent="1"/>
    </xf>
    <xf numFmtId="0" fontId="110" fillId="0" borderId="7" xfId="37696" applyNumberFormat="1" applyFont="1" applyFill="1" applyBorder="1" applyAlignment="1">
      <alignment horizontal="left" indent="1"/>
    </xf>
    <xf numFmtId="0" fontId="132" fillId="0" borderId="0" xfId="37698" applyNumberFormat="1" applyFont="1" applyFill="1" applyAlignment="1" applyProtection="1">
      <alignment horizontal="left" vertical="top" wrapText="1" indent="1"/>
      <protection locked="0"/>
    </xf>
    <xf numFmtId="0" fontId="110" fillId="0" borderId="0" xfId="474" applyFont="1" applyFill="1" applyBorder="1" applyAlignment="1">
      <alignment horizontal="left" indent="1"/>
    </xf>
    <xf numFmtId="0" fontId="42" fillId="0" borderId="0" xfId="0" applyFont="1" applyAlignment="1">
      <alignment horizontal="center"/>
    </xf>
    <xf numFmtId="0" fontId="41" fillId="0" borderId="0" xfId="0" applyFont="1" applyFill="1" applyAlignment="1">
      <alignment horizontal="center"/>
    </xf>
    <xf numFmtId="0" fontId="41" fillId="0" borderId="0" xfId="0" applyFont="1" applyAlignment="1">
      <alignment horizontal="center" vertical="top"/>
    </xf>
    <xf numFmtId="0" fontId="61" fillId="0" borderId="0" xfId="11272" applyFont="1" applyAlignment="1">
      <alignment horizontal="center"/>
    </xf>
    <xf numFmtId="0" fontId="41" fillId="0" borderId="0" xfId="0" applyFont="1" applyAlignment="1">
      <alignment horizontal="center"/>
    </xf>
    <xf numFmtId="3" fontId="41" fillId="0" borderId="0" xfId="11265" quotePrefix="1" applyNumberFormat="1" applyFont="1" applyFill="1" applyAlignment="1">
      <alignment horizontal="center"/>
    </xf>
    <xf numFmtId="0" fontId="41" fillId="0" borderId="0" xfId="569" applyFont="1" applyFill="1" applyBorder="1" applyAlignment="1">
      <alignment horizontal="center" vertical="top"/>
    </xf>
    <xf numFmtId="0" fontId="41" fillId="0" borderId="0" xfId="564" quotePrefix="1" applyFont="1" applyFill="1" applyBorder="1" applyAlignment="1">
      <alignment horizontal="center" vertical="top"/>
    </xf>
    <xf numFmtId="43" fontId="122" fillId="0" borderId="0" xfId="382" applyFont="1" applyFill="1" applyAlignment="1">
      <alignment horizontal="center"/>
    </xf>
    <xf numFmtId="0" fontId="41" fillId="0" borderId="0" xfId="0" applyFont="1" applyFill="1" applyBorder="1" applyAlignment="1">
      <alignment horizontal="left"/>
    </xf>
    <xf numFmtId="0" fontId="41" fillId="0" borderId="0" xfId="0" applyFont="1" applyFill="1" applyBorder="1" applyAlignment="1">
      <alignment horizontal="left" wrapText="1"/>
    </xf>
    <xf numFmtId="0" fontId="71" fillId="0" borderId="0" xfId="11271" applyFont="1" applyAlignment="1">
      <alignment horizontal="center"/>
    </xf>
    <xf numFmtId="0" fontId="41" fillId="0" borderId="0" xfId="0" applyFont="1" applyAlignment="1">
      <alignment horizontal="center" vertical="center"/>
    </xf>
    <xf numFmtId="0" fontId="41" fillId="0" borderId="0" xfId="484" applyFont="1" applyAlignment="1">
      <alignment horizontal="center" vertical="top"/>
    </xf>
    <xf numFmtId="3" fontId="110" fillId="0" borderId="0" xfId="37696" applyNumberFormat="1" applyFont="1" applyFill="1" applyAlignment="1">
      <alignment vertical="top"/>
    </xf>
    <xf numFmtId="170" fontId="110" fillId="0" borderId="0" xfId="382" applyNumberFormat="1" applyFont="1" applyFill="1" applyAlignment="1">
      <alignment vertical="top"/>
    </xf>
    <xf numFmtId="3" fontId="110" fillId="0" borderId="0" xfId="37695" applyNumberFormat="1" applyFont="1" applyFill="1" applyAlignment="1">
      <alignment vertical="top"/>
    </xf>
    <xf numFmtId="0" fontId="110" fillId="0" borderId="0" xfId="37696" quotePrefix="1" applyNumberFormat="1" applyFont="1" applyFill="1" applyAlignment="1">
      <alignment vertical="top"/>
    </xf>
    <xf numFmtId="10" fontId="110" fillId="0" borderId="0" xfId="674" applyNumberFormat="1" applyFont="1" applyAlignment="1">
      <alignment vertical="top"/>
    </xf>
    <xf numFmtId="193" fontId="110" fillId="0" borderId="0" xfId="37694" applyNumberFormat="1" applyFont="1" applyAlignment="1">
      <alignment vertical="top"/>
    </xf>
    <xf numFmtId="0" fontId="110" fillId="0" borderId="0" xfId="37696" applyNumberFormat="1" applyFont="1" applyFill="1" applyAlignment="1">
      <alignment horizontal="left" vertical="top" wrapText="1" indent="1"/>
    </xf>
    <xf numFmtId="0" fontId="24" fillId="0" borderId="0" xfId="496" applyFont="1"/>
    <xf numFmtId="164" fontId="24" fillId="0" borderId="0" xfId="382" applyNumberFormat="1" applyFont="1"/>
    <xf numFmtId="0" fontId="41" fillId="0" borderId="0" xfId="0" quotePrefix="1" applyFont="1" applyAlignment="1">
      <alignment horizontal="center" vertical="top"/>
    </xf>
    <xf numFmtId="0" fontId="61" fillId="0" borderId="0" xfId="474" applyFont="1"/>
    <xf numFmtId="0" fontId="61" fillId="0" borderId="0" xfId="0" applyFont="1"/>
    <xf numFmtId="0" fontId="61" fillId="0" borderId="0" xfId="0" applyFont="1" applyAlignment="1">
      <alignment horizontal="center" wrapText="1"/>
    </xf>
    <xf numFmtId="164" fontId="41" fillId="0" borderId="35" xfId="382" applyNumberFormat="1" applyFont="1" applyFill="1" applyBorder="1"/>
    <xf numFmtId="37" fontId="41" fillId="0" borderId="35" xfId="0" applyNumberFormat="1" applyFont="1" applyFill="1" applyBorder="1"/>
    <xf numFmtId="37" fontId="41" fillId="0" borderId="43" xfId="0" applyNumberFormat="1" applyFont="1" applyFill="1" applyBorder="1"/>
    <xf numFmtId="37" fontId="41" fillId="0" borderId="16" xfId="0" applyNumberFormat="1" applyFont="1" applyFill="1" applyBorder="1"/>
    <xf numFmtId="37" fontId="41" fillId="0" borderId="20" xfId="0" applyNumberFormat="1" applyFont="1" applyFill="1" applyBorder="1"/>
    <xf numFmtId="164" fontId="41" fillId="0" borderId="5" xfId="382" applyNumberFormat="1" applyFont="1" applyFill="1" applyBorder="1"/>
    <xf numFmtId="164" fontId="41" fillId="0" borderId="44" xfId="382" applyNumberFormat="1" applyFont="1" applyFill="1" applyBorder="1"/>
    <xf numFmtId="0" fontId="41" fillId="0" borderId="0" xfId="0" applyFont="1" applyBorder="1" applyAlignment="1">
      <alignment horizontal="left"/>
    </xf>
    <xf numFmtId="37" fontId="41" fillId="0" borderId="0" xfId="0" applyNumberFormat="1" applyFont="1" applyFill="1" applyBorder="1" applyAlignment="1">
      <alignment horizontal="center"/>
    </xf>
    <xf numFmtId="0" fontId="41" fillId="37" borderId="0" xfId="0" applyFont="1" applyFill="1"/>
    <xf numFmtId="1" fontId="41" fillId="0" borderId="0" xfId="0" applyNumberFormat="1" applyFont="1" applyFill="1" applyAlignment="1">
      <alignment horizontal="left" vertical="top"/>
    </xf>
    <xf numFmtId="2" fontId="41" fillId="0" borderId="0" xfId="0" applyNumberFormat="1" applyFont="1" applyFill="1" applyAlignment="1">
      <alignment horizontal="left" vertical="top"/>
    </xf>
    <xf numFmtId="0" fontId="41" fillId="0" borderId="0" xfId="0" quotePrefix="1" applyFont="1" applyAlignment="1">
      <alignment horizontal="center"/>
    </xf>
    <xf numFmtId="164" fontId="41" fillId="37" borderId="0" xfId="403" applyNumberFormat="1" applyFont="1" applyFill="1" applyBorder="1"/>
    <xf numFmtId="0" fontId="24" fillId="0" borderId="0" xfId="514" applyFont="1"/>
    <xf numFmtId="0" fontId="24" fillId="0" borderId="0" xfId="514" applyFont="1" applyAlignment="1">
      <alignment horizontal="center"/>
    </xf>
    <xf numFmtId="164" fontId="24" fillId="0" borderId="0" xfId="382" applyNumberFormat="1" applyFont="1" applyAlignment="1">
      <alignment horizontal="center"/>
    </xf>
    <xf numFmtId="0" fontId="24" fillId="0" borderId="0" xfId="514" applyFont="1" applyBorder="1"/>
    <xf numFmtId="164" fontId="24" fillId="0" borderId="0" xfId="382" applyNumberFormat="1" applyFont="1" applyBorder="1"/>
    <xf numFmtId="0" fontId="24" fillId="0" borderId="0" xfId="514" quotePrefix="1" applyFont="1" applyAlignment="1">
      <alignment horizontal="center"/>
    </xf>
    <xf numFmtId="0" fontId="24" fillId="0" borderId="0" xfId="513" applyFont="1"/>
    <xf numFmtId="43" fontId="24" fillId="0" borderId="0" xfId="382" applyFont="1"/>
    <xf numFmtId="0" fontId="61" fillId="0" borderId="0" xfId="513" applyFont="1" applyAlignment="1"/>
    <xf numFmtId="0" fontId="61" fillId="0" borderId="0" xfId="11271" applyFont="1" applyAlignment="1"/>
    <xf numFmtId="0" fontId="61" fillId="0" borderId="0" xfId="11271" applyFont="1" applyAlignment="1">
      <alignment horizontal="center"/>
    </xf>
    <xf numFmtId="0" fontId="44" fillId="0" borderId="0" xfId="0" applyFont="1" applyAlignment="1">
      <alignment horizontal="center"/>
    </xf>
    <xf numFmtId="0" fontId="139" fillId="0" borderId="0" xfId="0" applyFont="1" applyAlignment="1"/>
    <xf numFmtId="0" fontId="139" fillId="0" borderId="0" xfId="496" applyFont="1"/>
    <xf numFmtId="0" fontId="139" fillId="0" borderId="0" xfId="0" applyFont="1"/>
    <xf numFmtId="14" fontId="41" fillId="0" borderId="0" xfId="382" applyNumberFormat="1" applyFont="1" applyBorder="1" applyAlignment="1">
      <alignment horizontal="center"/>
    </xf>
    <xf numFmtId="164" fontId="41" fillId="0" borderId="0" xfId="0" applyNumberFormat="1" applyFont="1"/>
    <xf numFmtId="0" fontId="61" fillId="0" borderId="0" xfId="569" applyFont="1" applyFill="1"/>
    <xf numFmtId="49" fontId="61" fillId="0" borderId="0" xfId="569" applyNumberFormat="1" applyFont="1"/>
    <xf numFmtId="164" fontId="61" fillId="0" borderId="0" xfId="569" applyNumberFormat="1" applyFont="1"/>
    <xf numFmtId="200" fontId="61" fillId="0" borderId="0" xfId="569" applyNumberFormat="1" applyFont="1"/>
    <xf numFmtId="0" fontId="139" fillId="0" borderId="0" xfId="569" applyFont="1"/>
    <xf numFmtId="0" fontId="41" fillId="0" borderId="0" xfId="569" quotePrefix="1" applyFont="1" applyFill="1" applyBorder="1" applyAlignment="1">
      <alignment horizontal="center" vertical="top"/>
    </xf>
    <xf numFmtId="0" fontId="139" fillId="0" borderId="0" xfId="569" applyFont="1" applyFill="1"/>
    <xf numFmtId="0" fontId="41" fillId="0" borderId="0" xfId="11266" quotePrefix="1" applyFont="1" applyFill="1" applyAlignment="1"/>
    <xf numFmtId="43" fontId="129" fillId="0" borderId="0" xfId="382" applyFont="1" applyAlignment="1"/>
    <xf numFmtId="0" fontId="137" fillId="0" borderId="0" xfId="0" applyFont="1" applyAlignment="1"/>
    <xf numFmtId="10" fontId="137" fillId="0" borderId="0" xfId="674" applyNumberFormat="1" applyFont="1" applyFill="1" applyAlignment="1">
      <alignment horizontal="center" wrapText="1"/>
    </xf>
    <xf numFmtId="0" fontId="41" fillId="0" borderId="0" xfId="474" applyFont="1" applyAlignment="1">
      <alignment horizontal="left"/>
    </xf>
    <xf numFmtId="0" fontId="41" fillId="0" borderId="0" xfId="474" applyFont="1" applyFill="1" applyAlignment="1">
      <alignment horizontal="left"/>
    </xf>
    <xf numFmtId="0" fontId="41" fillId="0" borderId="0" xfId="474" applyFont="1" applyAlignment="1">
      <alignment horizontal="left" vertical="top"/>
    </xf>
    <xf numFmtId="0" fontId="41" fillId="0" borderId="30" xfId="0" applyFont="1" applyBorder="1"/>
    <xf numFmtId="0" fontId="41" fillId="0" borderId="30" xfId="0" applyFont="1" applyFill="1" applyBorder="1"/>
    <xf numFmtId="0" fontId="139" fillId="0" borderId="0" xfId="474" applyFont="1"/>
    <xf numFmtId="0" fontId="24" fillId="0" borderId="0" xfId="11271" applyFont="1"/>
    <xf numFmtId="164" fontId="24" fillId="0" borderId="0" xfId="11271" applyNumberFormat="1" applyFont="1"/>
    <xf numFmtId="43" fontId="24" fillId="0" borderId="0" xfId="11271" applyNumberFormat="1" applyFont="1"/>
    <xf numFmtId="0" fontId="24" fillId="0" borderId="0" xfId="11271" applyFont="1" applyFill="1" applyAlignment="1">
      <alignment horizontal="left"/>
    </xf>
    <xf numFmtId="164" fontId="24" fillId="0" borderId="0" xfId="11271" applyNumberFormat="1" applyFont="1" applyFill="1"/>
    <xf numFmtId="43" fontId="24" fillId="0" borderId="0" xfId="11271" applyNumberFormat="1" applyFont="1" applyFill="1"/>
    <xf numFmtId="0" fontId="24" fillId="0" borderId="0" xfId="11271" applyFont="1" applyFill="1"/>
    <xf numFmtId="0" fontId="24" fillId="0" borderId="0" xfId="11271" applyFont="1" applyAlignment="1">
      <alignment horizontal="center"/>
    </xf>
    <xf numFmtId="0" fontId="24" fillId="0" borderId="0" xfId="11271" quotePrefix="1" applyFont="1" applyAlignment="1">
      <alignment horizontal="center" vertical="top"/>
    </xf>
    <xf numFmtId="0" fontId="24" fillId="0" borderId="0" xfId="0" applyFont="1"/>
    <xf numFmtId="43" fontId="24" fillId="0" borderId="0" xfId="423" applyNumberFormat="1" applyFont="1" applyFill="1" applyAlignment="1">
      <alignment horizontal="left"/>
    </xf>
    <xf numFmtId="0" fontId="24" fillId="0" borderId="0" xfId="0" applyFont="1" applyFill="1" applyAlignment="1">
      <alignment horizontal="center"/>
    </xf>
    <xf numFmtId="43" fontId="24" fillId="0" borderId="0" xfId="423" applyFont="1" applyFill="1" applyAlignment="1">
      <alignment horizontal="center"/>
    </xf>
    <xf numFmtId="0" fontId="24" fillId="0" borderId="0" xfId="0" applyFont="1" applyFill="1"/>
    <xf numFmtId="164" fontId="24" fillId="0" borderId="0" xfId="423" applyNumberFormat="1" applyFont="1" applyFill="1"/>
    <xf numFmtId="0" fontId="24" fillId="0" borderId="0" xfId="0" applyFont="1" applyFill="1" applyAlignment="1">
      <alignment horizontal="left" indent="1"/>
    </xf>
    <xf numFmtId="164" fontId="24" fillId="0" borderId="0" xfId="0" applyNumberFormat="1" applyFont="1" applyFill="1"/>
    <xf numFmtId="164" fontId="24" fillId="0" borderId="0" xfId="0" applyNumberFormat="1" applyFont="1" applyFill="1" applyBorder="1"/>
    <xf numFmtId="164" fontId="24" fillId="0" borderId="18" xfId="0" applyNumberFormat="1" applyFont="1" applyFill="1" applyBorder="1"/>
    <xf numFmtId="164" fontId="24" fillId="0" borderId="17" xfId="0" applyNumberFormat="1" applyFont="1" applyFill="1" applyBorder="1"/>
    <xf numFmtId="43" fontId="24" fillId="0" borderId="0" xfId="423" applyFont="1" applyFill="1"/>
    <xf numFmtId="0" fontId="41" fillId="0" borderId="0" xfId="0" applyFont="1" applyFill="1" applyBorder="1" applyAlignment="1">
      <alignment vertical="top"/>
    </xf>
    <xf numFmtId="0" fontId="139" fillId="0" borderId="0" xfId="511" applyFont="1"/>
    <xf numFmtId="0" fontId="41" fillId="0" borderId="0" xfId="0" quotePrefix="1" applyFont="1" applyFill="1" applyBorder="1" applyAlignment="1">
      <alignment vertical="top"/>
    </xf>
    <xf numFmtId="0" fontId="41" fillId="0" borderId="0" xfId="484" applyFont="1" applyAlignment="1">
      <alignment horizontal="left" vertical="top"/>
    </xf>
    <xf numFmtId="0" fontId="139" fillId="0" borderId="0" xfId="484" applyFont="1" applyAlignment="1">
      <alignment vertical="top"/>
    </xf>
    <xf numFmtId="0" fontId="41" fillId="0" borderId="0" xfId="511" applyFont="1" applyFill="1" applyBorder="1" applyAlignment="1">
      <alignment vertical="top"/>
    </xf>
    <xf numFmtId="0" fontId="61" fillId="0" borderId="0" xfId="0" applyFont="1" applyFill="1" applyAlignment="1" applyProtection="1">
      <alignment horizontal="left"/>
      <protection locked="0"/>
    </xf>
    <xf numFmtId="43" fontId="24" fillId="0" borderId="18" xfId="382" applyFont="1" applyFill="1" applyBorder="1" applyAlignment="1">
      <alignment horizontal="center"/>
    </xf>
    <xf numFmtId="164" fontId="24" fillId="0" borderId="0" xfId="382" applyNumberFormat="1" applyFont="1" applyFill="1"/>
    <xf numFmtId="164" fontId="24" fillId="0" borderId="17" xfId="382" applyNumberFormat="1" applyFont="1" applyFill="1" applyBorder="1"/>
    <xf numFmtId="164" fontId="24" fillId="0" borderId="0" xfId="382" applyNumberFormat="1" applyFont="1" applyFill="1" applyBorder="1"/>
    <xf numFmtId="0" fontId="41" fillId="0" borderId="0" xfId="0" applyFont="1" applyFill="1" applyAlignment="1">
      <alignment horizontal="center"/>
    </xf>
    <xf numFmtId="0" fontId="41" fillId="0" borderId="0" xfId="0" applyFont="1" applyFill="1" applyBorder="1" applyAlignment="1">
      <alignment horizontal="left" wrapText="1"/>
    </xf>
    <xf numFmtId="0" fontId="41" fillId="0" borderId="45" xfId="0" applyFont="1" applyFill="1" applyBorder="1" applyAlignment="1">
      <alignment horizontal="center"/>
    </xf>
    <xf numFmtId="0" fontId="61" fillId="0" borderId="0" xfId="0" applyFont="1" applyFill="1" applyAlignment="1">
      <alignment horizontal="center"/>
    </xf>
    <xf numFmtId="0" fontId="110" fillId="0" borderId="0" xfId="37698" applyNumberFormat="1" applyFont="1" applyFill="1" applyAlignment="1" applyProtection="1">
      <alignment vertical="top"/>
      <protection locked="0"/>
    </xf>
    <xf numFmtId="0" fontId="25" fillId="0" borderId="0" xfId="496" applyFont="1" applyFill="1" applyAlignment="1">
      <alignment horizontal="left"/>
    </xf>
    <xf numFmtId="2" fontId="41" fillId="0" borderId="0" xfId="512" applyNumberFormat="1" applyFont="1" applyFill="1" applyAlignment="1">
      <alignment horizontal="left"/>
    </xf>
    <xf numFmtId="0" fontId="41" fillId="0" borderId="0" xfId="512" applyNumberFormat="1" applyFont="1" applyFill="1" applyAlignment="1">
      <alignment horizontal="left"/>
    </xf>
    <xf numFmtId="0" fontId="44" fillId="0" borderId="0" xfId="474" applyFont="1" applyFill="1" applyAlignment="1">
      <alignment horizontal="center"/>
    </xf>
    <xf numFmtId="0" fontId="41" fillId="0" borderId="0" xfId="474" quotePrefix="1" applyFont="1" applyFill="1" applyAlignment="1">
      <alignment horizontal="center" vertical="top"/>
    </xf>
    <xf numFmtId="0" fontId="23" fillId="0" borderId="0" xfId="496" applyFont="1" applyFill="1" applyAlignment="1">
      <alignment vertical="top"/>
    </xf>
    <xf numFmtId="0" fontId="25" fillId="0" borderId="0" xfId="496" applyFont="1" applyFill="1" applyAlignment="1">
      <alignment vertical="top"/>
    </xf>
    <xf numFmtId="198" fontId="61" fillId="0" borderId="0" xfId="382" applyNumberFormat="1" applyFont="1" applyFill="1"/>
    <xf numFmtId="164" fontId="41" fillId="0" borderId="0" xfId="0" applyNumberFormat="1" applyFont="1" applyFill="1"/>
    <xf numFmtId="0" fontId="139" fillId="0" borderId="0" xfId="504" applyFont="1"/>
    <xf numFmtId="1" fontId="41" fillId="0" borderId="0" xfId="510" applyNumberFormat="1" applyFont="1" applyFill="1" applyBorder="1" applyAlignment="1">
      <alignment horizontal="left" vertical="center"/>
    </xf>
    <xf numFmtId="1" fontId="41" fillId="0" borderId="0" xfId="0" applyNumberFormat="1" applyFont="1" applyFill="1" applyAlignment="1">
      <alignment horizontal="left" vertical="center"/>
    </xf>
    <xf numFmtId="187" fontId="41" fillId="0" borderId="0" xfId="510" applyNumberFormat="1" applyFont="1" applyFill="1" applyBorder="1" applyAlignment="1">
      <alignment horizontal="left" vertical="center"/>
    </xf>
    <xf numFmtId="0" fontId="41" fillId="0" borderId="0" xfId="504" applyFont="1" applyAlignment="1"/>
    <xf numFmtId="0" fontId="41" fillId="0" borderId="0" xfId="504" applyFont="1" applyBorder="1" applyAlignment="1"/>
    <xf numFmtId="164" fontId="124" fillId="0" borderId="0" xfId="382" applyNumberFormat="1" applyFont="1" applyFill="1"/>
    <xf numFmtId="0" fontId="61" fillId="0" borderId="0" xfId="474" applyFont="1" applyFill="1"/>
    <xf numFmtId="0" fontId="61" fillId="0" borderId="0" xfId="0" quotePrefix="1" applyFont="1" applyFill="1" applyAlignment="1"/>
    <xf numFmtId="0" fontId="61" fillId="0" borderId="0" xfId="0" applyFont="1" applyFill="1" applyAlignment="1">
      <alignment horizontal="center" wrapText="1"/>
    </xf>
    <xf numFmtId="0" fontId="61" fillId="0" borderId="0" xfId="0" quotePrefix="1" applyFont="1" applyFill="1" applyAlignment="1">
      <alignment horizontal="center" wrapText="1"/>
    </xf>
    <xf numFmtId="37" fontId="61" fillId="0" borderId="0" xfId="0" applyNumberFormat="1" applyFont="1" applyFill="1" applyAlignment="1">
      <alignment horizontal="center"/>
    </xf>
    <xf numFmtId="164" fontId="124" fillId="0" borderId="0" xfId="382" applyNumberFormat="1" applyFont="1" applyFill="1" applyBorder="1"/>
    <xf numFmtId="164" fontId="41" fillId="0" borderId="18" xfId="504" applyNumberFormat="1" applyFont="1" applyFill="1" applyBorder="1" applyAlignment="1">
      <alignment wrapText="1"/>
    </xf>
    <xf numFmtId="16" fontId="110" fillId="0" borderId="0" xfId="37696" quotePrefix="1" applyNumberFormat="1" applyFont="1" applyFill="1" applyAlignment="1" applyProtection="1">
      <alignment horizontal="center"/>
      <protection locked="0"/>
    </xf>
    <xf numFmtId="0" fontId="110" fillId="0" borderId="0" xfId="37696" quotePrefix="1" applyNumberFormat="1" applyFont="1" applyFill="1" applyAlignment="1" applyProtection="1">
      <alignment horizontal="center"/>
      <protection locked="0"/>
    </xf>
    <xf numFmtId="0" fontId="110" fillId="0" borderId="0" xfId="37696" applyNumberFormat="1" applyFont="1" applyFill="1" applyAlignment="1">
      <alignment horizontal="right"/>
    </xf>
    <xf numFmtId="169" fontId="110" fillId="0" borderId="0" xfId="37694" applyNumberFormat="1" applyFont="1" applyFill="1" applyAlignment="1" applyProtection="1">
      <protection locked="0"/>
    </xf>
    <xf numFmtId="0" fontId="110" fillId="0" borderId="0" xfId="37698" applyNumberFormat="1" applyFont="1" applyFill="1" applyAlignment="1" applyProtection="1">
      <alignment horizontal="center" vertical="top"/>
      <protection locked="0"/>
    </xf>
    <xf numFmtId="0" fontId="110" fillId="0" borderId="0" xfId="37694" applyNumberFormat="1" applyFont="1" applyFill="1" applyAlignment="1" applyProtection="1">
      <alignment horizontal="center" vertical="top"/>
      <protection locked="0"/>
    </xf>
    <xf numFmtId="0" fontId="110" fillId="0" borderId="0" xfId="37694" applyNumberFormat="1" applyFont="1" applyFill="1" applyAlignment="1" applyProtection="1">
      <alignment horizontal="center" vertical="top" wrapText="1"/>
      <protection locked="0"/>
    </xf>
    <xf numFmtId="3" fontId="110" fillId="0" borderId="0" xfId="37694" applyNumberFormat="1" applyFont="1" applyFill="1" applyAlignment="1">
      <alignment vertical="top"/>
    </xf>
    <xf numFmtId="0" fontId="42" fillId="0" borderId="0" xfId="0" applyFont="1" applyFill="1" applyAlignment="1"/>
    <xf numFmtId="164" fontId="41" fillId="0" borderId="0" xfId="11645" applyNumberFormat="1" applyFont="1" applyFill="1" applyBorder="1"/>
    <xf numFmtId="164" fontId="41" fillId="0" borderId="54" xfId="382" applyNumberFormat="1" applyFont="1" applyFill="1" applyBorder="1"/>
    <xf numFmtId="164" fontId="129" fillId="0" borderId="0" xfId="382" applyNumberFormat="1" applyFont="1" applyFill="1" applyBorder="1"/>
    <xf numFmtId="164" fontId="41" fillId="0" borderId="45" xfId="382" applyNumberFormat="1" applyFont="1" applyFill="1" applyBorder="1"/>
    <xf numFmtId="0" fontId="61" fillId="0" borderId="0" xfId="569" applyFont="1" applyFill="1" applyAlignment="1">
      <alignment horizontal="left"/>
    </xf>
    <xf numFmtId="2" fontId="41" fillId="0" borderId="0" xfId="0" applyNumberFormat="1" applyFont="1" applyFill="1" applyAlignment="1">
      <alignment horizontal="left"/>
    </xf>
    <xf numFmtId="0" fontId="41" fillId="0" borderId="0" xfId="0" quotePrefix="1" applyFont="1" applyFill="1" applyAlignment="1">
      <alignment horizontal="center" vertical="top"/>
    </xf>
    <xf numFmtId="1" fontId="41" fillId="0" borderId="0" xfId="0" applyNumberFormat="1" applyFont="1" applyFill="1" applyAlignment="1">
      <alignment horizontal="left"/>
    </xf>
    <xf numFmtId="1" fontId="24" fillId="0" borderId="0" xfId="11271" applyNumberFormat="1" applyFont="1" applyFill="1" applyAlignment="1">
      <alignment horizontal="left"/>
    </xf>
    <xf numFmtId="2" fontId="24" fillId="0" borderId="0" xfId="11271" applyNumberFormat="1" applyFont="1" applyFill="1" applyAlignment="1">
      <alignment horizontal="left"/>
    </xf>
    <xf numFmtId="0" fontId="47" fillId="0" borderId="18" xfId="0" applyFont="1" applyFill="1" applyBorder="1" applyAlignment="1">
      <alignment horizontal="left"/>
    </xf>
    <xf numFmtId="3" fontId="45" fillId="0" borderId="20" xfId="0" applyNumberFormat="1" applyFont="1" applyFill="1" applyBorder="1" applyAlignment="1"/>
    <xf numFmtId="0" fontId="43" fillId="50" borderId="6" xfId="0" applyNumberFormat="1" applyFont="1" applyFill="1" applyBorder="1" applyAlignment="1">
      <alignment horizontal="left"/>
    </xf>
    <xf numFmtId="0" fontId="45" fillId="0" borderId="17" xfId="0" applyNumberFormat="1" applyFont="1" applyFill="1" applyBorder="1" applyAlignment="1">
      <alignment horizontal="center"/>
    </xf>
    <xf numFmtId="0" fontId="43" fillId="35" borderId="52" xfId="0" applyFont="1" applyFill="1" applyBorder="1" applyAlignment="1">
      <alignment horizontal="center" wrapText="1"/>
    </xf>
    <xf numFmtId="3" fontId="45" fillId="0" borderId="21" xfId="0" applyNumberFormat="1" applyFont="1" applyFill="1" applyBorder="1" applyAlignment="1"/>
    <xf numFmtId="3" fontId="45" fillId="0" borderId="39" xfId="0" applyNumberFormat="1" applyFont="1" applyFill="1" applyBorder="1" applyAlignment="1"/>
    <xf numFmtId="164" fontId="45" fillId="0" borderId="28" xfId="382" applyNumberFormat="1" applyFont="1" applyFill="1" applyBorder="1" applyAlignment="1"/>
    <xf numFmtId="164" fontId="45" fillId="0" borderId="11" xfId="382" applyNumberFormat="1" applyFont="1" applyFill="1" applyBorder="1" applyAlignment="1">
      <alignment horizontal="right"/>
    </xf>
    <xf numFmtId="0" fontId="43" fillId="0" borderId="47" xfId="0" applyNumberFormat="1" applyFont="1" applyFill="1" applyBorder="1" applyAlignment="1">
      <alignment horizontal="left"/>
    </xf>
    <xf numFmtId="0" fontId="43" fillId="0" borderId="47" xfId="0" applyFont="1" applyFill="1" applyBorder="1" applyAlignment="1">
      <alignment horizontal="left"/>
    </xf>
    <xf numFmtId="0" fontId="43" fillId="0" borderId="47" xfId="0" applyFont="1" applyFill="1" applyBorder="1" applyAlignment="1">
      <alignment horizontal="center"/>
    </xf>
    <xf numFmtId="0" fontId="45" fillId="0" borderId="37" xfId="0" applyNumberFormat="1" applyFont="1" applyFill="1" applyBorder="1" applyAlignment="1">
      <alignment horizontal="left"/>
    </xf>
    <xf numFmtId="0" fontId="45" fillId="0" borderId="0" xfId="0" applyFont="1" applyFill="1" applyBorder="1" applyAlignment="1">
      <alignment horizontal="right"/>
    </xf>
    <xf numFmtId="0" fontId="45" fillId="0" borderId="0" xfId="0" applyFont="1" applyFill="1" applyAlignment="1">
      <alignment horizontal="left" indent="1"/>
    </xf>
    <xf numFmtId="164" fontId="45" fillId="0" borderId="0" xfId="0" applyNumberFormat="1" applyFont="1" applyFill="1"/>
    <xf numFmtId="0" fontId="24" fillId="0" borderId="0" xfId="513" applyFont="1" applyFill="1" applyAlignment="1">
      <alignment horizontal="center"/>
    </xf>
    <xf numFmtId="0" fontId="24" fillId="0" borderId="0" xfId="513" applyFont="1" applyFill="1" applyBorder="1"/>
    <xf numFmtId="0" fontId="24" fillId="0" borderId="0" xfId="513" applyFont="1" applyFill="1"/>
    <xf numFmtId="0" fontId="24" fillId="0" borderId="0" xfId="513" quotePrefix="1" applyFont="1" applyFill="1" applyAlignment="1">
      <alignment horizontal="center" vertical="top"/>
    </xf>
    <xf numFmtId="0" fontId="45" fillId="0" borderId="18" xfId="0" applyNumberFormat="1" applyFont="1" applyFill="1" applyBorder="1" applyAlignment="1">
      <alignment horizontal="left" indent="1"/>
    </xf>
    <xf numFmtId="0" fontId="45"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Font="1" applyFill="1" applyAlignment="1">
      <alignment horizontal="center"/>
    </xf>
    <xf numFmtId="37" fontId="45" fillId="0" borderId="30" xfId="382" applyNumberFormat="1" applyFont="1" applyFill="1" applyBorder="1" applyAlignment="1">
      <alignment horizontal="right"/>
    </xf>
    <xf numFmtId="164" fontId="45" fillId="0" borderId="0" xfId="382" applyNumberFormat="1" applyFont="1" applyFill="1" applyBorder="1"/>
    <xf numFmtId="164" fontId="61" fillId="0" borderId="0" xfId="382" applyNumberFormat="1" applyFont="1" applyFill="1" applyAlignment="1">
      <alignment horizontal="left"/>
    </xf>
    <xf numFmtId="164" fontId="43" fillId="0" borderId="0" xfId="0" applyNumberFormat="1" applyFont="1" applyFill="1"/>
    <xf numFmtId="1" fontId="61" fillId="0" borderId="0" xfId="511" applyNumberFormat="1" applyFont="1" applyFill="1" applyAlignment="1">
      <alignment horizontal="left"/>
    </xf>
    <xf numFmtId="0" fontId="41" fillId="0" borderId="0" xfId="504" applyFont="1" applyFill="1" applyBorder="1" applyAlignment="1">
      <alignment horizontal="right"/>
    </xf>
    <xf numFmtId="43" fontId="121" fillId="0" borderId="0" xfId="382" applyFont="1" applyFill="1" applyAlignment="1">
      <alignment horizontal="center"/>
    </xf>
    <xf numFmtId="0" fontId="41" fillId="0" borderId="0" xfId="0" applyFont="1" applyFill="1" applyAlignment="1">
      <alignment horizontal="right"/>
    </xf>
    <xf numFmtId="43" fontId="41" fillId="0" borderId="0" xfId="0" applyNumberFormat="1" applyFont="1" applyFill="1" applyAlignment="1">
      <alignment horizontal="right"/>
    </xf>
    <xf numFmtId="43" fontId="41" fillId="0" borderId="0" xfId="382" applyFont="1" applyFill="1" applyAlignment="1">
      <alignment horizontal="left"/>
    </xf>
    <xf numFmtId="43" fontId="41" fillId="0" borderId="0" xfId="382" applyNumberFormat="1" applyFont="1" applyFill="1" applyBorder="1"/>
    <xf numFmtId="43" fontId="41" fillId="0" borderId="0" xfId="504" applyNumberFormat="1" applyFont="1" applyFill="1" applyBorder="1"/>
    <xf numFmtId="0" fontId="42" fillId="0" borderId="0" xfId="0" applyFont="1" applyFill="1" applyAlignment="1">
      <alignment horizontal="left"/>
    </xf>
    <xf numFmtId="0" fontId="42" fillId="0" borderId="0" xfId="0" applyFont="1" applyFill="1" applyAlignment="1">
      <alignment horizontal="left" indent="2"/>
    </xf>
    <xf numFmtId="0" fontId="42" fillId="0" borderId="0" xfId="504" applyFont="1" applyFill="1" applyBorder="1" applyAlignment="1">
      <alignment horizontal="left" indent="2"/>
    </xf>
    <xf numFmtId="0" fontId="42" fillId="0" borderId="0" xfId="504" applyNumberFormat="1" applyFont="1" applyFill="1" applyBorder="1" applyAlignment="1">
      <alignment horizontal="left" wrapText="1" indent="2"/>
    </xf>
    <xf numFmtId="0" fontId="42" fillId="0" borderId="0" xfId="504" applyFont="1" applyFill="1" applyAlignment="1">
      <alignment horizontal="left" indent="2"/>
    </xf>
    <xf numFmtId="0" fontId="41" fillId="0" borderId="0" xfId="504" applyFont="1" applyFill="1" applyAlignment="1">
      <alignment horizontal="center" wrapText="1"/>
    </xf>
    <xf numFmtId="0" fontId="42" fillId="0" borderId="0" xfId="504" applyFont="1" applyFill="1"/>
    <xf numFmtId="164" fontId="139" fillId="0" borderId="0" xfId="382" applyNumberFormat="1" applyFont="1" applyBorder="1"/>
    <xf numFmtId="0" fontId="139" fillId="0" borderId="0" xfId="474" applyFont="1" applyBorder="1" applyAlignment="1">
      <alignment horizontal="center"/>
    </xf>
    <xf numFmtId="164" fontId="139" fillId="0" borderId="0" xfId="474" applyNumberFormat="1" applyFont="1" applyBorder="1"/>
    <xf numFmtId="43" fontId="129" fillId="0" borderId="0" xfId="382" applyFont="1" applyFill="1"/>
    <xf numFmtId="164" fontId="24" fillId="0" borderId="0" xfId="382" quotePrefix="1" applyNumberFormat="1" applyFont="1" applyBorder="1" applyAlignment="1">
      <alignment horizontal="center"/>
    </xf>
    <xf numFmtId="0" fontId="41" fillId="0" borderId="0" xfId="512" applyNumberFormat="1" applyFont="1" applyFill="1" applyAlignment="1">
      <alignment horizontal="left" vertical="top"/>
    </xf>
    <xf numFmtId="0" fontId="128" fillId="0" borderId="0" xfId="504" applyFont="1"/>
    <xf numFmtId="0" fontId="128" fillId="0" borderId="0" xfId="504" applyFont="1" applyBorder="1"/>
    <xf numFmtId="0" fontId="128" fillId="0" borderId="0" xfId="504" applyFont="1" applyFill="1" applyBorder="1" applyAlignment="1">
      <alignment horizontal="center" wrapText="1"/>
    </xf>
    <xf numFmtId="0" fontId="128" fillId="0" borderId="0" xfId="0" applyFont="1" applyFill="1" applyBorder="1"/>
    <xf numFmtId="164" fontId="128" fillId="0" borderId="0" xfId="382" applyNumberFormat="1" applyFont="1" applyBorder="1"/>
    <xf numFmtId="164" fontId="128" fillId="0" borderId="0" xfId="382" applyNumberFormat="1" applyFont="1" applyFill="1" applyBorder="1"/>
    <xf numFmtId="0" fontId="128" fillId="0" borderId="0" xfId="504" applyFont="1" applyFill="1" applyBorder="1"/>
    <xf numFmtId="0" fontId="141" fillId="0" borderId="0" xfId="0" applyFont="1" applyFill="1" applyBorder="1" applyAlignment="1">
      <alignment horizontal="left"/>
    </xf>
    <xf numFmtId="0" fontId="128" fillId="0" borderId="0" xfId="0" applyFont="1" applyFill="1" applyBorder="1" applyAlignment="1"/>
    <xf numFmtId="0" fontId="141" fillId="0" borderId="0" xfId="0" applyNumberFormat="1" applyFont="1" applyFill="1" applyBorder="1" applyAlignment="1">
      <alignment horizontal="center"/>
    </xf>
    <xf numFmtId="0" fontId="128" fillId="0" borderId="0" xfId="0" applyFont="1" applyFill="1" applyBorder="1" applyAlignment="1">
      <alignment horizontal="center" wrapText="1"/>
    </xf>
    <xf numFmtId="0" fontId="41" fillId="0" borderId="0" xfId="0" applyFont="1" applyFill="1" applyBorder="1" applyAlignment="1">
      <alignment horizontal="left" vertical="top"/>
    </xf>
    <xf numFmtId="0" fontId="41" fillId="0" borderId="16" xfId="0" applyFont="1" applyFill="1" applyBorder="1"/>
    <xf numFmtId="164" fontId="41" fillId="0" borderId="16" xfId="382" applyNumberFormat="1" applyFont="1" applyFill="1" applyBorder="1"/>
    <xf numFmtId="0" fontId="142" fillId="0" borderId="0" xfId="0" applyFont="1" applyFill="1"/>
    <xf numFmtId="164" fontId="41" fillId="0" borderId="0" xfId="382" applyNumberFormat="1" applyFont="1" applyBorder="1" applyAlignment="1">
      <alignment vertical="top"/>
    </xf>
    <xf numFmtId="170" fontId="53" fillId="0" borderId="0" xfId="382" applyNumberFormat="1" applyFont="1" applyFill="1" applyBorder="1" applyAlignment="1">
      <alignment horizontal="center"/>
    </xf>
    <xf numFmtId="164" fontId="41" fillId="0" borderId="0" xfId="382" applyNumberFormat="1" applyFont="1" applyFill="1" applyAlignment="1">
      <alignment vertical="top"/>
    </xf>
    <xf numFmtId="0" fontId="41" fillId="0" borderId="0" xfId="0" quotePrefix="1" applyFont="1" applyFill="1" applyAlignment="1">
      <alignment horizontal="left" vertical="top"/>
    </xf>
    <xf numFmtId="3" fontId="41" fillId="0" borderId="0" xfId="11265" quotePrefix="1" applyNumberFormat="1" applyFont="1" applyFill="1" applyAlignment="1"/>
    <xf numFmtId="43" fontId="61" fillId="0" borderId="0" xfId="511" applyNumberFormat="1" applyFont="1" applyFill="1" applyAlignment="1">
      <alignment horizontal="left"/>
    </xf>
    <xf numFmtId="0" fontId="61" fillId="0" borderId="0" xfId="511" applyFont="1" applyFill="1" applyAlignment="1">
      <alignment horizontal="center"/>
    </xf>
    <xf numFmtId="0" fontId="61" fillId="0" borderId="0" xfId="511" applyFont="1" applyFill="1" applyAlignment="1">
      <alignment horizontal="left"/>
    </xf>
    <xf numFmtId="2" fontId="61" fillId="0" borderId="0" xfId="511" applyNumberFormat="1" applyFont="1" applyFill="1" applyAlignment="1">
      <alignment horizontal="left"/>
    </xf>
    <xf numFmtId="0" fontId="61" fillId="0" borderId="0" xfId="511" applyFont="1" applyFill="1"/>
    <xf numFmtId="0" fontId="127" fillId="0" borderId="0" xfId="0" applyFont="1" applyFill="1"/>
    <xf numFmtId="2" fontId="41" fillId="0" borderId="0" xfId="0" applyNumberFormat="1" applyFont="1" applyFill="1" applyAlignment="1">
      <alignment horizontal="center"/>
    </xf>
    <xf numFmtId="193" fontId="41" fillId="0" borderId="0" xfId="0" applyNumberFormat="1" applyFont="1" applyFill="1" applyBorder="1"/>
    <xf numFmtId="170" fontId="110" fillId="0" borderId="0" xfId="382" applyNumberFormat="1" applyFont="1" applyFill="1" applyBorder="1" applyAlignment="1"/>
    <xf numFmtId="164" fontId="110" fillId="0" borderId="0" xfId="382" applyNumberFormat="1" applyFont="1" applyFill="1" applyBorder="1" applyAlignment="1">
      <alignment horizontal="right"/>
    </xf>
    <xf numFmtId="0" fontId="41" fillId="0" borderId="0" xfId="0" applyNumberFormat="1" applyFont="1" applyFill="1" applyBorder="1" applyAlignment="1"/>
    <xf numFmtId="164" fontId="61" fillId="0" borderId="0" xfId="382" applyNumberFormat="1" applyFont="1" applyFill="1" applyAlignment="1"/>
    <xf numFmtId="0" fontId="41" fillId="0" borderId="0" xfId="0" applyFont="1" applyFill="1" applyBorder="1" applyAlignment="1">
      <alignment horizontal="left" wrapText="1" indent="1"/>
    </xf>
    <xf numFmtId="0" fontId="41" fillId="0" borderId="0" xfId="0" applyFont="1" applyFill="1" applyBorder="1" applyAlignment="1">
      <alignment horizontal="left" wrapText="1"/>
    </xf>
    <xf numFmtId="164" fontId="41" fillId="0" borderId="0" xfId="382" applyNumberFormat="1" applyFont="1" applyFill="1" applyBorder="1" applyAlignment="1">
      <alignment vertical="top"/>
    </xf>
    <xf numFmtId="164" fontId="24" fillId="0" borderId="18" xfId="382" applyNumberFormat="1" applyFont="1" applyFill="1" applyBorder="1"/>
    <xf numFmtId="164" fontId="41" fillId="37" borderId="0" xfId="382" applyNumberFormat="1" applyFont="1" applyFill="1" applyAlignment="1">
      <alignment horizontal="left" vertical="top" indent="2"/>
    </xf>
    <xf numFmtId="164" fontId="41" fillId="37" borderId="18" xfId="382" applyNumberFormat="1" applyFont="1" applyFill="1" applyBorder="1" applyAlignment="1">
      <alignment horizontal="left" vertical="top" indent="2"/>
    </xf>
    <xf numFmtId="0" fontId="41" fillId="0" borderId="0" xfId="474" quotePrefix="1" applyFont="1" applyAlignment="1">
      <alignment horizontal="center" vertical="top"/>
    </xf>
    <xf numFmtId="0" fontId="41" fillId="53" borderId="0" xfId="0" applyFont="1" applyFill="1" applyBorder="1" applyAlignment="1">
      <alignment horizontal="left" wrapText="1"/>
    </xf>
    <xf numFmtId="0" fontId="41" fillId="0" borderId="0" xfId="0" applyFont="1" applyFill="1" applyAlignment="1">
      <alignment horizontal="left" vertical="top" wrapText="1"/>
    </xf>
    <xf numFmtId="0" fontId="41" fillId="0" borderId="0" xfId="0" applyFont="1" applyFill="1" applyAlignment="1">
      <alignment horizontal="center"/>
    </xf>
    <xf numFmtId="0" fontId="41" fillId="0" borderId="0" xfId="0" applyFont="1" applyFill="1" applyBorder="1" applyAlignment="1">
      <alignment horizontal="left" wrapText="1"/>
    </xf>
    <xf numFmtId="0" fontId="41" fillId="0" borderId="0" xfId="0" applyFont="1" applyFill="1" applyAlignment="1">
      <alignment horizontal="left" vertical="top"/>
    </xf>
    <xf numFmtId="0" fontId="146" fillId="0" borderId="0" xfId="513" applyFont="1"/>
    <xf numFmtId="0" fontId="146" fillId="0" borderId="0" xfId="511" applyFont="1" applyFill="1"/>
    <xf numFmtId="43" fontId="61" fillId="0" borderId="0" xfId="425" applyFont="1" applyFill="1"/>
    <xf numFmtId="164" fontId="146" fillId="0" borderId="0" xfId="382" applyNumberFormat="1" applyFont="1" applyFill="1" applyBorder="1"/>
    <xf numFmtId="0" fontId="41" fillId="0" borderId="0" xfId="474" applyFont="1" applyFill="1" applyAlignment="1">
      <alignment horizontal="left" vertical="top"/>
    </xf>
    <xf numFmtId="0" fontId="41" fillId="0" borderId="0" xfId="474" quotePrefix="1" applyFont="1" applyFill="1" applyAlignment="1">
      <alignment horizontal="left" vertical="top"/>
    </xf>
    <xf numFmtId="0" fontId="128" fillId="0" borderId="0" xfId="0" applyFont="1" applyFill="1"/>
    <xf numFmtId="0" fontId="148" fillId="0" borderId="0" xfId="496" applyFont="1"/>
    <xf numFmtId="0" fontId="124" fillId="0" borderId="0" xfId="484" applyFont="1" applyFill="1" applyBorder="1" applyAlignment="1">
      <alignment vertical="top"/>
    </xf>
    <xf numFmtId="0" fontId="61" fillId="0" borderId="0" xfId="511" applyFont="1" applyAlignment="1">
      <alignment horizontal="left" vertical="top"/>
    </xf>
    <xf numFmtId="0" fontId="140" fillId="0" borderId="0" xfId="0" applyFont="1" applyFill="1" applyBorder="1" applyAlignment="1">
      <alignment horizontal="center"/>
    </xf>
    <xf numFmtId="199" fontId="41" fillId="0" borderId="11" xfId="382" applyNumberFormat="1" applyFont="1" applyFill="1" applyBorder="1" applyAlignment="1">
      <alignment horizontal="right"/>
    </xf>
    <xf numFmtId="199" fontId="41" fillId="0" borderId="11" xfId="382" applyNumberFormat="1" applyFont="1" applyFill="1" applyBorder="1"/>
    <xf numFmtId="199" fontId="41" fillId="0" borderId="30" xfId="382" applyNumberFormat="1" applyFont="1" applyFill="1" applyBorder="1"/>
    <xf numFmtId="199" fontId="41" fillId="0" borderId="30" xfId="382" applyNumberFormat="1" applyFont="1" applyFill="1" applyBorder="1" applyAlignment="1">
      <alignment horizontal="right"/>
    </xf>
    <xf numFmtId="199" fontId="41" fillId="0" borderId="11" xfId="382" applyNumberFormat="1" applyFont="1" applyBorder="1"/>
    <xf numFmtId="199" fontId="41" fillId="0" borderId="11" xfId="382" applyNumberFormat="1" applyFont="1" applyBorder="1" applyAlignment="1">
      <alignment horizontal="right"/>
    </xf>
    <xf numFmtId="169" fontId="110" fillId="0" borderId="0" xfId="37694" applyFont="1" applyAlignment="1">
      <alignment horizontal="center"/>
    </xf>
    <xf numFmtId="49" fontId="110" fillId="0" borderId="0" xfId="37696" applyNumberFormat="1" applyFont="1" applyFill="1" applyAlignment="1" applyProtection="1">
      <protection locked="0"/>
    </xf>
    <xf numFmtId="0" fontId="110" fillId="0" borderId="0" xfId="37696" applyNumberFormat="1" applyFont="1" applyFill="1" applyAlignment="1">
      <alignment wrapText="1"/>
    </xf>
    <xf numFmtId="0" fontId="110" fillId="0" borderId="0" xfId="37696" applyNumberFormat="1" applyFont="1" applyFill="1" applyAlignment="1" applyProtection="1">
      <alignment horizontal="left"/>
      <protection locked="0"/>
    </xf>
    <xf numFmtId="164" fontId="110" fillId="0" borderId="6" xfId="382" applyNumberFormat="1" applyFont="1" applyBorder="1" applyAlignment="1"/>
    <xf numFmtId="0" fontId="43" fillId="0" borderId="5" xfId="0" applyNumberFormat="1" applyFont="1" applyFill="1" applyBorder="1" applyAlignment="1">
      <alignment horizontal="left"/>
    </xf>
    <xf numFmtId="0" fontId="43" fillId="0" borderId="5" xfId="0" applyFont="1" applyFill="1" applyBorder="1" applyAlignment="1">
      <alignment horizontal="center"/>
    </xf>
    <xf numFmtId="0" fontId="58" fillId="0" borderId="0" xfId="0" applyFont="1" applyFill="1" applyBorder="1"/>
    <xf numFmtId="3" fontId="45" fillId="0" borderId="35" xfId="0" quotePrefix="1" applyNumberFormat="1" applyFont="1" applyFill="1" applyBorder="1" applyAlignment="1">
      <alignment horizontal="left"/>
    </xf>
    <xf numFmtId="0" fontId="43" fillId="0" borderId="0" xfId="0" applyFont="1" applyFill="1" applyBorder="1" applyAlignment="1">
      <alignment horizontal="left"/>
    </xf>
    <xf numFmtId="3" fontId="45" fillId="0" borderId="18" xfId="0" applyNumberFormat="1" applyFont="1" applyFill="1" applyBorder="1" applyAlignment="1">
      <alignment horizontal="center"/>
    </xf>
    <xf numFmtId="168" fontId="127" fillId="0" borderId="0" xfId="0" applyNumberFormat="1" applyFont="1" applyFill="1" applyBorder="1" applyAlignment="1">
      <alignment horizontal="left"/>
    </xf>
    <xf numFmtId="3" fontId="43" fillId="0" borderId="38" xfId="0" applyNumberFormat="1" applyFont="1" applyFill="1" applyBorder="1" applyAlignment="1">
      <alignment horizontal="right"/>
    </xf>
    <xf numFmtId="168" fontId="45" fillId="0" borderId="0" xfId="0" applyNumberFormat="1" applyFont="1" applyFill="1" applyBorder="1" applyAlignment="1">
      <alignment horizontal="left" indent="1"/>
    </xf>
    <xf numFmtId="168" fontId="45" fillId="0" borderId="18" xfId="0" applyNumberFormat="1" applyFont="1" applyFill="1" applyBorder="1" applyAlignment="1">
      <alignment horizontal="left" indent="1"/>
    </xf>
    <xf numFmtId="3" fontId="45" fillId="0" borderId="35" xfId="0" applyNumberFormat="1" applyFont="1" applyFill="1" applyBorder="1"/>
    <xf numFmtId="3" fontId="45" fillId="0" borderId="36" xfId="0" applyNumberFormat="1" applyFont="1" applyFill="1" applyBorder="1" applyAlignment="1">
      <alignment horizontal="right"/>
    </xf>
    <xf numFmtId="0" fontId="45" fillId="50" borderId="0" xfId="0" applyFont="1" applyFill="1" applyBorder="1" applyAlignment="1">
      <alignment horizontal="center"/>
    </xf>
    <xf numFmtId="3" fontId="45" fillId="0" borderId="35" xfId="0" applyNumberFormat="1" applyFont="1" applyFill="1" applyBorder="1" applyAlignment="1">
      <alignment wrapText="1"/>
    </xf>
    <xf numFmtId="37" fontId="45" fillId="0" borderId="35" xfId="0" quotePrefix="1" applyNumberFormat="1" applyFont="1" applyFill="1" applyBorder="1" applyAlignment="1"/>
    <xf numFmtId="169" fontId="110" fillId="0" borderId="7" xfId="37696" applyFont="1" applyFill="1" applyBorder="1" applyAlignment="1"/>
    <xf numFmtId="0" fontId="110" fillId="0" borderId="7" xfId="37696" applyNumberFormat="1" applyFont="1" applyFill="1" applyBorder="1" applyProtection="1">
      <protection locked="0"/>
    </xf>
    <xf numFmtId="0" fontId="110" fillId="52" borderId="0" xfId="37695" applyFont="1" applyFill="1"/>
    <xf numFmtId="0" fontId="110" fillId="52" borderId="0" xfId="37696" applyNumberFormat="1" applyFont="1" applyFill="1"/>
    <xf numFmtId="0" fontId="110" fillId="52" borderId="0" xfId="37697" applyNumberFormat="1" applyFont="1" applyFill="1" applyAlignment="1">
      <alignment horizontal="right"/>
    </xf>
    <xf numFmtId="169" fontId="110" fillId="52" borderId="0" xfId="37694" applyFont="1" applyFill="1" applyAlignment="1"/>
    <xf numFmtId="0" fontId="110" fillId="52" borderId="0" xfId="37695" applyFont="1" applyFill="1" applyAlignment="1">
      <alignment horizontal="right"/>
    </xf>
    <xf numFmtId="169" fontId="131" fillId="52" borderId="0" xfId="37694" applyFont="1" applyFill="1" applyAlignment="1">
      <alignment horizontal="center" vertical="center"/>
    </xf>
    <xf numFmtId="170" fontId="110" fillId="0" borderId="0" xfId="382" applyNumberFormat="1" applyFont="1" applyFill="1" applyAlignment="1">
      <alignment horizontal="center" vertical="top"/>
    </xf>
    <xf numFmtId="0" fontId="110" fillId="0" borderId="0" xfId="37694" applyNumberFormat="1" applyFont="1" applyFill="1" applyAlignment="1">
      <alignment vertical="top"/>
    </xf>
    <xf numFmtId="1" fontId="41" fillId="0" borderId="0" xfId="510" applyNumberFormat="1" applyFont="1" applyFill="1" applyBorder="1" applyAlignment="1">
      <alignment horizontal="left"/>
    </xf>
    <xf numFmtId="0" fontId="41" fillId="0" borderId="6" xfId="0" applyFont="1" applyFill="1" applyBorder="1" applyAlignment="1">
      <alignment horizontal="left" wrapText="1"/>
    </xf>
    <xf numFmtId="0" fontId="41" fillId="0" borderId="0" xfId="504" quotePrefix="1" applyFont="1" applyAlignment="1">
      <alignment horizontal="center" vertical="top"/>
    </xf>
    <xf numFmtId="0" fontId="24" fillId="0" borderId="18" xfId="0" applyFont="1" applyFill="1" applyBorder="1" applyAlignment="1">
      <alignment horizontal="left" indent="1"/>
    </xf>
    <xf numFmtId="164" fontId="22" fillId="0" borderId="18" xfId="382" applyNumberFormat="1" applyFont="1" applyFill="1" applyBorder="1"/>
    <xf numFmtId="0" fontId="24" fillId="0" borderId="0" xfId="0" applyFont="1" applyFill="1" applyAlignment="1">
      <alignment horizontal="left"/>
    </xf>
    <xf numFmtId="164" fontId="41" fillId="0" borderId="17" xfId="382" applyNumberFormat="1" applyFont="1" applyFill="1" applyBorder="1" applyAlignment="1">
      <alignment vertical="top"/>
    </xf>
    <xf numFmtId="164" fontId="41" fillId="0" borderId="0" xfId="382" applyNumberFormat="1" applyFont="1" applyFill="1" applyAlignment="1">
      <alignment horizontal="left" vertical="top" indent="2"/>
    </xf>
    <xf numFmtId="0" fontId="61" fillId="0" borderId="0" xfId="511" quotePrefix="1" applyFont="1" applyFill="1" applyAlignment="1">
      <alignment horizontal="center"/>
    </xf>
    <xf numFmtId="0" fontId="61" fillId="0" borderId="0" xfId="511" quotePrefix="1" applyFont="1" applyFill="1" applyAlignment="1">
      <alignment horizontal="center" vertical="top"/>
    </xf>
    <xf numFmtId="0" fontId="139" fillId="0" borderId="0" xfId="0" applyFont="1" applyFill="1"/>
    <xf numFmtId="0" fontId="139" fillId="0" borderId="0" xfId="511" applyFont="1" applyFill="1"/>
    <xf numFmtId="0" fontId="41" fillId="0" borderId="0" xfId="484" quotePrefix="1" applyFont="1" applyFill="1" applyAlignment="1">
      <alignment vertical="top"/>
    </xf>
    <xf numFmtId="0" fontId="90" fillId="0" borderId="0" xfId="0" applyFont="1" applyFill="1" applyAlignment="1">
      <alignment horizontal="left"/>
    </xf>
    <xf numFmtId="0" fontId="90" fillId="0" borderId="0" xfId="0" applyFont="1" applyFill="1"/>
    <xf numFmtId="0" fontId="43" fillId="0" borderId="0" xfId="0" applyFont="1" applyFill="1" applyAlignment="1">
      <alignment vertical="top"/>
    </xf>
    <xf numFmtId="0" fontId="147" fillId="0" borderId="0" xfId="0" applyFont="1" applyFill="1" applyAlignment="1">
      <alignment vertical="top"/>
    </xf>
    <xf numFmtId="164" fontId="43" fillId="0" borderId="0" xfId="0" applyNumberFormat="1" applyFont="1" applyFill="1" applyAlignment="1">
      <alignment vertical="top"/>
    </xf>
    <xf numFmtId="164" fontId="45" fillId="0" borderId="0" xfId="0" applyNumberFormat="1" applyFont="1" applyFill="1" applyAlignment="1">
      <alignment vertical="top"/>
    </xf>
    <xf numFmtId="37" fontId="45" fillId="0" borderId="0" xfId="0" applyNumberFormat="1" applyFont="1" applyFill="1" applyAlignment="1">
      <alignment vertical="top"/>
    </xf>
    <xf numFmtId="0" fontId="42" fillId="0" borderId="16" xfId="0" applyFont="1" applyFill="1" applyBorder="1" applyAlignment="1">
      <alignment horizontal="left" indent="1"/>
    </xf>
    <xf numFmtId="1" fontId="61" fillId="0" borderId="0" xfId="11275" applyNumberFormat="1" applyFont="1" applyFill="1" applyAlignment="1">
      <alignment horizontal="left"/>
    </xf>
    <xf numFmtId="0" fontId="61" fillId="0" borderId="0" xfId="11275" applyFont="1" applyFill="1" applyAlignment="1">
      <alignment horizontal="left"/>
    </xf>
    <xf numFmtId="0" fontId="61" fillId="0" borderId="0" xfId="11275" quotePrefix="1" applyFont="1" applyFill="1" applyAlignment="1">
      <alignment horizontal="left"/>
    </xf>
    <xf numFmtId="0" fontId="24" fillId="0" borderId="0" xfId="11271" quotePrefix="1" applyFont="1" applyFill="1" applyAlignment="1">
      <alignment horizontal="center"/>
    </xf>
    <xf numFmtId="2" fontId="41" fillId="0" borderId="0" xfId="474" applyNumberFormat="1" applyFont="1" applyFill="1" applyAlignment="1">
      <alignment horizontal="left" vertical="top"/>
    </xf>
    <xf numFmtId="0" fontId="41" fillId="0" borderId="0" xfId="0" applyFont="1" applyAlignment="1">
      <alignment horizontal="center" vertical="center"/>
    </xf>
    <xf numFmtId="0" fontId="21" fillId="0" borderId="0" xfId="0" applyFont="1" applyFill="1" applyAlignment="1">
      <alignment horizontal="center"/>
    </xf>
    <xf numFmtId="0" fontId="21" fillId="0" borderId="0" xfId="0" applyFont="1"/>
    <xf numFmtId="164" fontId="21" fillId="0" borderId="17" xfId="382" applyNumberFormat="1" applyFont="1" applyBorder="1"/>
    <xf numFmtId="164" fontId="41" fillId="0" borderId="17" xfId="382" applyNumberFormat="1" applyFont="1" applyFill="1" applyBorder="1"/>
    <xf numFmtId="0" fontId="21" fillId="0" borderId="0" xfId="0" applyFont="1" applyFill="1"/>
    <xf numFmtId="164" fontId="21" fillId="0" borderId="0" xfId="423" applyNumberFormat="1" applyFont="1" applyFill="1"/>
    <xf numFmtId="164" fontId="21" fillId="0" borderId="0" xfId="382" applyNumberFormat="1" applyFont="1" applyFill="1"/>
    <xf numFmtId="0" fontId="21" fillId="0" borderId="0" xfId="0" applyFont="1" applyFill="1" applyAlignment="1">
      <alignment horizontal="left" indent="1"/>
    </xf>
    <xf numFmtId="164" fontId="21" fillId="0" borderId="0" xfId="382" applyNumberFormat="1" applyFont="1"/>
    <xf numFmtId="164" fontId="21" fillId="0" borderId="17" xfId="382" applyNumberFormat="1" applyFont="1" applyFill="1" applyBorder="1"/>
    <xf numFmtId="0" fontId="21" fillId="0" borderId="0" xfId="0" quotePrefix="1" applyFont="1" applyAlignment="1">
      <alignment horizontal="center" vertical="top"/>
    </xf>
    <xf numFmtId="0" fontId="21" fillId="0" borderId="0" xfId="0" applyFont="1" applyAlignment="1">
      <alignment horizontal="center"/>
    </xf>
    <xf numFmtId="0" fontId="21" fillId="0" borderId="0" xfId="0" applyFont="1" applyFill="1" applyAlignment="1">
      <alignment horizontal="left"/>
    </xf>
    <xf numFmtId="3" fontId="110" fillId="0" borderId="0" xfId="37696" applyNumberFormat="1" applyFont="1" applyFill="1" applyAlignment="1">
      <alignment vertical="top" wrapText="1"/>
    </xf>
    <xf numFmtId="0" fontId="110" fillId="0" borderId="0" xfId="37696" applyNumberFormat="1" applyFont="1" applyFill="1" applyAlignment="1">
      <alignment horizontal="left" vertical="top"/>
    </xf>
    <xf numFmtId="169" fontId="110" fillId="0" borderId="0" xfId="37694" quotePrefix="1" applyFont="1" applyFill="1" applyAlignment="1">
      <alignment vertical="top"/>
    </xf>
    <xf numFmtId="0" fontId="41" fillId="0" borderId="0" xfId="513" applyFont="1"/>
    <xf numFmtId="0" fontId="61" fillId="0" borderId="0" xfId="0" applyFont="1" applyFill="1" applyAlignment="1">
      <alignment horizontal="center"/>
    </xf>
    <xf numFmtId="0" fontId="20" fillId="0" borderId="0" xfId="0" applyFont="1" applyFill="1" applyAlignment="1">
      <alignment horizontal="center"/>
    </xf>
    <xf numFmtId="0" fontId="20" fillId="0" borderId="0" xfId="0" applyFont="1" applyFill="1"/>
    <xf numFmtId="164" fontId="20" fillId="0" borderId="0" xfId="423" applyNumberFormat="1" applyFont="1" applyFill="1"/>
    <xf numFmtId="0" fontId="20" fillId="0" borderId="0" xfId="0" applyFont="1" applyFill="1" applyAlignment="1">
      <alignment horizontal="left" indent="1"/>
    </xf>
    <xf numFmtId="164" fontId="20" fillId="0" borderId="0" xfId="382" applyNumberFormat="1" applyFont="1" applyFill="1"/>
    <xf numFmtId="0" fontId="20" fillId="0" borderId="0" xfId="0" applyFont="1" applyFill="1" applyAlignment="1">
      <alignment horizontal="left"/>
    </xf>
    <xf numFmtId="164" fontId="20" fillId="0" borderId="0" xfId="0" applyNumberFormat="1" applyFont="1" applyFill="1"/>
    <xf numFmtId="164" fontId="20" fillId="0" borderId="0" xfId="0" applyNumberFormat="1" applyFont="1" applyFill="1" applyBorder="1"/>
    <xf numFmtId="164" fontId="20" fillId="0" borderId="17" xfId="0" applyNumberFormat="1" applyFont="1" applyFill="1" applyBorder="1"/>
    <xf numFmtId="43" fontId="20" fillId="0" borderId="0" xfId="423" applyFont="1" applyFill="1"/>
    <xf numFmtId="9" fontId="61" fillId="0" borderId="0" xfId="674" applyFont="1"/>
    <xf numFmtId="164" fontId="19" fillId="0" borderId="18" xfId="382" applyNumberFormat="1" applyFont="1" applyFill="1" applyBorder="1"/>
    <xf numFmtId="0" fontId="43" fillId="0" borderId="56" xfId="0" applyFont="1" applyFill="1" applyBorder="1" applyAlignment="1">
      <alignment horizontal="center"/>
    </xf>
    <xf numFmtId="0" fontId="43" fillId="50" borderId="57" xfId="0" applyFont="1" applyFill="1" applyBorder="1" applyAlignment="1">
      <alignment horizontal="left"/>
    </xf>
    <xf numFmtId="0" fontId="43" fillId="50" borderId="56" xfId="0" applyFont="1" applyFill="1" applyBorder="1" applyAlignment="1">
      <alignment horizontal="left"/>
    </xf>
    <xf numFmtId="0" fontId="43" fillId="50" borderId="56" xfId="0" applyFont="1" applyFill="1" applyBorder="1" applyAlignment="1"/>
    <xf numFmtId="0" fontId="45" fillId="0" borderId="22" xfId="0" applyFont="1" applyBorder="1"/>
    <xf numFmtId="0" fontId="45" fillId="0" borderId="59" xfId="0" applyFont="1" applyFill="1" applyBorder="1" applyAlignment="1">
      <alignment horizontal="center" wrapText="1"/>
    </xf>
    <xf numFmtId="3" fontId="45" fillId="0" borderId="60" xfId="0" applyNumberFormat="1" applyFont="1" applyBorder="1" applyAlignment="1"/>
    <xf numFmtId="164" fontId="45" fillId="0" borderId="60" xfId="382" applyNumberFormat="1" applyFont="1" applyFill="1" applyBorder="1" applyAlignment="1"/>
    <xf numFmtId="164" fontId="45" fillId="0" borderId="61" xfId="382" applyNumberFormat="1" applyFont="1" applyFill="1" applyBorder="1" applyAlignment="1"/>
    <xf numFmtId="164" fontId="45" fillId="0" borderId="62" xfId="382" applyNumberFormat="1" applyFont="1" applyFill="1" applyBorder="1" applyAlignment="1"/>
    <xf numFmtId="171" fontId="43" fillId="0" borderId="60" xfId="674" applyNumberFormat="1" applyFont="1" applyFill="1" applyBorder="1" applyAlignment="1"/>
    <xf numFmtId="0" fontId="45" fillId="0" borderId="60" xfId="0" applyFont="1" applyFill="1" applyBorder="1"/>
    <xf numFmtId="164" fontId="45" fillId="0" borderId="60" xfId="382" applyNumberFormat="1" applyFont="1" applyFill="1" applyBorder="1"/>
    <xf numFmtId="171" fontId="43" fillId="0" borderId="60" xfId="674" applyNumberFormat="1" applyFont="1" applyBorder="1" applyAlignment="1"/>
    <xf numFmtId="0" fontId="45" fillId="50" borderId="64" xfId="0" applyFont="1" applyFill="1" applyBorder="1" applyAlignment="1">
      <alignment horizontal="center" wrapText="1"/>
    </xf>
    <xf numFmtId="0" fontId="45" fillId="0" borderId="60" xfId="0" applyFont="1" applyFill="1" applyBorder="1" applyAlignment="1">
      <alignment horizontal="center" wrapText="1"/>
    </xf>
    <xf numFmtId="3" fontId="45" fillId="0" borderId="60" xfId="0" applyNumberFormat="1" applyFont="1" applyFill="1" applyBorder="1" applyAlignment="1"/>
    <xf numFmtId="164" fontId="43" fillId="0" borderId="60" xfId="382" applyNumberFormat="1" applyFont="1" applyFill="1" applyBorder="1" applyAlignment="1"/>
    <xf numFmtId="171" fontId="45" fillId="0" borderId="61" xfId="674" applyNumberFormat="1" applyFont="1" applyFill="1" applyBorder="1" applyAlignment="1"/>
    <xf numFmtId="164" fontId="43" fillId="0" borderId="63" xfId="382" applyNumberFormat="1" applyFont="1" applyFill="1" applyBorder="1"/>
    <xf numFmtId="164" fontId="66" fillId="0" borderId="60" xfId="382" applyNumberFormat="1" applyFont="1" applyFill="1" applyBorder="1"/>
    <xf numFmtId="3" fontId="45" fillId="0" borderId="60" xfId="0" applyNumberFormat="1" applyFont="1" applyBorder="1"/>
    <xf numFmtId="171" fontId="45" fillId="0" borderId="61" xfId="0" applyNumberFormat="1" applyFont="1" applyFill="1" applyBorder="1" applyAlignment="1">
      <alignment horizontal="right"/>
    </xf>
    <xf numFmtId="164" fontId="45" fillId="0" borderId="60" xfId="382" applyNumberFormat="1" applyFont="1" applyFill="1" applyBorder="1" applyAlignment="1">
      <alignment horizontal="right"/>
    </xf>
    <xf numFmtId="164" fontId="45" fillId="0" borderId="65" xfId="382" applyNumberFormat="1" applyFont="1" applyFill="1" applyBorder="1" applyAlignment="1">
      <alignment horizontal="right"/>
    </xf>
    <xf numFmtId="3" fontId="45" fillId="0" borderId="60" xfId="0" applyNumberFormat="1" applyFont="1" applyFill="1" applyBorder="1" applyAlignment="1">
      <alignment horizontal="right"/>
    </xf>
    <xf numFmtId="164" fontId="45" fillId="37" borderId="60" xfId="382" applyNumberFormat="1" applyFont="1" applyFill="1" applyBorder="1" applyAlignment="1"/>
    <xf numFmtId="3" fontId="43" fillId="0" borderId="60" xfId="0" applyNumberFormat="1" applyFont="1" applyFill="1" applyBorder="1" applyAlignment="1"/>
    <xf numFmtId="171" fontId="45" fillId="0" borderId="60" xfId="0" applyNumberFormat="1" applyFont="1" applyFill="1" applyBorder="1" applyAlignment="1">
      <alignment horizontal="right"/>
    </xf>
    <xf numFmtId="164" fontId="45" fillId="0" borderId="61" xfId="382" applyNumberFormat="1" applyFont="1" applyFill="1" applyBorder="1" applyAlignment="1">
      <alignment horizontal="right"/>
    </xf>
    <xf numFmtId="164" fontId="45" fillId="0" borderId="58" xfId="382" applyNumberFormat="1" applyFont="1" applyFill="1" applyBorder="1" applyAlignment="1">
      <alignment horizontal="right"/>
    </xf>
    <xf numFmtId="164" fontId="43" fillId="0" borderId="60" xfId="382" applyNumberFormat="1" applyFont="1" applyFill="1" applyBorder="1"/>
    <xf numFmtId="0" fontId="45" fillId="0" borderId="60" xfId="0" applyFont="1" applyBorder="1"/>
    <xf numFmtId="164" fontId="43" fillId="0" borderId="60" xfId="382" applyNumberFormat="1" applyFont="1" applyFill="1" applyBorder="1" applyAlignment="1">
      <alignment horizontal="right"/>
    </xf>
    <xf numFmtId="164" fontId="45" fillId="37" borderId="61" xfId="382" applyNumberFormat="1" applyFont="1" applyFill="1" applyBorder="1" applyAlignment="1"/>
    <xf numFmtId="164" fontId="45" fillId="0" borderId="60" xfId="382" applyNumberFormat="1" applyFont="1" applyBorder="1"/>
    <xf numFmtId="164" fontId="43" fillId="0" borderId="63" xfId="382" applyNumberFormat="1" applyFont="1" applyBorder="1"/>
    <xf numFmtId="164" fontId="45" fillId="50" borderId="65" xfId="382" applyNumberFormat="1" applyFont="1" applyFill="1" applyBorder="1" applyAlignment="1">
      <alignment horizontal="center" wrapText="1"/>
    </xf>
    <xf numFmtId="164" fontId="45" fillId="0" borderId="60" xfId="382" applyNumberFormat="1" applyFont="1" applyFill="1" applyBorder="1" applyAlignment="1">
      <alignment horizontal="center" wrapText="1"/>
    </xf>
    <xf numFmtId="164" fontId="45" fillId="0" borderId="60" xfId="382" applyNumberFormat="1" applyFont="1" applyBorder="1" applyAlignment="1"/>
    <xf numFmtId="164" fontId="47" fillId="0" borderId="60" xfId="382" applyNumberFormat="1" applyFont="1" applyFill="1" applyBorder="1" applyAlignment="1">
      <alignment horizontal="right"/>
    </xf>
    <xf numFmtId="164" fontId="43" fillId="0" borderId="63" xfId="382" applyNumberFormat="1" applyFont="1" applyFill="1" applyBorder="1" applyAlignment="1"/>
    <xf numFmtId="171" fontId="47" fillId="0" borderId="60" xfId="0" applyNumberFormat="1" applyFont="1" applyFill="1" applyBorder="1" applyAlignment="1">
      <alignment horizontal="right"/>
    </xf>
    <xf numFmtId="164" fontId="45" fillId="37" borderId="61" xfId="382" applyNumberFormat="1" applyFont="1" applyFill="1" applyBorder="1" applyAlignment="1">
      <alignment horizontal="right"/>
    </xf>
    <xf numFmtId="164" fontId="45" fillId="37" borderId="60" xfId="382" applyNumberFormat="1" applyFont="1" applyFill="1" applyBorder="1" applyAlignment="1">
      <alignment horizontal="right"/>
    </xf>
    <xf numFmtId="37" fontId="45" fillId="0" borderId="61" xfId="382" applyNumberFormat="1" applyFont="1" applyFill="1" applyBorder="1" applyAlignment="1">
      <alignment horizontal="right"/>
    </xf>
    <xf numFmtId="164" fontId="43" fillId="0" borderId="63" xfId="382" applyNumberFormat="1" applyFont="1" applyFill="1" applyBorder="1" applyAlignment="1">
      <alignment horizontal="right"/>
    </xf>
    <xf numFmtId="164" fontId="45" fillId="50" borderId="64" xfId="382" applyNumberFormat="1" applyFont="1" applyFill="1" applyBorder="1" applyAlignment="1">
      <alignment horizontal="center" wrapText="1"/>
    </xf>
    <xf numFmtId="164" fontId="43" fillId="0" borderId="60" xfId="382" applyNumberFormat="1" applyFont="1" applyBorder="1" applyAlignment="1"/>
    <xf numFmtId="164" fontId="45" fillId="0" borderId="61" xfId="382" applyNumberFormat="1" applyFont="1" applyFill="1" applyBorder="1"/>
    <xf numFmtId="0" fontId="45" fillId="50" borderId="65" xfId="0" applyFont="1" applyFill="1" applyBorder="1" applyAlignment="1">
      <alignment horizontal="center" wrapText="1"/>
    </xf>
    <xf numFmtId="37" fontId="45" fillId="0" borderId="60" xfId="0" applyNumberFormat="1" applyFont="1" applyFill="1" applyBorder="1"/>
    <xf numFmtId="10" fontId="45" fillId="0" borderId="60" xfId="674" applyNumberFormat="1" applyFont="1" applyFill="1" applyBorder="1" applyAlignment="1"/>
    <xf numFmtId="10" fontId="45" fillId="0" borderId="60" xfId="0" applyNumberFormat="1" applyFont="1" applyFill="1" applyBorder="1" applyAlignment="1"/>
    <xf numFmtId="10" fontId="45" fillId="37" borderId="60" xfId="674" applyNumberFormat="1" applyFont="1" applyFill="1" applyBorder="1" applyAlignment="1"/>
    <xf numFmtId="10" fontId="45" fillId="0" borderId="61" xfId="674" applyNumberFormat="1" applyFont="1" applyFill="1" applyBorder="1" applyAlignment="1"/>
    <xf numFmtId="10" fontId="43" fillId="0" borderId="60" xfId="674" applyNumberFormat="1" applyFont="1" applyFill="1" applyBorder="1" applyAlignment="1"/>
    <xf numFmtId="166" fontId="43" fillId="0" borderId="60" xfId="0" applyNumberFormat="1" applyFont="1" applyBorder="1" applyAlignment="1"/>
    <xf numFmtId="3" fontId="43" fillId="0" borderId="66" xfId="0" applyNumberFormat="1" applyFont="1" applyBorder="1" applyAlignment="1"/>
    <xf numFmtId="166" fontId="45" fillId="0" borderId="60" xfId="0" applyNumberFormat="1" applyFont="1" applyBorder="1" applyAlignment="1"/>
    <xf numFmtId="10" fontId="45" fillId="37" borderId="60" xfId="0" applyNumberFormat="1" applyFont="1" applyFill="1" applyBorder="1" applyAlignment="1"/>
    <xf numFmtId="10" fontId="45" fillId="0" borderId="60" xfId="0" applyNumberFormat="1" applyFont="1" applyFill="1" applyBorder="1"/>
    <xf numFmtId="10" fontId="45" fillId="0" borderId="60" xfId="0" applyNumberFormat="1" applyFont="1" applyFill="1" applyBorder="1" applyAlignment="1">
      <alignment horizontal="right"/>
    </xf>
    <xf numFmtId="10" fontId="45" fillId="0" borderId="60" xfId="674" applyNumberFormat="1" applyFont="1" applyBorder="1" applyAlignment="1"/>
    <xf numFmtId="164" fontId="45" fillId="0" borderId="60" xfId="382" applyNumberFormat="1" applyFont="1" applyBorder="1" applyAlignment="1">
      <alignment horizontal="right"/>
    </xf>
    <xf numFmtId="164" fontId="43" fillId="0" borderId="62" xfId="382" applyNumberFormat="1" applyFont="1" applyBorder="1"/>
    <xf numFmtId="164" fontId="43" fillId="0" borderId="67" xfId="382" applyNumberFormat="1" applyFont="1" applyFill="1" applyBorder="1"/>
    <xf numFmtId="164" fontId="43" fillId="0" borderId="60" xfId="382" applyNumberFormat="1" applyFont="1" applyBorder="1"/>
    <xf numFmtId="164" fontId="43" fillId="0" borderId="69" xfId="382" applyNumberFormat="1" applyFont="1" applyFill="1" applyBorder="1"/>
    <xf numFmtId="43" fontId="43" fillId="0" borderId="69" xfId="382" applyFont="1" applyBorder="1"/>
    <xf numFmtId="0" fontId="41" fillId="0" borderId="0" xfId="0" applyFont="1" applyFill="1" applyAlignment="1">
      <alignment horizontal="center"/>
    </xf>
    <xf numFmtId="43" fontId="41" fillId="37" borderId="0" xfId="382" applyFont="1" applyFill="1" applyBorder="1" applyAlignment="1"/>
    <xf numFmtId="0" fontId="45" fillId="0" borderId="0" xfId="0" applyFont="1" applyFill="1" applyBorder="1" applyAlignment="1">
      <alignment horizontal="left" vertical="top" wrapText="1"/>
    </xf>
    <xf numFmtId="0" fontId="45" fillId="0" borderId="0" xfId="0" applyNumberFormat="1" applyFont="1" applyFill="1" applyAlignment="1">
      <alignment horizontal="left" vertical="top" wrapText="1"/>
    </xf>
    <xf numFmtId="0" fontId="41" fillId="0" borderId="0" xfId="0" applyFont="1" applyFill="1" applyBorder="1" applyAlignment="1">
      <alignment horizontal="left" wrapText="1"/>
    </xf>
    <xf numFmtId="0" fontId="61" fillId="0" borderId="0" xfId="0" applyFont="1" applyFill="1" applyAlignment="1">
      <alignment horizontal="center"/>
    </xf>
    <xf numFmtId="164" fontId="61" fillId="37" borderId="0" xfId="382" applyNumberFormat="1" applyFont="1" applyFill="1" applyBorder="1"/>
    <xf numFmtId="0" fontId="139" fillId="0" borderId="0" xfId="513" applyFont="1" applyFill="1"/>
    <xf numFmtId="164" fontId="61" fillId="37" borderId="18" xfId="382" applyNumberFormat="1" applyFont="1" applyFill="1" applyBorder="1"/>
    <xf numFmtId="43" fontId="41" fillId="0" borderId="0" xfId="382" applyFont="1" applyFill="1" applyBorder="1" applyAlignment="1">
      <alignment horizontal="right"/>
    </xf>
    <xf numFmtId="0" fontId="41" fillId="0" borderId="0" xfId="484" quotePrefix="1" applyFont="1" applyFill="1" applyAlignment="1">
      <alignment horizontal="center" vertical="top"/>
    </xf>
    <xf numFmtId="0" fontId="18" fillId="0" borderId="0" xfId="0" applyFont="1" applyFill="1" applyAlignment="1">
      <alignment horizontal="left"/>
    </xf>
    <xf numFmtId="0" fontId="61" fillId="0" borderId="0" xfId="511" quotePrefix="1" applyFont="1" applyAlignment="1">
      <alignment horizontal="center"/>
    </xf>
    <xf numFmtId="0" fontId="41" fillId="0" borderId="0" xfId="511" quotePrefix="1" applyFont="1" applyFill="1" applyAlignment="1">
      <alignment horizontal="center"/>
    </xf>
    <xf numFmtId="0" fontId="21" fillId="0" borderId="0" xfId="0" quotePrefix="1" applyFont="1" applyFill="1" applyAlignment="1">
      <alignment horizontal="center" vertical="top"/>
    </xf>
    <xf numFmtId="0" fontId="23" fillId="0" borderId="0" xfId="0" applyFont="1" applyFill="1"/>
    <xf numFmtId="0" fontId="61" fillId="0" borderId="0" xfId="511" applyFont="1" applyFill="1" applyAlignment="1">
      <alignment vertical="top" wrapText="1"/>
    </xf>
    <xf numFmtId="43" fontId="24" fillId="0" borderId="18" xfId="382" applyFont="1" applyFill="1" applyBorder="1" applyAlignment="1">
      <alignment horizontal="center" wrapText="1"/>
    </xf>
    <xf numFmtId="0" fontId="139" fillId="0" borderId="0" xfId="511" applyFont="1" applyFill="1" applyAlignment="1">
      <alignment vertical="top" wrapText="1"/>
    </xf>
    <xf numFmtId="0" fontId="24" fillId="0" borderId="0" xfId="11271" applyFont="1" applyFill="1" applyAlignment="1">
      <alignment horizontal="center"/>
    </xf>
    <xf numFmtId="0" fontId="41" fillId="0" borderId="0" xfId="0" applyFont="1" applyFill="1" applyBorder="1" applyAlignment="1">
      <alignment vertical="top" wrapText="1"/>
    </xf>
    <xf numFmtId="0" fontId="61" fillId="0" borderId="0" xfId="11275" applyFont="1" applyFill="1"/>
    <xf numFmtId="0" fontId="61" fillId="0" borderId="0" xfId="569" applyFont="1" applyFill="1" applyBorder="1"/>
    <xf numFmtId="0" fontId="61" fillId="0" borderId="0" xfId="11275" quotePrefix="1" applyFont="1" applyFill="1" applyAlignment="1">
      <alignment horizontal="center"/>
    </xf>
    <xf numFmtId="0" fontId="61" fillId="0" borderId="0" xfId="11275" quotePrefix="1" applyFont="1" applyFill="1" applyAlignment="1">
      <alignment horizontal="center" vertical="top"/>
    </xf>
    <xf numFmtId="0" fontId="41" fillId="0" borderId="16" xfId="0" applyFont="1" applyFill="1" applyBorder="1" applyAlignment="1"/>
    <xf numFmtId="164" fontId="61" fillId="0" borderId="0" xfId="382" applyNumberFormat="1" applyFont="1" applyFill="1" applyBorder="1"/>
    <xf numFmtId="0" fontId="0" fillId="0" borderId="0" xfId="0" applyFill="1" applyAlignment="1">
      <alignment horizontal="center"/>
    </xf>
    <xf numFmtId="0" fontId="61" fillId="0" borderId="0" xfId="0" applyFont="1" applyFill="1" applyAlignment="1">
      <alignment horizontal="left"/>
    </xf>
    <xf numFmtId="0" fontId="0" fillId="0" borderId="0" xfId="0" quotePrefix="1" applyFill="1" applyAlignment="1">
      <alignment horizontal="center" vertical="top"/>
    </xf>
    <xf numFmtId="0" fontId="41" fillId="0" borderId="0" xfId="504" quotePrefix="1" applyFont="1" applyFill="1" applyAlignment="1">
      <alignment horizontal="center" vertical="top"/>
    </xf>
    <xf numFmtId="0" fontId="41" fillId="0" borderId="0" xfId="504" applyFont="1" applyFill="1" applyBorder="1" applyAlignment="1">
      <alignment horizontal="left" wrapText="1"/>
    </xf>
    <xf numFmtId="43" fontId="41" fillId="0" borderId="18" xfId="382" applyFont="1" applyFill="1" applyBorder="1" applyAlignment="1">
      <alignment horizontal="center"/>
    </xf>
    <xf numFmtId="166" fontId="41" fillId="0" borderId="0" xfId="678" applyNumberFormat="1" applyFont="1" applyFill="1" applyBorder="1"/>
    <xf numFmtId="0" fontId="43" fillId="0" borderId="17" xfId="0" applyNumberFormat="1" applyFont="1" applyFill="1" applyBorder="1" applyAlignment="1">
      <alignment horizontal="left"/>
    </xf>
    <xf numFmtId="37" fontId="45" fillId="0" borderId="0" xfId="0" applyNumberFormat="1" applyFont="1" applyFill="1" applyBorder="1" applyAlignment="1">
      <alignment horizontal="center"/>
    </xf>
    <xf numFmtId="3" fontId="43" fillId="0" borderId="5" xfId="0" applyNumberFormat="1" applyFont="1" applyFill="1" applyBorder="1" applyAlignment="1">
      <alignment horizontal="center"/>
    </xf>
    <xf numFmtId="3" fontId="43" fillId="0" borderId="35" xfId="0" applyNumberFormat="1" applyFont="1" applyFill="1" applyBorder="1" applyAlignment="1"/>
    <xf numFmtId="3" fontId="43" fillId="0" borderId="18" xfId="0" applyNumberFormat="1" applyFont="1" applyFill="1" applyBorder="1" applyAlignment="1">
      <alignment horizontal="center"/>
    </xf>
    <xf numFmtId="0" fontId="45" fillId="0" borderId="0" xfId="0" applyNumberFormat="1" applyFont="1" applyFill="1" applyBorder="1" applyAlignment="1">
      <alignment horizontal="left" indent="2"/>
    </xf>
    <xf numFmtId="164" fontId="45" fillId="0" borderId="35" xfId="382" applyNumberFormat="1" applyFont="1" applyFill="1" applyBorder="1"/>
    <xf numFmtId="164" fontId="45" fillId="0" borderId="58" xfId="382" applyNumberFormat="1" applyFont="1" applyFill="1" applyBorder="1"/>
    <xf numFmtId="164" fontId="45" fillId="0" borderId="68" xfId="382" applyNumberFormat="1" applyFont="1" applyFill="1" applyBorder="1"/>
    <xf numFmtId="3" fontId="150" fillId="0" borderId="0" xfId="0" applyNumberFormat="1" applyFont="1" applyFill="1" applyBorder="1" applyAlignment="1">
      <alignment horizontal="center"/>
    </xf>
    <xf numFmtId="164" fontId="43" fillId="0" borderId="35" xfId="382" applyNumberFormat="1" applyFont="1" applyFill="1" applyBorder="1"/>
    <xf numFmtId="0" fontId="45" fillId="0" borderId="18" xfId="0" applyFont="1" applyFill="1" applyBorder="1" applyAlignment="1">
      <alignment horizontal="left" indent="1"/>
    </xf>
    <xf numFmtId="0" fontId="152" fillId="0" borderId="0" xfId="37698" applyFont="1" applyFill="1" applyAlignment="1"/>
    <xf numFmtId="164" fontId="133" fillId="0" borderId="0" xfId="382" applyNumberFormat="1" applyFont="1" applyFill="1" applyAlignment="1"/>
    <xf numFmtId="3" fontId="133" fillId="0" borderId="0" xfId="37698" applyNumberFormat="1" applyFont="1" applyFill="1" applyBorder="1" applyAlignment="1"/>
    <xf numFmtId="192" fontId="110" fillId="0" borderId="0" xfId="382" applyNumberFormat="1" applyFont="1" applyFill="1" applyBorder="1" applyAlignment="1"/>
    <xf numFmtId="0" fontId="110" fillId="0" borderId="0" xfId="37698" applyFont="1" applyFill="1" applyBorder="1" applyAlignment="1">
      <alignment horizontal="left" indent="1"/>
    </xf>
    <xf numFmtId="0" fontId="110" fillId="0" borderId="0" xfId="0" applyNumberFormat="1" applyFont="1" applyFill="1" applyBorder="1" applyAlignment="1">
      <alignment horizontal="left" indent="1"/>
    </xf>
    <xf numFmtId="3" fontId="110" fillId="0" borderId="0" xfId="37696" applyNumberFormat="1" applyFont="1" applyFill="1" applyBorder="1" applyAlignment="1"/>
    <xf numFmtId="0" fontId="110" fillId="0" borderId="0" xfId="382" applyNumberFormat="1" applyFont="1" applyFill="1" applyAlignment="1"/>
    <xf numFmtId="164" fontId="110" fillId="0" borderId="7" xfId="382" applyNumberFormat="1" applyFont="1" applyFill="1" applyBorder="1" applyAlignment="1">
      <alignment vertical="top"/>
    </xf>
    <xf numFmtId="49" fontId="110" fillId="0" borderId="0" xfId="37696" applyNumberFormat="1" applyFont="1" applyFill="1" applyAlignment="1">
      <alignment horizontal="right"/>
    </xf>
    <xf numFmtId="195" fontId="110" fillId="0" borderId="0" xfId="382" applyNumberFormat="1" applyFont="1" applyFill="1" applyBorder="1" applyProtection="1"/>
    <xf numFmtId="169" fontId="110" fillId="0" borderId="0" xfId="37694" quotePrefix="1" applyFont="1" applyFill="1" applyAlignment="1">
      <alignment horizontal="center"/>
    </xf>
    <xf numFmtId="0" fontId="41" fillId="0" borderId="0" xfId="0" applyFont="1" applyFill="1" applyBorder="1" applyAlignment="1">
      <alignment horizontal="left" wrapText="1"/>
    </xf>
    <xf numFmtId="0" fontId="41" fillId="0" borderId="0" xfId="0" applyFont="1" applyFill="1" applyAlignment="1">
      <alignment horizontal="left"/>
    </xf>
    <xf numFmtId="0" fontId="97"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1" fillId="0" borderId="0" xfId="11265" quotePrefix="1" applyNumberFormat="1" applyFont="1" applyFill="1" applyAlignment="1">
      <alignment horizontal="center"/>
    </xf>
    <xf numFmtId="0" fontId="41" fillId="0" borderId="0" xfId="0" applyFont="1" applyFill="1" applyAlignment="1">
      <alignment horizontal="left"/>
    </xf>
    <xf numFmtId="164" fontId="17" fillId="0" borderId="0" xfId="382" applyNumberFormat="1" applyFont="1" applyFill="1"/>
    <xf numFmtId="164" fontId="17" fillId="0" borderId="0" xfId="382" applyNumberFormat="1" applyFont="1" applyFill="1" applyBorder="1"/>
    <xf numFmtId="164" fontId="17" fillId="0" borderId="18" xfId="382" applyNumberFormat="1" applyFont="1" applyFill="1" applyBorder="1"/>
    <xf numFmtId="164" fontId="61" fillId="0" borderId="0" xfId="674" applyNumberFormat="1" applyFont="1"/>
    <xf numFmtId="0" fontId="41" fillId="0" borderId="0" xfId="0" quotePrefix="1" applyFont="1" applyFill="1" applyAlignment="1">
      <alignment horizontal="left"/>
    </xf>
    <xf numFmtId="0" fontId="17" fillId="0" borderId="11" xfId="0" applyFont="1" applyFill="1" applyBorder="1" applyAlignment="1">
      <alignment horizontal="center"/>
    </xf>
    <xf numFmtId="0" fontId="17" fillId="0" borderId="11" xfId="0" applyFont="1" applyBorder="1"/>
    <xf numFmtId="199" fontId="17" fillId="0" borderId="30" xfId="382" applyNumberFormat="1" applyFont="1" applyFill="1" applyBorder="1"/>
    <xf numFmtId="0" fontId="17" fillId="0" borderId="11" xfId="0" applyFont="1" applyFill="1" applyBorder="1"/>
    <xf numFmtId="199" fontId="17" fillId="0" borderId="55" xfId="382" applyNumberFormat="1" applyFont="1" applyFill="1" applyBorder="1"/>
    <xf numFmtId="199" fontId="17" fillId="0" borderId="11" xfId="382" applyNumberFormat="1" applyFont="1" applyFill="1" applyBorder="1"/>
    <xf numFmtId="164" fontId="41" fillId="0" borderId="0" xfId="11275" applyNumberFormat="1" applyFont="1" applyFill="1" applyBorder="1" applyAlignment="1">
      <alignment horizontal="center" vertical="top"/>
    </xf>
    <xf numFmtId="164" fontId="41" fillId="0" borderId="43" xfId="11275" applyNumberFormat="1" applyFont="1" applyFill="1" applyBorder="1" applyAlignment="1">
      <alignment horizontal="center" vertical="top"/>
    </xf>
    <xf numFmtId="164" fontId="41" fillId="0" borderId="54" xfId="11275" applyNumberFormat="1" applyFont="1" applyFill="1" applyBorder="1" applyAlignment="1">
      <alignment horizontal="center" vertical="top"/>
    </xf>
    <xf numFmtId="40" fontId="61" fillId="0" borderId="0" xfId="11275" quotePrefix="1" applyNumberFormat="1" applyFont="1" applyFill="1" applyBorder="1" applyAlignment="1">
      <alignment horizontal="left" vertical="top"/>
    </xf>
    <xf numFmtId="164" fontId="41" fillId="0" borderId="18" xfId="11275" applyNumberFormat="1" applyFont="1" applyFill="1" applyBorder="1" applyAlignment="1">
      <alignment horizontal="center" vertical="top"/>
    </xf>
    <xf numFmtId="0" fontId="61" fillId="0" borderId="18" xfId="11275" applyFont="1" applyFill="1" applyBorder="1"/>
    <xf numFmtId="164" fontId="41" fillId="0" borderId="6" xfId="382" applyNumberFormat="1" applyFont="1" applyFill="1" applyBorder="1" applyAlignment="1">
      <alignment horizontal="center"/>
    </xf>
    <xf numFmtId="43" fontId="61" fillId="0" borderId="6" xfId="382" applyFont="1" applyFill="1" applyBorder="1" applyAlignment="1">
      <alignment horizontal="center"/>
    </xf>
    <xf numFmtId="164" fontId="41" fillId="0" borderId="54" xfId="403" applyNumberFormat="1" applyFont="1" applyFill="1" applyBorder="1"/>
    <xf numFmtId="0" fontId="61" fillId="0" borderId="35" xfId="11275" applyFont="1" applyBorder="1"/>
    <xf numFmtId="0" fontId="61" fillId="0" borderId="35" xfId="11275" applyFont="1" applyFill="1" applyBorder="1"/>
    <xf numFmtId="164" fontId="61" fillId="0" borderId="35" xfId="11275" applyNumberFormat="1" applyFont="1" applyBorder="1"/>
    <xf numFmtId="164" fontId="61" fillId="0" borderId="0" xfId="11275" applyNumberFormat="1" applyFont="1" applyFill="1"/>
    <xf numFmtId="164" fontId="61" fillId="0" borderId="17" xfId="11275" applyNumberFormat="1" applyFont="1" applyBorder="1" applyAlignment="1">
      <alignment horizontal="left"/>
    </xf>
    <xf numFmtId="164" fontId="17" fillId="0" borderId="0" xfId="382" quotePrefix="1" applyNumberFormat="1" applyFont="1" applyFill="1"/>
    <xf numFmtId="164" fontId="17" fillId="0" borderId="0" xfId="382" applyNumberFormat="1" applyFont="1" applyAlignment="1">
      <alignment horizontal="center"/>
    </xf>
    <xf numFmtId="0" fontId="17" fillId="0" borderId="0" xfId="35689" applyFont="1"/>
    <xf numFmtId="164" fontId="17" fillId="0" borderId="0" xfId="382" applyNumberFormat="1" applyFont="1"/>
    <xf numFmtId="0" fontId="123" fillId="0" borderId="0" xfId="35689" applyFont="1"/>
    <xf numFmtId="164" fontId="17" fillId="0" borderId="0" xfId="382" applyNumberFormat="1" applyFont="1" applyFill="1" applyAlignment="1">
      <alignment horizontal="center"/>
    </xf>
    <xf numFmtId="0" fontId="124" fillId="0" borderId="0" xfId="35689" applyFont="1"/>
    <xf numFmtId="164" fontId="41" fillId="0" borderId="54" xfId="382" applyNumberFormat="1" applyFont="1" applyFill="1" applyBorder="1" applyAlignment="1"/>
    <xf numFmtId="164" fontId="41" fillId="0" borderId="54" xfId="0" applyNumberFormat="1" applyFont="1" applyFill="1" applyBorder="1" applyAlignment="1"/>
    <xf numFmtId="0" fontId="42" fillId="37" borderId="0" xfId="0" applyFont="1" applyFill="1" applyAlignment="1"/>
    <xf numFmtId="0" fontId="42" fillId="37" borderId="0" xfId="0" applyFont="1" applyFill="1" applyAlignment="1">
      <alignment wrapText="1"/>
    </xf>
    <xf numFmtId="0" fontId="41" fillId="0" borderId="0" xfId="0" applyFont="1" applyFill="1" applyAlignment="1">
      <alignment horizontal="center"/>
    </xf>
    <xf numFmtId="0" fontId="41" fillId="0" borderId="0" xfId="0" applyFont="1" applyAlignment="1">
      <alignment horizontal="center"/>
    </xf>
    <xf numFmtId="0" fontId="42" fillId="0" borderId="0" xfId="0" applyFont="1" applyAlignment="1">
      <alignment horizontal="center"/>
    </xf>
    <xf numFmtId="0" fontId="61" fillId="0" borderId="0" xfId="11275" quotePrefix="1" applyFont="1" applyFill="1" applyAlignment="1">
      <alignment horizontal="left"/>
    </xf>
    <xf numFmtId="0" fontId="41" fillId="0" borderId="0" xfId="0" applyFont="1" applyFill="1" applyAlignment="1">
      <alignment horizontal="left"/>
    </xf>
    <xf numFmtId="43" fontId="129" fillId="0" borderId="0" xfId="382" applyFont="1" applyFill="1" applyAlignment="1">
      <alignment horizontal="center"/>
    </xf>
    <xf numFmtId="0" fontId="61" fillId="0" borderId="0" xfId="0" applyFont="1" applyFill="1" applyAlignment="1">
      <alignment horizontal="center"/>
    </xf>
    <xf numFmtId="0" fontId="41" fillId="0" borderId="0" xfId="484" applyFont="1" applyFill="1" applyAlignment="1">
      <alignment horizontal="center" vertical="top"/>
    </xf>
    <xf numFmtId="0" fontId="16" fillId="0" borderId="0" xfId="11271" applyFont="1" applyFill="1"/>
    <xf numFmtId="0" fontId="16" fillId="0" borderId="0" xfId="11271" applyFont="1" applyFill="1" applyAlignment="1">
      <alignment horizontal="left"/>
    </xf>
    <xf numFmtId="0" fontId="16" fillId="0" borderId="0" xfId="11271" applyFont="1"/>
    <xf numFmtId="2" fontId="16" fillId="0" borderId="0" xfId="11271" applyNumberFormat="1" applyFont="1" applyFill="1" applyAlignment="1">
      <alignment horizontal="left"/>
    </xf>
    <xf numFmtId="49" fontId="16" fillId="0" borderId="0" xfId="11271" applyNumberFormat="1" applyFont="1" applyFill="1"/>
    <xf numFmtId="0" fontId="16" fillId="0" borderId="0" xfId="11271" applyFont="1" applyBorder="1"/>
    <xf numFmtId="164" fontId="16" fillId="0" borderId="0" xfId="382" applyNumberFormat="1" applyFont="1" applyFill="1" applyBorder="1"/>
    <xf numFmtId="164" fontId="16" fillId="0" borderId="0" xfId="382" applyNumberFormat="1" applyFont="1" applyBorder="1"/>
    <xf numFmtId="49" fontId="16" fillId="0" borderId="0" xfId="11271" applyNumberFormat="1" applyFont="1" applyBorder="1"/>
    <xf numFmtId="0" fontId="16" fillId="0" borderId="0" xfId="11271" quotePrefix="1" applyFont="1" applyFill="1" applyAlignment="1">
      <alignment horizontal="center"/>
    </xf>
    <xf numFmtId="43" fontId="16" fillId="0" borderId="0" xfId="382" applyFont="1"/>
    <xf numFmtId="167" fontId="16" fillId="0" borderId="0" xfId="11271" applyNumberFormat="1" applyFont="1"/>
    <xf numFmtId="164" fontId="16" fillId="0" borderId="0" xfId="382" applyNumberFormat="1" applyFont="1" applyFill="1"/>
    <xf numFmtId="164" fontId="16" fillId="0" borderId="0" xfId="11271" applyNumberFormat="1" applyFont="1" applyFill="1"/>
    <xf numFmtId="0" fontId="16" fillId="0" borderId="0" xfId="11271" quotePrefix="1" applyFont="1" applyFill="1" applyAlignment="1">
      <alignment horizontal="center" vertical="top"/>
    </xf>
    <xf numFmtId="0" fontId="16" fillId="0" borderId="0" xfId="11271" applyFont="1" applyFill="1" applyAlignment="1">
      <alignment horizontal="center"/>
    </xf>
    <xf numFmtId="0" fontId="16" fillId="0" borderId="0" xfId="11271" applyFont="1" applyAlignment="1">
      <alignment horizontal="center"/>
    </xf>
    <xf numFmtId="0" fontId="16" fillId="0" borderId="0" xfId="496" applyFont="1" applyAlignment="1">
      <alignment horizontal="left" vertical="top"/>
    </xf>
    <xf numFmtId="164" fontId="16" fillId="0" borderId="0" xfId="382" applyNumberFormat="1" applyFont="1" applyAlignment="1">
      <alignment horizontal="left" vertical="top"/>
    </xf>
    <xf numFmtId="164" fontId="16" fillId="0" borderId="0" xfId="382" applyNumberFormat="1" applyFont="1"/>
    <xf numFmtId="0" fontId="16" fillId="0" borderId="0" xfId="496" applyFont="1" applyAlignment="1">
      <alignment horizontal="center"/>
    </xf>
    <xf numFmtId="0" fontId="16" fillId="0" borderId="0" xfId="496" applyFont="1"/>
    <xf numFmtId="164" fontId="16" fillId="0" borderId="18" xfId="11645" applyNumberFormat="1" applyFont="1" applyFill="1" applyBorder="1"/>
    <xf numFmtId="0" fontId="16" fillId="0" borderId="0" xfId="35157" applyFont="1" applyFill="1" applyBorder="1"/>
    <xf numFmtId="0" fontId="61" fillId="0" borderId="0" xfId="11275" applyFont="1" applyFill="1" applyBorder="1" applyAlignment="1">
      <alignment horizontal="left"/>
    </xf>
    <xf numFmtId="43" fontId="129" fillId="0" borderId="0" xfId="382" applyFont="1" applyFill="1" applyAlignment="1">
      <alignment horizontal="center"/>
    </xf>
    <xf numFmtId="0" fontId="41" fillId="0" borderId="0" xfId="484" applyFont="1" applyFill="1" applyAlignment="1">
      <alignment horizontal="center" vertical="top"/>
    </xf>
    <xf numFmtId="0" fontId="146" fillId="0" borderId="0" xfId="35688" applyFont="1" applyFill="1"/>
    <xf numFmtId="0" fontId="61" fillId="0" borderId="0" xfId="35688" applyFont="1" applyAlignment="1">
      <alignment horizontal="center"/>
    </xf>
    <xf numFmtId="1" fontId="61" fillId="0" borderId="0" xfId="35688" applyNumberFormat="1" applyFont="1" applyFill="1" applyAlignment="1">
      <alignment horizontal="left"/>
    </xf>
    <xf numFmtId="2" fontId="61"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15" fillId="0" borderId="0" xfId="0" applyFont="1" applyFill="1"/>
    <xf numFmtId="164" fontId="15" fillId="0" borderId="0" xfId="11622" applyNumberFormat="1" applyFont="1" applyFill="1"/>
    <xf numFmtId="0" fontId="61" fillId="0" borderId="0" xfId="35688" applyFont="1"/>
    <xf numFmtId="0" fontId="15" fillId="0" borderId="0" xfId="0" applyFont="1" applyFill="1" applyAlignment="1">
      <alignment horizontal="left" indent="1"/>
    </xf>
    <xf numFmtId="164" fontId="15" fillId="0" borderId="0" xfId="382" applyNumberFormat="1" applyFont="1" applyFill="1"/>
    <xf numFmtId="0" fontId="15" fillId="0" borderId="0" xfId="0" applyFont="1" applyFill="1" applyAlignment="1">
      <alignment horizontal="left"/>
    </xf>
    <xf numFmtId="0" fontId="61" fillId="0" borderId="0" xfId="35688" applyFont="1" applyFill="1"/>
    <xf numFmtId="0" fontId="15" fillId="0" borderId="0" xfId="0" applyFont="1"/>
    <xf numFmtId="164" fontId="15" fillId="0" borderId="0" xfId="0" applyNumberFormat="1" applyFont="1" applyFill="1"/>
    <xf numFmtId="164" fontId="15" fillId="0" borderId="0" xfId="0" applyNumberFormat="1" applyFont="1" applyFill="1" applyBorder="1"/>
    <xf numFmtId="164" fontId="15" fillId="0" borderId="17" xfId="0" applyNumberFormat="1" applyFont="1" applyFill="1" applyBorder="1"/>
    <xf numFmtId="0" fontId="61" fillId="0" borderId="0" xfId="35688" applyFont="1" applyFill="1" applyAlignment="1">
      <alignment horizontal="left"/>
    </xf>
    <xf numFmtId="43" fontId="15" fillId="0" borderId="0" xfId="11622" applyFont="1" applyFill="1"/>
    <xf numFmtId="41" fontId="41" fillId="0" borderId="0" xfId="484" applyNumberFormat="1" applyFont="1" applyAlignment="1">
      <alignment vertical="top"/>
    </xf>
    <xf numFmtId="43" fontId="61" fillId="0" borderId="0" xfId="11622" applyFont="1"/>
    <xf numFmtId="49" fontId="41" fillId="0" borderId="0" xfId="0" applyNumberFormat="1" applyFont="1" applyFill="1" applyAlignment="1"/>
    <xf numFmtId="164" fontId="41" fillId="37" borderId="54" xfId="0" applyNumberFormat="1" applyFont="1" applyFill="1" applyBorder="1" applyAlignment="1"/>
    <xf numFmtId="164" fontId="41" fillId="37" borderId="45" xfId="0" applyNumberFormat="1" applyFont="1" applyFill="1" applyBorder="1" applyAlignment="1"/>
    <xf numFmtId="0" fontId="41" fillId="37" borderId="18" xfId="0" applyFont="1" applyFill="1" applyBorder="1" applyAlignment="1"/>
    <xf numFmtId="0" fontId="41" fillId="37" borderId="37" xfId="0" applyFont="1" applyFill="1" applyBorder="1" applyAlignment="1"/>
    <xf numFmtId="164" fontId="41" fillId="37" borderId="18" xfId="382" applyNumberFormat="1" applyFont="1" applyFill="1" applyBorder="1" applyAlignment="1"/>
    <xf numFmtId="164" fontId="42" fillId="37" borderId="0" xfId="0" applyNumberFormat="1" applyFont="1" applyFill="1" applyBorder="1" applyAlignment="1"/>
    <xf numFmtId="164" fontId="42" fillId="37" borderId="54" xfId="0" applyNumberFormat="1" applyFont="1" applyFill="1" applyBorder="1" applyAlignment="1"/>
    <xf numFmtId="0" fontId="42" fillId="37" borderId="35" xfId="0" applyFont="1" applyFill="1" applyBorder="1" applyAlignment="1"/>
    <xf numFmtId="164" fontId="42" fillId="37" borderId="54" xfId="382" applyNumberFormat="1" applyFont="1" applyFill="1" applyBorder="1" applyAlignment="1"/>
    <xf numFmtId="0" fontId="42" fillId="37" borderId="0" xfId="0" applyFont="1" applyFill="1" applyBorder="1" applyAlignment="1"/>
    <xf numFmtId="0" fontId="41" fillId="37" borderId="35" xfId="0" applyFont="1" applyFill="1" applyBorder="1" applyAlignment="1"/>
    <xf numFmtId="164" fontId="41" fillId="37" borderId="54" xfId="382" applyNumberFormat="1" applyFont="1" applyFill="1" applyBorder="1" applyAlignment="1"/>
    <xf numFmtId="49" fontId="41" fillId="0" borderId="0" xfId="0" applyNumberFormat="1" applyFont="1" applyFill="1"/>
    <xf numFmtId="187" fontId="41" fillId="0" borderId="0" xfId="0" applyNumberFormat="1" applyFont="1" applyFill="1" applyBorder="1" applyAlignment="1">
      <alignment horizontal="left" vertical="top"/>
    </xf>
    <xf numFmtId="0" fontId="41" fillId="0" borderId="28" xfId="0" applyFont="1" applyFill="1" applyBorder="1"/>
    <xf numFmtId="164" fontId="24" fillId="0" borderId="18" xfId="11271" applyNumberFormat="1" applyFont="1" applyBorder="1"/>
    <xf numFmtId="0" fontId="17" fillId="0" borderId="0" xfId="11271" applyFont="1" applyFill="1" applyAlignment="1">
      <alignment horizontal="left"/>
    </xf>
    <xf numFmtId="0" fontId="41" fillId="37" borderId="18" xfId="0" applyFont="1" applyFill="1" applyBorder="1"/>
    <xf numFmtId="0" fontId="41" fillId="0" borderId="0" xfId="35688" applyFont="1" applyFill="1" applyAlignment="1">
      <alignment horizontal="left"/>
    </xf>
    <xf numFmtId="169" fontId="41" fillId="0" borderId="0" xfId="512" applyFont="1" applyFill="1" applyAlignment="1">
      <alignment horizontal="left"/>
    </xf>
    <xf numFmtId="169" fontId="41" fillId="0" borderId="0" xfId="512" quotePrefix="1" applyFont="1" applyFill="1" applyAlignment="1">
      <alignment horizontal="left"/>
    </xf>
    <xf numFmtId="0" fontId="41" fillId="0" borderId="0" xfId="0" applyFont="1" applyFill="1" applyAlignment="1">
      <alignment horizontal="center"/>
    </xf>
    <xf numFmtId="0" fontId="41" fillId="0" borderId="0" xfId="0" applyFont="1" applyFill="1" applyAlignment="1">
      <alignment horizontal="left"/>
    </xf>
    <xf numFmtId="0" fontId="14" fillId="0" borderId="0" xfId="0" applyFont="1" applyFill="1" applyAlignment="1">
      <alignment horizontal="left" indent="1"/>
    </xf>
    <xf numFmtId="0" fontId="14" fillId="0" borderId="0" xfId="0" applyFont="1" applyFill="1" applyAlignment="1">
      <alignment horizontal="left"/>
    </xf>
    <xf numFmtId="0" fontId="41" fillId="0" borderId="0" xfId="0" applyFont="1" applyFill="1" applyAlignment="1">
      <alignment horizontal="left"/>
    </xf>
    <xf numFmtId="164" fontId="151" fillId="0" borderId="0" xfId="382" applyNumberFormat="1" applyFont="1" applyFill="1" applyAlignment="1"/>
    <xf numFmtId="164" fontId="110" fillId="0" borderId="17" xfId="382" applyNumberFormat="1" applyFont="1" applyFill="1" applyBorder="1" applyAlignment="1" applyProtection="1">
      <alignment horizontal="right"/>
      <protection locked="0"/>
    </xf>
    <xf numFmtId="2" fontId="41" fillId="37" borderId="0" xfId="0" applyNumberFormat="1" applyFont="1" applyFill="1" applyAlignment="1">
      <alignment horizontal="left" vertical="top"/>
    </xf>
    <xf numFmtId="2" fontId="41" fillId="37" borderId="0" xfId="0" applyNumberFormat="1" applyFont="1" applyFill="1" applyAlignment="1">
      <alignment horizontal="center" vertical="top"/>
    </xf>
    <xf numFmtId="2" fontId="41" fillId="37" borderId="0" xfId="0" applyNumberFormat="1" applyFont="1" applyFill="1" applyAlignment="1">
      <alignment horizontal="left"/>
    </xf>
    <xf numFmtId="0" fontId="41" fillId="0" borderId="0" xfId="0" applyFont="1" applyFill="1" applyAlignment="1">
      <alignment horizontal="center"/>
    </xf>
    <xf numFmtId="0" fontId="41" fillId="0" borderId="0" xfId="504" applyFont="1" applyFill="1" applyBorder="1" applyAlignment="1">
      <alignment horizontal="left"/>
    </xf>
    <xf numFmtId="0" fontId="41" fillId="0" borderId="0" xfId="0" applyFont="1" applyFill="1" applyBorder="1" applyAlignment="1">
      <alignment horizontal="left" wrapText="1"/>
    </xf>
    <xf numFmtId="0" fontId="61" fillId="0" borderId="0" xfId="0" applyFont="1" applyFill="1" applyAlignment="1">
      <alignment horizontal="center"/>
    </xf>
    <xf numFmtId="0" fontId="41" fillId="0" borderId="0" xfId="484" applyFont="1" applyFill="1" applyAlignment="1">
      <alignment horizontal="center" vertical="top"/>
    </xf>
    <xf numFmtId="0" fontId="61" fillId="0" borderId="45" xfId="569" applyFont="1" applyBorder="1" applyAlignment="1">
      <alignment horizontal="center"/>
    </xf>
    <xf numFmtId="0" fontId="61" fillId="0" borderId="18" xfId="569" applyFont="1" applyBorder="1" applyAlignment="1">
      <alignment horizontal="center"/>
    </xf>
    <xf numFmtId="0" fontId="41" fillId="0" borderId="0" xfId="484" quotePrefix="1" applyFont="1" applyFill="1" applyAlignment="1">
      <alignment horizontal="left" vertical="top" indent="1"/>
    </xf>
    <xf numFmtId="0" fontId="41" fillId="0" borderId="0" xfId="484" quotePrefix="1" applyFont="1" applyFill="1" applyAlignment="1">
      <alignment horizontal="left" vertical="top" indent="2"/>
    </xf>
    <xf numFmtId="0" fontId="41" fillId="0" borderId="0" xfId="484" applyFont="1" applyFill="1" applyAlignment="1">
      <alignment horizontal="left" vertical="top" indent="1"/>
    </xf>
    <xf numFmtId="0" fontId="41" fillId="0" borderId="0" xfId="0" applyNumberFormat="1" applyFont="1" applyFill="1" applyBorder="1" applyAlignment="1">
      <alignment horizontal="left" indent="1"/>
    </xf>
    <xf numFmtId="164" fontId="41" fillId="0" borderId="0" xfId="382" quotePrefix="1" applyNumberFormat="1" applyFont="1" applyFill="1" applyAlignment="1"/>
    <xf numFmtId="164" fontId="41" fillId="0" borderId="0" xfId="382" applyNumberFormat="1" applyFont="1" applyAlignment="1">
      <alignment horizontal="center"/>
    </xf>
    <xf numFmtId="164" fontId="41" fillId="0" borderId="18" xfId="382" applyNumberFormat="1" applyFont="1" applyBorder="1" applyAlignment="1">
      <alignment horizontal="center" wrapText="1"/>
    </xf>
    <xf numFmtId="0" fontId="41" fillId="37" borderId="0" xfId="504" applyFont="1" applyFill="1" applyBorder="1"/>
    <xf numFmtId="0" fontId="41" fillId="37" borderId="0" xfId="504" applyFont="1" applyFill="1" applyAlignment="1">
      <alignment horizontal="left"/>
    </xf>
    <xf numFmtId="0" fontId="41" fillId="37" borderId="0" xfId="0" applyFont="1" applyFill="1" applyAlignment="1">
      <alignment horizontal="left" indent="1"/>
    </xf>
    <xf numFmtId="187" fontId="41" fillId="37" borderId="0" xfId="510" applyNumberFormat="1" applyFont="1" applyFill="1" applyBorder="1" applyAlignment="1">
      <alignment horizontal="left" vertical="center"/>
    </xf>
    <xf numFmtId="0" fontId="41" fillId="37" borderId="0" xfId="504" applyFont="1" applyFill="1"/>
    <xf numFmtId="0" fontId="41" fillId="37" borderId="18" xfId="504" applyFont="1" applyFill="1" applyBorder="1"/>
    <xf numFmtId="43" fontId="41" fillId="0" borderId="0" xfId="382" applyFont="1" applyFill="1" applyBorder="1" applyAlignment="1">
      <alignment horizontal="left" indent="1"/>
    </xf>
    <xf numFmtId="0" fontId="41" fillId="37" borderId="0" xfId="504" applyFont="1" applyFill="1" applyBorder="1" applyAlignment="1">
      <alignment horizontal="left"/>
    </xf>
    <xf numFmtId="164" fontId="41" fillId="37" borderId="0" xfId="382" applyNumberFormat="1" applyFont="1" applyFill="1" applyBorder="1" applyAlignment="1"/>
    <xf numFmtId="0" fontId="41" fillId="0" borderId="0" xfId="0" applyFont="1" applyFill="1" applyAlignment="1">
      <alignment wrapText="1"/>
    </xf>
    <xf numFmtId="164" fontId="16" fillId="37" borderId="0" xfId="11271" applyNumberFormat="1" applyFont="1" applyFill="1"/>
    <xf numFmtId="49" fontId="16" fillId="37" borderId="0" xfId="11271" applyNumberFormat="1" applyFont="1" applyFill="1"/>
    <xf numFmtId="0" fontId="16" fillId="37" borderId="0" xfId="11271" applyFont="1" applyFill="1"/>
    <xf numFmtId="164" fontId="16" fillId="37" borderId="0" xfId="382" applyNumberFormat="1" applyFont="1" applyFill="1"/>
    <xf numFmtId="49" fontId="16" fillId="37" borderId="18" xfId="11271" applyNumberFormat="1" applyFont="1" applyFill="1" applyBorder="1"/>
    <xf numFmtId="164" fontId="16" fillId="37" borderId="18" xfId="11271" applyNumberFormat="1" applyFont="1" applyFill="1" applyBorder="1"/>
    <xf numFmtId="43" fontId="16" fillId="37" borderId="18" xfId="382" applyFont="1" applyFill="1" applyBorder="1"/>
    <xf numFmtId="198" fontId="61" fillId="37" borderId="18" xfId="382" applyNumberFormat="1" applyFont="1" applyFill="1" applyBorder="1"/>
    <xf numFmtId="164" fontId="16" fillId="37" borderId="18" xfId="382" applyNumberFormat="1" applyFont="1" applyFill="1" applyBorder="1"/>
    <xf numFmtId="2" fontId="24" fillId="37" borderId="0" xfId="11271" applyNumberFormat="1" applyFont="1" applyFill="1" applyAlignment="1">
      <alignment horizontal="left"/>
    </xf>
    <xf numFmtId="0" fontId="41" fillId="37" borderId="0" xfId="484" applyFont="1" applyFill="1" applyAlignment="1">
      <alignment horizontal="left" vertical="top" indent="2"/>
    </xf>
    <xf numFmtId="0" fontId="41" fillId="37" borderId="18" xfId="484" applyFont="1" applyFill="1" applyBorder="1" applyAlignment="1">
      <alignment horizontal="left" vertical="top" indent="2"/>
    </xf>
    <xf numFmtId="187" fontId="0" fillId="37" borderId="0" xfId="0" applyNumberFormat="1" applyFill="1" applyAlignment="1">
      <alignment horizontal="left"/>
    </xf>
    <xf numFmtId="164" fontId="61" fillId="37" borderId="0" xfId="382" applyNumberFormat="1" applyFont="1" applyFill="1" applyBorder="1" applyAlignment="1">
      <alignment horizontal="center"/>
    </xf>
    <xf numFmtId="164" fontId="61" fillId="37" borderId="18" xfId="382" applyNumberFormat="1" applyFont="1" applyFill="1" applyBorder="1" applyAlignment="1">
      <alignment horizontal="center"/>
    </xf>
    <xf numFmtId="2" fontId="41" fillId="37" borderId="0" xfId="512" applyNumberFormat="1" applyFont="1" applyFill="1" applyAlignment="1">
      <alignment horizontal="left"/>
    </xf>
    <xf numFmtId="169" fontId="41" fillId="37" borderId="0" xfId="512" applyFont="1" applyFill="1" applyAlignment="1">
      <alignment horizontal="left"/>
    </xf>
    <xf numFmtId="164" fontId="0" fillId="37" borderId="0" xfId="0" applyNumberFormat="1" applyFill="1"/>
    <xf numFmtId="164" fontId="17" fillId="37" borderId="0" xfId="382" applyNumberFormat="1" applyFont="1" applyFill="1" applyAlignment="1">
      <alignment horizontal="center"/>
    </xf>
    <xf numFmtId="169" fontId="41" fillId="37" borderId="0" xfId="512" applyFont="1" applyFill="1" applyAlignment="1">
      <alignment horizontal="left" indent="1"/>
    </xf>
    <xf numFmtId="164" fontId="17" fillId="37" borderId="18" xfId="382" quotePrefix="1" applyNumberFormat="1" applyFont="1" applyFill="1" applyBorder="1"/>
    <xf numFmtId="164" fontId="129" fillId="37" borderId="18" xfId="382" applyNumberFormat="1" applyFont="1" applyFill="1" applyBorder="1" applyAlignment="1">
      <alignment horizontal="center"/>
    </xf>
    <xf numFmtId="0" fontId="41" fillId="37" borderId="0" xfId="35688" applyFont="1" applyFill="1" applyAlignment="1">
      <alignment horizontal="left" indent="1"/>
    </xf>
    <xf numFmtId="164" fontId="61" fillId="37" borderId="0" xfId="382" applyNumberFormat="1" applyFont="1" applyFill="1" applyBorder="1" applyAlignment="1">
      <alignment horizontal="left"/>
    </xf>
    <xf numFmtId="164" fontId="61" fillId="37" borderId="18" xfId="382" applyNumberFormat="1" applyFont="1" applyFill="1" applyBorder="1" applyAlignment="1">
      <alignment horizontal="left"/>
    </xf>
    <xf numFmtId="0" fontId="61" fillId="37" borderId="0" xfId="11275" applyFont="1" applyFill="1" applyBorder="1" applyAlignment="1">
      <alignment horizontal="left"/>
    </xf>
    <xf numFmtId="164" fontId="61" fillId="37" borderId="35" xfId="382" applyNumberFormat="1" applyFont="1" applyFill="1" applyBorder="1" applyAlignment="1">
      <alignment horizontal="left"/>
    </xf>
    <xf numFmtId="0" fontId="61" fillId="37" borderId="18" xfId="11275" applyFont="1" applyFill="1" applyBorder="1" applyAlignment="1">
      <alignment horizontal="left"/>
    </xf>
    <xf numFmtId="164" fontId="61" fillId="37" borderId="37" xfId="382" applyNumberFormat="1" applyFont="1" applyFill="1" applyBorder="1" applyAlignment="1">
      <alignment horizontal="left"/>
    </xf>
    <xf numFmtId="43" fontId="14" fillId="0" borderId="18" xfId="382" applyFont="1" applyFill="1" applyBorder="1" applyAlignment="1">
      <alignment horizontal="center" wrapText="1"/>
    </xf>
    <xf numFmtId="0" fontId="61" fillId="0" borderId="18" xfId="511" applyFont="1" applyFill="1" applyBorder="1" applyAlignment="1">
      <alignment horizontal="center" wrapText="1"/>
    </xf>
    <xf numFmtId="164" fontId="24" fillId="37" borderId="0" xfId="382" applyNumberFormat="1" applyFont="1" applyFill="1"/>
    <xf numFmtId="2" fontId="61" fillId="37" borderId="0" xfId="511" applyNumberFormat="1" applyFont="1" applyFill="1" applyAlignment="1">
      <alignment horizontal="left"/>
    </xf>
    <xf numFmtId="164" fontId="61" fillId="37" borderId="0" xfId="382" applyNumberFormat="1" applyFont="1" applyFill="1"/>
    <xf numFmtId="43" fontId="21" fillId="0" borderId="0" xfId="423" applyFont="1" applyFill="1" applyAlignment="1">
      <alignment horizontal="center"/>
    </xf>
    <xf numFmtId="0" fontId="15" fillId="0" borderId="0" xfId="0" applyFont="1" applyFill="1" applyAlignment="1">
      <alignment horizontal="center"/>
    </xf>
    <xf numFmtId="43" fontId="15" fillId="0" borderId="0" xfId="11622" applyFont="1" applyFill="1" applyAlignment="1">
      <alignment horizontal="center"/>
    </xf>
    <xf numFmtId="3" fontId="41" fillId="0" borderId="0" xfId="474" applyNumberFormat="1" applyFont="1" applyFill="1" applyAlignment="1">
      <alignment horizontal="left"/>
    </xf>
    <xf numFmtId="43" fontId="20" fillId="0" borderId="0" xfId="423" applyFont="1" applyFill="1" applyAlignment="1">
      <alignment horizontal="center"/>
    </xf>
    <xf numFmtId="41" fontId="41" fillId="37" borderId="0" xfId="484" applyNumberFormat="1" applyFont="1" applyFill="1" applyBorder="1" applyAlignment="1">
      <alignment vertical="top"/>
    </xf>
    <xf numFmtId="164" fontId="17" fillId="37" borderId="0" xfId="382" applyNumberFormat="1" applyFont="1" applyFill="1"/>
    <xf numFmtId="0" fontId="17" fillId="37" borderId="0" xfId="11271" applyFont="1" applyFill="1" applyAlignment="1">
      <alignment horizontal="left"/>
    </xf>
    <xf numFmtId="164" fontId="17" fillId="37" borderId="0" xfId="11271" applyNumberFormat="1" applyFont="1" applyFill="1"/>
    <xf numFmtId="164" fontId="17" fillId="37" borderId="18" xfId="11271" applyNumberFormat="1" applyFont="1" applyFill="1" applyBorder="1"/>
    <xf numFmtId="0" fontId="41" fillId="37" borderId="11" xfId="0" applyFont="1" applyFill="1" applyBorder="1"/>
    <xf numFmtId="199" fontId="41" fillId="37" borderId="11" xfId="382" applyNumberFormat="1" applyFont="1" applyFill="1" applyBorder="1"/>
    <xf numFmtId="199" fontId="41" fillId="37" borderId="11" xfId="382" applyNumberFormat="1" applyFont="1" applyFill="1" applyBorder="1" applyAlignment="1">
      <alignment horizontal="right"/>
    </xf>
    <xf numFmtId="199" fontId="41" fillId="37" borderId="30" xfId="382" applyNumberFormat="1" applyFont="1" applyFill="1" applyBorder="1"/>
    <xf numFmtId="199" fontId="41" fillId="37" borderId="27" xfId="382" applyNumberFormat="1" applyFont="1" applyFill="1" applyBorder="1"/>
    <xf numFmtId="199" fontId="41" fillId="37" borderId="27" xfId="382" applyNumberFormat="1" applyFont="1" applyFill="1" applyBorder="1" applyAlignment="1">
      <alignment horizontal="right"/>
    </xf>
    <xf numFmtId="2" fontId="41" fillId="37" borderId="0" xfId="474" applyNumberFormat="1" applyFont="1" applyFill="1" applyAlignment="1">
      <alignment horizontal="left" vertical="top"/>
    </xf>
    <xf numFmtId="0" fontId="41" fillId="37" borderId="27" xfId="0" applyFont="1" applyFill="1" applyBorder="1"/>
    <xf numFmtId="199" fontId="41" fillId="37" borderId="28" xfId="382" applyNumberFormat="1" applyFont="1" applyFill="1" applyBorder="1"/>
    <xf numFmtId="0" fontId="41" fillId="37" borderId="0" xfId="474" applyFont="1" applyFill="1" applyAlignment="1">
      <alignment horizontal="left" vertical="top"/>
    </xf>
    <xf numFmtId="199" fontId="17" fillId="37" borderId="11" xfId="382" applyNumberFormat="1" applyFont="1" applyFill="1" applyBorder="1"/>
    <xf numFmtId="199" fontId="17" fillId="37" borderId="11" xfId="382" applyNumberFormat="1" applyFont="1" applyFill="1" applyBorder="1" applyAlignment="1">
      <alignment horizontal="right"/>
    </xf>
    <xf numFmtId="187" fontId="41" fillId="37" borderId="0" xfId="0" applyNumberFormat="1" applyFont="1" applyFill="1" applyBorder="1" applyAlignment="1">
      <alignment horizontal="left" vertical="top"/>
    </xf>
    <xf numFmtId="164" fontId="41" fillId="37" borderId="0" xfId="13644" applyNumberFormat="1" applyFont="1" applyFill="1"/>
    <xf numFmtId="0" fontId="41" fillId="37" borderId="0" xfId="0" applyFont="1" applyFill="1" applyBorder="1" applyAlignment="1">
      <alignment horizontal="left" vertical="top"/>
    </xf>
    <xf numFmtId="0" fontId="16" fillId="37" borderId="0" xfId="35157" applyFont="1" applyFill="1" applyBorder="1"/>
    <xf numFmtId="164" fontId="16" fillId="37" borderId="0" xfId="382" applyNumberFormat="1" applyFont="1" applyFill="1" applyBorder="1"/>
    <xf numFmtId="2" fontId="41" fillId="37" borderId="0" xfId="0" applyNumberFormat="1" applyFont="1" applyFill="1" applyAlignment="1">
      <alignment horizontal="center"/>
    </xf>
    <xf numFmtId="164" fontId="41" fillId="37" borderId="0" xfId="382" applyNumberFormat="1" applyFont="1" applyFill="1" applyBorder="1" applyProtection="1">
      <protection locked="0"/>
    </xf>
    <xf numFmtId="2" fontId="16" fillId="37" borderId="0" xfId="11271" applyNumberFormat="1" applyFont="1" applyFill="1" applyAlignment="1">
      <alignment horizontal="left"/>
    </xf>
    <xf numFmtId="43" fontId="110" fillId="37" borderId="0" xfId="382" applyFont="1" applyFill="1" applyProtection="1">
      <protection locked="0"/>
    </xf>
    <xf numFmtId="17" fontId="41" fillId="37" borderId="0" xfId="0" applyNumberFormat="1" applyFont="1" applyFill="1" applyBorder="1" applyAlignment="1">
      <alignment horizontal="center"/>
    </xf>
    <xf numFmtId="10" fontId="41" fillId="37" borderId="0" xfId="678" applyNumberFormat="1" applyFont="1" applyFill="1" applyBorder="1"/>
    <xf numFmtId="0" fontId="41" fillId="0" borderId="0" xfId="0" applyFont="1" applyFill="1" applyAlignment="1">
      <alignment horizontal="center"/>
    </xf>
    <xf numFmtId="0" fontId="41" fillId="0" borderId="0" xfId="0" applyFont="1" applyFill="1" applyAlignment="1">
      <alignment horizontal="left"/>
    </xf>
    <xf numFmtId="164" fontId="45" fillId="0" borderId="11" xfId="382" applyNumberFormat="1" applyFont="1" applyFill="1" applyBorder="1" applyAlignment="1"/>
    <xf numFmtId="164" fontId="45" fillId="0" borderId="65" xfId="382" applyNumberFormat="1" applyFont="1" applyFill="1" applyBorder="1" applyAlignment="1"/>
    <xf numFmtId="0" fontId="45" fillId="0" borderId="6" xfId="0" applyNumberFormat="1" applyFont="1" applyFill="1" applyBorder="1" applyAlignment="1">
      <alignment horizontal="center"/>
    </xf>
    <xf numFmtId="0" fontId="45" fillId="0" borderId="6" xfId="0" applyFont="1" applyFill="1" applyBorder="1"/>
    <xf numFmtId="0" fontId="45" fillId="0" borderId="6" xfId="0" applyFont="1" applyFill="1" applyBorder="1" applyAlignment="1">
      <alignment horizontal="center"/>
    </xf>
    <xf numFmtId="171" fontId="43" fillId="0" borderId="27" xfId="674" applyNumberFormat="1" applyFont="1" applyFill="1" applyBorder="1" applyAlignment="1"/>
    <xf numFmtId="0" fontId="45" fillId="0" borderId="37" xfId="0" applyNumberFormat="1" applyFont="1" applyFill="1" applyBorder="1" applyAlignment="1"/>
    <xf numFmtId="170" fontId="45" fillId="0" borderId="26" xfId="382" applyNumberFormat="1" applyFont="1" applyFill="1" applyBorder="1" applyAlignment="1"/>
    <xf numFmtId="164" fontId="45" fillId="0" borderId="62" xfId="382" applyNumberFormat="1" applyFont="1" applyFill="1" applyBorder="1" applyAlignment="1">
      <alignment horizontal="right"/>
    </xf>
    <xf numFmtId="3" fontId="49" fillId="0" borderId="26" xfId="0" applyNumberFormat="1" applyFont="1" applyFill="1" applyBorder="1" applyAlignment="1">
      <alignment horizontal="right"/>
    </xf>
    <xf numFmtId="3" fontId="49" fillId="0" borderId="60" xfId="0" applyNumberFormat="1" applyFont="1" applyFill="1" applyBorder="1" applyAlignment="1">
      <alignment horizontal="right"/>
    </xf>
    <xf numFmtId="10" fontId="45" fillId="0" borderId="30" xfId="674" applyNumberFormat="1" applyFont="1" applyFill="1" applyBorder="1"/>
    <xf numFmtId="39" fontId="43" fillId="0" borderId="60" xfId="0" applyNumberFormat="1" applyFont="1" applyFill="1" applyBorder="1" applyAlignment="1">
      <alignment horizontal="right"/>
    </xf>
    <xf numFmtId="1" fontId="45" fillId="0" borderId="22" xfId="0" applyNumberFormat="1" applyFont="1" applyFill="1" applyBorder="1" applyAlignment="1">
      <alignment horizontal="center"/>
    </xf>
    <xf numFmtId="194" fontId="110" fillId="0" borderId="0" xfId="37695" applyNumberFormat="1" applyFont="1" applyFill="1" applyAlignment="1">
      <alignment horizontal="right"/>
    </xf>
    <xf numFmtId="10" fontId="110" fillId="0" borderId="0" xfId="382" applyNumberFormat="1" applyFont="1" applyFill="1" applyAlignment="1"/>
    <xf numFmtId="17" fontId="41" fillId="0" borderId="0" xfId="517" applyNumberFormat="1" applyFont="1" applyFill="1" applyBorder="1"/>
    <xf numFmtId="164" fontId="41" fillId="0" borderId="0" xfId="382" applyNumberFormat="1" applyFont="1" applyFill="1" applyBorder="1" applyAlignment="1">
      <alignment horizontal="right"/>
    </xf>
    <xf numFmtId="43" fontId="13" fillId="0" borderId="0" xfId="382" applyFont="1" applyFill="1"/>
    <xf numFmtId="43" fontId="13" fillId="0" borderId="0" xfId="382" applyFont="1" applyFill="1" applyAlignment="1">
      <alignment horizontal="center"/>
    </xf>
    <xf numFmtId="0" fontId="41" fillId="0" borderId="0" xfId="35689" applyFont="1"/>
    <xf numFmtId="0" fontId="90" fillId="0" borderId="0" xfId="0" applyFont="1" applyFill="1" applyAlignment="1">
      <alignment horizontal="right"/>
    </xf>
    <xf numFmtId="37" fontId="90" fillId="0" borderId="0" xfId="0" applyNumberFormat="1" applyFont="1" applyFill="1" applyAlignment="1">
      <alignment horizontal="right"/>
    </xf>
    <xf numFmtId="43" fontId="11" fillId="0" borderId="18" xfId="382" applyFont="1" applyFill="1" applyBorder="1"/>
    <xf numFmtId="199" fontId="41" fillId="0" borderId="27" xfId="382" applyNumberFormat="1" applyFont="1" applyFill="1" applyBorder="1" applyAlignment="1">
      <alignment horizontal="right"/>
    </xf>
    <xf numFmtId="199" fontId="41" fillId="0" borderId="28" xfId="382" applyNumberFormat="1" applyFont="1" applyFill="1" applyBorder="1" applyAlignment="1">
      <alignment horizontal="right"/>
    </xf>
    <xf numFmtId="199" fontId="17" fillId="0" borderId="11" xfId="382" applyNumberFormat="1" applyFont="1" applyFill="1" applyBorder="1" applyAlignment="1">
      <alignment horizontal="right"/>
    </xf>
    <xf numFmtId="164" fontId="12" fillId="0" borderId="0" xfId="382" applyNumberFormat="1" applyFont="1" applyFill="1"/>
    <xf numFmtId="164" fontId="110" fillId="54" borderId="0" xfId="382" applyNumberFormat="1" applyFont="1" applyFill="1" applyAlignment="1"/>
    <xf numFmtId="169" fontId="110" fillId="54" borderId="0" xfId="37694" applyFont="1" applyFill="1" applyAlignment="1"/>
    <xf numFmtId="43" fontId="110" fillId="54" borderId="0" xfId="382" applyNumberFormat="1" applyFont="1" applyFill="1" applyAlignment="1"/>
    <xf numFmtId="164" fontId="132" fillId="54" borderId="0" xfId="382" applyNumberFormat="1" applyFont="1" applyFill="1"/>
    <xf numFmtId="3" fontId="110" fillId="54" borderId="0" xfId="37696" applyNumberFormat="1" applyFont="1" applyFill="1" applyAlignment="1"/>
    <xf numFmtId="168" fontId="110" fillId="54" borderId="0" xfId="37696" applyNumberFormat="1" applyFont="1" applyFill="1" applyAlignment="1">
      <alignment horizontal="center"/>
    </xf>
    <xf numFmtId="171" fontId="110" fillId="54" borderId="0" xfId="674" applyNumberFormat="1" applyFont="1" applyFill="1" applyAlignment="1"/>
    <xf numFmtId="194" fontId="110" fillId="54" borderId="0" xfId="37696" applyNumberFormat="1" applyFont="1" applyFill="1" applyAlignment="1"/>
    <xf numFmtId="168" fontId="110" fillId="54" borderId="0" xfId="37696" applyNumberFormat="1" applyFont="1" applyFill="1" applyAlignment="1">
      <alignment horizontal="right"/>
    </xf>
    <xf numFmtId="10" fontId="110" fillId="54" borderId="0" xfId="674" applyNumberFormat="1" applyFont="1" applyFill="1" applyAlignment="1"/>
    <xf numFmtId="3" fontId="133" fillId="54" borderId="0" xfId="37696" applyNumberFormat="1" applyFont="1" applyFill="1" applyAlignment="1"/>
    <xf numFmtId="164" fontId="133" fillId="54" borderId="0" xfId="382" applyNumberFormat="1" applyFont="1" applyFill="1" applyAlignment="1"/>
    <xf numFmtId="168" fontId="133" fillId="54" borderId="0" xfId="37696" applyNumberFormat="1" applyFont="1" applyFill="1" applyAlignment="1">
      <alignment horizontal="center"/>
    </xf>
    <xf numFmtId="164" fontId="110" fillId="54" borderId="18" xfId="382" applyNumberFormat="1" applyFont="1" applyFill="1" applyBorder="1" applyAlignment="1"/>
    <xf numFmtId="0" fontId="110" fillId="54" borderId="0" xfId="37696" applyNumberFormat="1" applyFont="1" applyFill="1"/>
    <xf numFmtId="164" fontId="110" fillId="54" borderId="40" xfId="382" applyNumberFormat="1" applyFont="1" applyFill="1" applyBorder="1" applyAlignment="1"/>
    <xf numFmtId="0" fontId="97" fillId="54" borderId="0" xfId="37696" applyNumberFormat="1" applyFont="1" applyFill="1" applyAlignment="1" applyProtection="1">
      <alignment horizontal="center"/>
      <protection locked="0"/>
    </xf>
    <xf numFmtId="171" fontId="110" fillId="54" borderId="0" xfId="37696" applyNumberFormat="1" applyFont="1" applyFill="1" applyAlignment="1"/>
    <xf numFmtId="171" fontId="110" fillId="54" borderId="0" xfId="674" applyNumberFormat="1" applyFont="1" applyFill="1" applyAlignment="1">
      <alignment vertical="top"/>
    </xf>
    <xf numFmtId="164" fontId="110" fillId="54" borderId="0" xfId="382" applyNumberFormat="1" applyFont="1" applyFill="1" applyAlignment="1">
      <alignment vertical="top"/>
    </xf>
    <xf numFmtId="171" fontId="110" fillId="54" borderId="0" xfId="37696" applyNumberFormat="1" applyFont="1" applyFill="1" applyAlignment="1">
      <alignment vertical="top"/>
    </xf>
    <xf numFmtId="164" fontId="134" fillId="54" borderId="0" xfId="382" applyNumberFormat="1" applyFont="1" applyFill="1" applyAlignment="1"/>
    <xf numFmtId="169" fontId="97" fillId="54" borderId="0" xfId="37694" applyFont="1" applyFill="1" applyAlignment="1"/>
    <xf numFmtId="169" fontId="110" fillId="54" borderId="0" xfId="37696" applyFont="1" applyFill="1" applyAlignment="1"/>
    <xf numFmtId="164" fontId="110" fillId="54" borderId="17" xfId="382" applyNumberFormat="1" applyFont="1" applyFill="1" applyBorder="1" applyAlignment="1"/>
    <xf numFmtId="0" fontId="110" fillId="54" borderId="0" xfId="37694" applyNumberFormat="1" applyFont="1" applyFill="1" applyAlignment="1">
      <alignment vertical="top"/>
    </xf>
    <xf numFmtId="169" fontId="110" fillId="54" borderId="0" xfId="37694" applyFont="1" applyFill="1" applyAlignment="1">
      <alignment vertical="top"/>
    </xf>
    <xf numFmtId="164" fontId="41" fillId="0" borderId="0" xfId="382" applyNumberFormat="1" applyFont="1" applyFill="1" applyBorder="1" applyAlignment="1">
      <alignment horizontal="center"/>
    </xf>
    <xf numFmtId="164" fontId="43" fillId="0" borderId="62" xfId="382" applyNumberFormat="1" applyFont="1" applyFill="1" applyBorder="1" applyAlignment="1"/>
    <xf numFmtId="0" fontId="146" fillId="0" borderId="0" xfId="0" applyFont="1" applyFill="1" applyAlignment="1">
      <alignment vertical="top"/>
    </xf>
    <xf numFmtId="0" fontId="144" fillId="0" borderId="0" xfId="0" applyFont="1" applyFill="1" applyAlignment="1">
      <alignment vertical="top"/>
    </xf>
    <xf numFmtId="0" fontId="145" fillId="0" borderId="0" xfId="0" applyFont="1" applyFill="1" applyAlignment="1">
      <alignment vertical="top"/>
    </xf>
    <xf numFmtId="0" fontId="132" fillId="0" borderId="0" xfId="0" applyFont="1" applyFill="1" applyAlignment="1">
      <alignment horizontal="justify" vertical="center"/>
    </xf>
    <xf numFmtId="0" fontId="132" fillId="0" borderId="0" xfId="0" applyFont="1" applyFill="1"/>
    <xf numFmtId="171" fontId="43" fillId="0" borderId="63" xfId="674" applyNumberFormat="1" applyFont="1" applyFill="1" applyBorder="1" applyAlignment="1"/>
    <xf numFmtId="0" fontId="10" fillId="0" borderId="0" xfId="35157" applyFont="1" applyFill="1" applyBorder="1"/>
    <xf numFmtId="10" fontId="10" fillId="0" borderId="0" xfId="674" applyNumberFormat="1" applyFont="1" applyFill="1"/>
    <xf numFmtId="10" fontId="17" fillId="0" borderId="0" xfId="674" applyNumberFormat="1" applyFont="1" applyFill="1"/>
    <xf numFmtId="10" fontId="41" fillId="0" borderId="0" xfId="0" applyNumberFormat="1" applyFont="1" applyFill="1"/>
    <xf numFmtId="0" fontId="41" fillId="0" borderId="0" xfId="533" applyFont="1" applyFill="1"/>
    <xf numFmtId="0" fontId="137" fillId="0" borderId="0" xfId="0" applyFont="1" applyFill="1" applyAlignment="1"/>
    <xf numFmtId="0" fontId="43" fillId="0" borderId="64" xfId="0" applyFont="1" applyFill="1" applyBorder="1" applyAlignment="1">
      <alignment horizontal="center" wrapText="1"/>
    </xf>
    <xf numFmtId="164" fontId="110" fillId="0" borderId="0" xfId="382" quotePrefix="1" applyNumberFormat="1" applyFont="1" applyFill="1" applyAlignment="1"/>
    <xf numFmtId="164" fontId="41" fillId="0" borderId="0" xfId="382" applyNumberFormat="1" applyFont="1" applyFill="1" applyBorder="1" applyAlignment="1">
      <alignment horizontal="left" indent="1"/>
    </xf>
    <xf numFmtId="0" fontId="142" fillId="0" borderId="0" xfId="0" applyFont="1" applyFill="1" applyBorder="1"/>
    <xf numFmtId="0" fontId="16" fillId="0" borderId="18" xfId="11271" applyFont="1" applyFill="1" applyBorder="1"/>
    <xf numFmtId="164" fontId="16" fillId="0" borderId="18" xfId="11271" applyNumberFormat="1" applyFont="1" applyFill="1" applyBorder="1"/>
    <xf numFmtId="43" fontId="9" fillId="37" borderId="0" xfId="382" applyFont="1" applyFill="1" applyBorder="1"/>
    <xf numFmtId="43" fontId="9" fillId="37" borderId="18" xfId="382" applyFont="1" applyFill="1" applyBorder="1"/>
    <xf numFmtId="0" fontId="9" fillId="0" borderId="0" xfId="11271" applyFont="1" applyFill="1"/>
    <xf numFmtId="164" fontId="155" fillId="0" borderId="0" xfId="382" applyNumberFormat="1" applyFont="1" applyFill="1"/>
    <xf numFmtId="0" fontId="41" fillId="0" borderId="0" xfId="530" quotePrefix="1" applyFont="1" applyBorder="1" applyAlignment="1"/>
    <xf numFmtId="0" fontId="41" fillId="0" borderId="0" xfId="0" applyFont="1" applyFill="1" applyAlignment="1">
      <alignment horizontal="left" vertical="center" wrapText="1"/>
    </xf>
    <xf numFmtId="0" fontId="138" fillId="0" borderId="0" xfId="11271" applyFont="1" applyFill="1"/>
    <xf numFmtId="164" fontId="138" fillId="0" borderId="0" xfId="11271" applyNumberFormat="1" applyFont="1" applyFill="1"/>
    <xf numFmtId="0" fontId="41" fillId="0" borderId="0" xfId="0" applyFont="1" applyFill="1" applyAlignment="1">
      <alignment vertical="center" wrapText="1"/>
    </xf>
    <xf numFmtId="0" fontId="41" fillId="0" borderId="0" xfId="0" applyFont="1" applyFill="1" applyAlignment="1">
      <alignment vertical="center"/>
    </xf>
    <xf numFmtId="164" fontId="154" fillId="0" borderId="0" xfId="382" applyNumberFormat="1" applyFont="1" applyFill="1" applyAlignment="1"/>
    <xf numFmtId="169" fontId="133" fillId="0" borderId="0" xfId="37696" applyFont="1" applyFill="1" applyAlignment="1"/>
    <xf numFmtId="164" fontId="41" fillId="37" borderId="18" xfId="404" applyNumberFormat="1" applyFont="1" applyFill="1" applyBorder="1"/>
    <xf numFmtId="164" fontId="41" fillId="37" borderId="18" xfId="382" applyNumberFormat="1" applyFont="1" applyFill="1" applyBorder="1" applyProtection="1">
      <protection locked="0"/>
    </xf>
    <xf numFmtId="164" fontId="8" fillId="0" borderId="18" xfId="382" applyNumberFormat="1" applyFont="1" applyFill="1" applyBorder="1"/>
    <xf numFmtId="17" fontId="41" fillId="0" borderId="18" xfId="382" applyNumberFormat="1" applyFont="1" applyFill="1" applyBorder="1" applyAlignment="1">
      <alignment horizontal="center"/>
    </xf>
    <xf numFmtId="164" fontId="8" fillId="0" borderId="18" xfId="382" applyNumberFormat="1" applyFont="1" applyBorder="1"/>
    <xf numFmtId="164" fontId="41" fillId="37" borderId="18" xfId="13644" applyNumberFormat="1" applyFont="1" applyFill="1" applyBorder="1"/>
    <xf numFmtId="0" fontId="110" fillId="0" borderId="0" xfId="37695" applyFont="1" applyFill="1" applyAlignment="1">
      <alignment horizontal="center"/>
    </xf>
    <xf numFmtId="0" fontId="128" fillId="0" borderId="0" xfId="0" applyFont="1" applyFill="1" applyAlignment="1">
      <alignment horizontal="left"/>
    </xf>
    <xf numFmtId="2" fontId="41" fillId="37" borderId="0" xfId="0" quotePrefix="1" applyNumberFormat="1" applyFont="1" applyFill="1" applyAlignment="1">
      <alignment horizontal="left" vertical="top"/>
    </xf>
    <xf numFmtId="2" fontId="41" fillId="37" borderId="0" xfId="0" quotePrefix="1" applyNumberFormat="1" applyFont="1" applyFill="1" applyAlignment="1">
      <alignment horizontal="center" vertical="top"/>
    </xf>
    <xf numFmtId="2" fontId="7" fillId="0" borderId="0" xfId="11271" applyNumberFormat="1" applyFont="1" applyFill="1" applyAlignment="1">
      <alignment horizontal="left"/>
    </xf>
    <xf numFmtId="2" fontId="7" fillId="37" borderId="0" xfId="11271" applyNumberFormat="1" applyFont="1" applyFill="1" applyAlignment="1">
      <alignment horizontal="left"/>
    </xf>
    <xf numFmtId="0" fontId="7" fillId="0" borderId="0" xfId="11271" applyFont="1" applyFill="1"/>
    <xf numFmtId="164" fontId="7" fillId="0" borderId="0" xfId="11271" applyNumberFormat="1" applyFont="1" applyFill="1"/>
    <xf numFmtId="49" fontId="7" fillId="0" borderId="0" xfId="11271" applyNumberFormat="1" applyFont="1" applyFill="1"/>
    <xf numFmtId="49" fontId="7" fillId="37" borderId="0" xfId="11271" applyNumberFormat="1" applyFont="1" applyFill="1"/>
    <xf numFmtId="43" fontId="41" fillId="0" borderId="18" xfId="382" applyFont="1" applyBorder="1" applyAlignment="1">
      <alignment horizontal="center"/>
    </xf>
    <xf numFmtId="0" fontId="41" fillId="37" borderId="0" xfId="0" applyFont="1" applyFill="1" applyAlignment="1">
      <alignment horizontal="left"/>
    </xf>
    <xf numFmtId="43" fontId="6" fillId="0" borderId="18" xfId="382" applyFont="1" applyFill="1" applyBorder="1" applyAlignment="1">
      <alignment horizontal="center"/>
    </xf>
    <xf numFmtId="43" fontId="41" fillId="0" borderId="18" xfId="382" applyFont="1" applyBorder="1" applyAlignment="1">
      <alignment horizontal="center" wrapText="1"/>
    </xf>
    <xf numFmtId="164" fontId="61" fillId="0" borderId="18" xfId="382" quotePrefix="1" applyNumberFormat="1" applyFont="1" applyBorder="1" applyAlignment="1">
      <alignment horizontal="center" wrapText="1"/>
    </xf>
    <xf numFmtId="164" fontId="41" fillId="0" borderId="18" xfId="382" applyNumberFormat="1" applyFont="1" applyFill="1" applyBorder="1" applyAlignment="1">
      <alignment horizontal="center"/>
    </xf>
    <xf numFmtId="0" fontId="41" fillId="0" borderId="18" xfId="474" applyFont="1" applyBorder="1" applyAlignment="1">
      <alignment horizontal="center"/>
    </xf>
    <xf numFmtId="43" fontId="6" fillId="0" borderId="18" xfId="382" applyFont="1" applyFill="1" applyBorder="1"/>
    <xf numFmtId="43" fontId="41" fillId="0" borderId="18" xfId="382" quotePrefix="1" applyFont="1" applyFill="1" applyBorder="1" applyAlignment="1">
      <alignment horizontal="left"/>
    </xf>
    <xf numFmtId="164" fontId="41" fillId="0" borderId="18" xfId="382" applyNumberFormat="1" applyFont="1" applyFill="1" applyBorder="1" applyAlignment="1">
      <alignment horizontal="center" wrapText="1"/>
    </xf>
    <xf numFmtId="43" fontId="6" fillId="0" borderId="18" xfId="382" applyFont="1" applyBorder="1" applyAlignment="1">
      <alignment horizontal="center"/>
    </xf>
    <xf numFmtId="0" fontId="41" fillId="0" borderId="0" xfId="0" applyFont="1" applyAlignment="1">
      <alignment horizontal="center" vertical="top"/>
    </xf>
    <xf numFmtId="43" fontId="41" fillId="0" borderId="18" xfId="382" applyFont="1" applyFill="1" applyBorder="1" applyAlignment="1">
      <alignment horizontal="center" vertical="center" wrapText="1"/>
    </xf>
    <xf numFmtId="164" fontId="41" fillId="0" borderId="3" xfId="0" applyNumberFormat="1" applyFont="1" applyFill="1" applyBorder="1"/>
    <xf numFmtId="164" fontId="41" fillId="0" borderId="0" xfId="674" applyNumberFormat="1" applyFont="1" applyFill="1" applyAlignment="1">
      <alignment vertical="center"/>
    </xf>
    <xf numFmtId="0" fontId="128" fillId="0" borderId="0" xfId="0" quotePrefix="1" applyFont="1" applyFill="1" applyAlignment="1">
      <alignment vertical="center"/>
    </xf>
    <xf numFmtId="0" fontId="5" fillId="37" borderId="0" xfId="35157" applyFont="1" applyFill="1" applyBorder="1"/>
    <xf numFmtId="0" fontId="42" fillId="50" borderId="6" xfId="0" applyFont="1" applyFill="1" applyBorder="1" applyAlignment="1">
      <alignment horizontal="left"/>
    </xf>
    <xf numFmtId="164" fontId="4" fillId="0" borderId="0" xfId="11271" applyNumberFormat="1" applyFont="1" applyFill="1"/>
    <xf numFmtId="0" fontId="157" fillId="0" borderId="0" xfId="0" applyFont="1"/>
    <xf numFmtId="0" fontId="41" fillId="0" borderId="0" xfId="0" applyFont="1" applyFill="1" applyAlignment="1">
      <alignment horizontal="left"/>
    </xf>
    <xf numFmtId="0" fontId="41" fillId="0" borderId="0" xfId="0" applyFont="1" applyFill="1" applyAlignment="1">
      <alignment vertical="top" wrapText="1"/>
    </xf>
    <xf numFmtId="164" fontId="41" fillId="37" borderId="0" xfId="0" applyNumberFormat="1" applyFont="1" applyFill="1" applyAlignment="1">
      <alignment vertical="top"/>
    </xf>
    <xf numFmtId="164" fontId="41" fillId="0" borderId="54" xfId="0" applyNumberFormat="1" applyFont="1" applyFill="1" applyBorder="1" applyAlignment="1">
      <alignment vertical="top"/>
    </xf>
    <xf numFmtId="164" fontId="41" fillId="0" borderId="0" xfId="0" applyNumberFormat="1" applyFont="1" applyFill="1" applyBorder="1" applyAlignment="1">
      <alignment vertical="top"/>
    </xf>
    <xf numFmtId="0" fontId="41" fillId="0" borderId="35" xfId="0" applyFont="1" applyFill="1" applyBorder="1" applyAlignment="1">
      <alignment vertical="top"/>
    </xf>
    <xf numFmtId="164" fontId="41" fillId="0" borderId="54" xfId="382" applyNumberFormat="1" applyFont="1" applyFill="1" applyBorder="1" applyAlignment="1">
      <alignment vertical="top"/>
    </xf>
    <xf numFmtId="164" fontId="3" fillId="0" borderId="0" xfId="382" applyNumberFormat="1" applyFont="1"/>
    <xf numFmtId="0" fontId="3" fillId="0" borderId="0" xfId="496" applyFont="1"/>
    <xf numFmtId="0" fontId="3" fillId="0" borderId="11" xfId="0" applyFont="1" applyFill="1" applyBorder="1"/>
    <xf numFmtId="0" fontId="61" fillId="0" borderId="0" xfId="11275" quotePrefix="1" applyFont="1" applyAlignment="1">
      <alignment horizontal="center"/>
    </xf>
    <xf numFmtId="0" fontId="41" fillId="0" borderId="0" xfId="504" applyFont="1" applyFill="1" applyAlignment="1">
      <alignment horizontal="left" wrapText="1"/>
    </xf>
    <xf numFmtId="14" fontId="41" fillId="0" borderId="18" xfId="0" applyNumberFormat="1" applyFont="1" applyFill="1" applyBorder="1" applyAlignment="1">
      <alignment horizontal="center" wrapText="1"/>
    </xf>
    <xf numFmtId="14" fontId="41" fillId="0" borderId="18" xfId="0" applyNumberFormat="1" applyFont="1" applyFill="1" applyBorder="1" applyAlignment="1">
      <alignment horizontal="center"/>
    </xf>
    <xf numFmtId="14" fontId="41" fillId="0" borderId="18" xfId="0" applyNumberFormat="1" applyFont="1" applyBorder="1" applyAlignment="1">
      <alignment horizontal="center" wrapText="1"/>
    </xf>
    <xf numFmtId="0" fontId="42" fillId="0" borderId="35" xfId="0" applyFont="1" applyFill="1" applyBorder="1"/>
    <xf numFmtId="164" fontId="121" fillId="0" borderId="54" xfId="382" applyNumberFormat="1" applyFont="1" applyFill="1" applyBorder="1"/>
    <xf numFmtId="37" fontId="41" fillId="0" borderId="54" xfId="0" applyNumberFormat="1" applyFont="1" applyFill="1" applyBorder="1"/>
    <xf numFmtId="0" fontId="41" fillId="0" borderId="35" xfId="0" applyNumberFormat="1" applyFont="1" applyBorder="1"/>
    <xf numFmtId="14" fontId="41" fillId="0" borderId="37" xfId="0" applyNumberFormat="1" applyFont="1" applyBorder="1" applyAlignment="1">
      <alignment horizontal="center" wrapText="1"/>
    </xf>
    <xf numFmtId="164" fontId="16" fillId="37" borderId="35" xfId="382" applyNumberFormat="1" applyFont="1" applyFill="1" applyBorder="1"/>
    <xf numFmtId="43" fontId="41" fillId="37" borderId="35" xfId="382" applyFont="1" applyFill="1" applyBorder="1"/>
    <xf numFmtId="43" fontId="41" fillId="37" borderId="37" xfId="382" applyFont="1" applyFill="1" applyBorder="1"/>
    <xf numFmtId="164" fontId="16" fillId="0" borderId="35" xfId="382" applyNumberFormat="1" applyFont="1" applyFill="1" applyBorder="1"/>
    <xf numFmtId="0" fontId="149" fillId="0" borderId="0" xfId="0" applyFont="1"/>
    <xf numFmtId="0" fontId="157" fillId="0" borderId="0" xfId="0" applyFont="1" applyAlignment="1"/>
    <xf numFmtId="0" fontId="157" fillId="0" borderId="0" xfId="0" applyFont="1" applyAlignment="1">
      <alignment vertical="center" wrapText="1"/>
    </xf>
    <xf numFmtId="0" fontId="158" fillId="0" borderId="0" xfId="0" applyFont="1" applyFill="1" applyBorder="1"/>
    <xf numFmtId="0" fontId="158" fillId="0" borderId="0" xfId="0" applyFont="1" applyBorder="1"/>
    <xf numFmtId="0" fontId="42" fillId="0" borderId="0" xfId="0" applyFont="1" applyAlignment="1">
      <alignment horizontal="center"/>
    </xf>
    <xf numFmtId="0" fontId="159" fillId="55" borderId="0" xfId="0" applyFont="1" applyFill="1" applyAlignment="1">
      <alignment vertical="center"/>
    </xf>
    <xf numFmtId="43" fontId="121" fillId="55" borderId="0" xfId="403" applyFont="1" applyFill="1" applyAlignment="1">
      <alignment horizontal="left"/>
    </xf>
    <xf numFmtId="0" fontId="42" fillId="0" borderId="18" xfId="0" applyFont="1" applyBorder="1" applyAlignment="1">
      <alignment horizontal="center"/>
    </xf>
    <xf numFmtId="0" fontId="0" fillId="0" borderId="0" xfId="0" applyAlignment="1">
      <alignment vertical="top" wrapText="1"/>
    </xf>
    <xf numFmtId="0" fontId="0" fillId="0" borderId="0" xfId="0" applyFill="1"/>
    <xf numFmtId="43" fontId="121" fillId="0" borderId="0" xfId="403" applyFont="1" applyFill="1" applyAlignment="1">
      <alignment horizontal="left"/>
    </xf>
    <xf numFmtId="0" fontId="159" fillId="0" borderId="0" xfId="0" applyFont="1" applyFill="1" applyAlignment="1">
      <alignment vertical="center"/>
    </xf>
    <xf numFmtId="0" fontId="27" fillId="0" borderId="0" xfId="34507"/>
    <xf numFmtId="0" fontId="161" fillId="0" borderId="18" xfId="34507" applyFont="1" applyBorder="1" applyAlignment="1">
      <alignment horizontal="center"/>
    </xf>
    <xf numFmtId="164" fontId="161" fillId="0" borderId="18" xfId="33695" applyNumberFormat="1" applyFont="1" applyBorder="1" applyAlignment="1">
      <alignment horizontal="center"/>
    </xf>
    <xf numFmtId="43" fontId="27" fillId="0" borderId="0" xfId="34507" applyNumberFormat="1"/>
    <xf numFmtId="164" fontId="0" fillId="0" borderId="0" xfId="33695" applyNumberFormat="1" applyFont="1"/>
    <xf numFmtId="0" fontId="27" fillId="0" borderId="6" xfId="34507" applyBorder="1"/>
    <xf numFmtId="43" fontId="27" fillId="0" borderId="6" xfId="34507" applyNumberFormat="1" applyBorder="1"/>
    <xf numFmtId="164" fontId="0" fillId="0" borderId="6" xfId="33695" applyNumberFormat="1" applyFont="1" applyBorder="1"/>
    <xf numFmtId="0" fontId="27" fillId="0" borderId="0" xfId="34507" applyBorder="1"/>
    <xf numFmtId="0" fontId="27" fillId="0" borderId="18" xfId="34507" applyBorder="1"/>
    <xf numFmtId="0" fontId="161" fillId="0" borderId="0" xfId="34507" applyFont="1" applyAlignment="1">
      <alignment horizontal="right"/>
    </xf>
    <xf numFmtId="164" fontId="161" fillId="0" borderId="17" xfId="33695" applyNumberFormat="1" applyFont="1" applyBorder="1"/>
    <xf numFmtId="164" fontId="0" fillId="0" borderId="0" xfId="33695" applyNumberFormat="1" applyFont="1" applyAlignment="1">
      <alignment vertical="center" wrapText="1"/>
    </xf>
    <xf numFmtId="0" fontId="161" fillId="0" borderId="0" xfId="34507" applyFont="1" applyAlignment="1">
      <alignment horizontal="center"/>
    </xf>
    <xf numFmtId="0" fontId="97" fillId="0" borderId="0" xfId="37696" applyNumberFormat="1" applyFont="1" applyFill="1" applyAlignment="1">
      <alignment horizontal="center"/>
    </xf>
    <xf numFmtId="3" fontId="110" fillId="0" borderId="0" xfId="37696" applyNumberFormat="1" applyFont="1" applyFill="1" applyAlignment="1">
      <alignment horizontal="left" vertical="top" wrapText="1"/>
    </xf>
    <xf numFmtId="169" fontId="151" fillId="0" borderId="0" xfId="37694" applyFont="1" applyAlignment="1">
      <alignment horizontal="left" vertical="top" wrapText="1"/>
    </xf>
    <xf numFmtId="0" fontId="97" fillId="0" borderId="0" xfId="37696" applyNumberFormat="1" applyFont="1" applyFill="1" applyAlignment="1" applyProtection="1">
      <alignment horizontal="center"/>
      <protection locked="0"/>
    </xf>
    <xf numFmtId="0" fontId="45" fillId="0" borderId="0" xfId="0" applyFont="1" applyFill="1" applyBorder="1" applyAlignment="1">
      <alignment horizontal="left" vertical="top" wrapText="1"/>
    </xf>
    <xf numFmtId="0" fontId="45" fillId="33" borderId="0" xfId="0" applyFont="1" applyFill="1" applyAlignment="1">
      <alignment horizontal="left" wrapText="1"/>
    </xf>
    <xf numFmtId="0" fontId="45" fillId="0" borderId="0" xfId="0" applyFont="1" applyFill="1" applyAlignment="1">
      <alignment horizontal="left" vertical="top" wrapText="1"/>
    </xf>
    <xf numFmtId="0" fontId="45" fillId="0" borderId="0" xfId="0" applyFont="1" applyFill="1" applyBorder="1" applyAlignment="1">
      <alignment horizontal="left" vertical="top"/>
    </xf>
    <xf numFmtId="0" fontId="45" fillId="0" borderId="0" xfId="0" applyFont="1" applyFill="1" applyAlignment="1">
      <alignment horizontal="left" vertical="top"/>
    </xf>
    <xf numFmtId="0" fontId="45" fillId="0" borderId="0" xfId="0" applyNumberFormat="1" applyFont="1" applyFill="1" applyAlignment="1">
      <alignment horizontal="left" vertical="top" wrapText="1"/>
    </xf>
    <xf numFmtId="0" fontId="43" fillId="0" borderId="0" xfId="0" applyNumberFormat="1" applyFont="1" applyFill="1" applyAlignment="1">
      <alignment horizontal="center" vertical="top" wrapText="1"/>
    </xf>
    <xf numFmtId="0" fontId="45" fillId="0" borderId="0" xfId="0" quotePrefix="1" applyNumberFormat="1" applyFont="1" applyFill="1" applyBorder="1" applyAlignment="1">
      <alignment horizontal="left" vertical="top" wrapText="1"/>
    </xf>
    <xf numFmtId="0" fontId="45" fillId="0" borderId="0" xfId="0" applyNumberFormat="1" applyFont="1" applyFill="1" applyAlignment="1">
      <alignment horizontal="left" vertical="top"/>
    </xf>
    <xf numFmtId="169" fontId="45" fillId="0" borderId="0" xfId="590" applyFont="1" applyFill="1" applyAlignment="1" applyProtection="1">
      <alignment horizontal="left" vertical="top" wrapText="1"/>
      <protection locked="0"/>
    </xf>
    <xf numFmtId="0" fontId="57" fillId="0" borderId="0" xfId="0" applyFont="1" applyAlignment="1">
      <alignment horizontal="center"/>
    </xf>
    <xf numFmtId="0" fontId="54" fillId="0" borderId="0" xfId="0" applyFont="1" applyAlignment="1">
      <alignment horizontal="center"/>
    </xf>
    <xf numFmtId="0" fontId="43" fillId="0" borderId="0" xfId="0" applyNumberFormat="1" applyFont="1" applyBorder="1" applyAlignment="1">
      <alignment horizontal="center"/>
    </xf>
    <xf numFmtId="0" fontId="45" fillId="0" borderId="0" xfId="0" applyFont="1" applyBorder="1" applyAlignment="1">
      <alignment horizontal="center" wrapText="1"/>
    </xf>
    <xf numFmtId="0" fontId="45" fillId="0" borderId="18" xfId="0" applyFont="1" applyBorder="1" applyAlignment="1">
      <alignment horizontal="center" wrapText="1"/>
    </xf>
    <xf numFmtId="3" fontId="45" fillId="0" borderId="35" xfId="0" applyNumberFormat="1" applyFont="1" applyBorder="1" applyAlignment="1">
      <alignment horizontal="center" vertical="top"/>
    </xf>
    <xf numFmtId="3" fontId="45" fillId="0" borderId="37" xfId="0" applyNumberFormat="1" applyFont="1" applyBorder="1" applyAlignment="1">
      <alignment horizontal="center" vertical="top"/>
    </xf>
    <xf numFmtId="0" fontId="41" fillId="0" borderId="0" xfId="0" applyFont="1" applyFill="1" applyAlignment="1">
      <alignment horizontal="center"/>
    </xf>
    <xf numFmtId="0" fontId="41" fillId="0" borderId="0" xfId="0" applyFont="1" applyFill="1" applyAlignment="1">
      <alignment horizontal="center" wrapText="1"/>
    </xf>
    <xf numFmtId="0" fontId="41" fillId="0" borderId="0" xfId="0" applyFont="1" applyFill="1" applyAlignment="1">
      <alignment horizontal="left" vertical="top" wrapText="1"/>
    </xf>
    <xf numFmtId="0" fontId="41" fillId="0" borderId="0" xfId="504" applyFont="1" applyFill="1" applyBorder="1" applyAlignment="1">
      <alignment horizontal="left" vertical="top" wrapText="1"/>
    </xf>
    <xf numFmtId="0" fontId="41" fillId="0" borderId="0" xfId="0" applyFont="1" applyFill="1" applyAlignment="1">
      <alignment horizontal="left" wrapText="1"/>
    </xf>
    <xf numFmtId="43" fontId="41" fillId="0" borderId="0" xfId="0" applyNumberFormat="1" applyFont="1" applyFill="1" applyAlignment="1">
      <alignment horizontal="left"/>
    </xf>
    <xf numFmtId="0" fontId="41" fillId="0" borderId="0" xfId="0" applyFont="1" applyAlignment="1">
      <alignment horizontal="left" wrapText="1"/>
    </xf>
    <xf numFmtId="43" fontId="121" fillId="0" borderId="0" xfId="382" applyFont="1" applyFill="1" applyAlignment="1">
      <alignment horizontal="left"/>
    </xf>
    <xf numFmtId="0" fontId="41" fillId="0" borderId="0" xfId="0" applyFont="1" applyAlignment="1">
      <alignment horizontal="center"/>
    </xf>
    <xf numFmtId="0" fontId="41" fillId="0" borderId="0" xfId="0" applyFont="1" applyFill="1" applyBorder="1" applyAlignment="1">
      <alignment horizontal="left" vertical="top" wrapText="1"/>
    </xf>
    <xf numFmtId="0" fontId="26" fillId="0" borderId="0" xfId="11271" applyFont="1" applyFill="1" applyAlignment="1">
      <alignment horizontal="left" wrapText="1"/>
    </xf>
    <xf numFmtId="0" fontId="143" fillId="0" borderId="0" xfId="0" applyFont="1" applyFill="1" applyAlignment="1">
      <alignment horizontal="left" vertical="center" wrapText="1"/>
    </xf>
    <xf numFmtId="0" fontId="41" fillId="0" borderId="0" xfId="504" applyFont="1" applyFill="1" applyAlignment="1">
      <alignment horizontal="left" vertical="top" wrapText="1"/>
    </xf>
    <xf numFmtId="0" fontId="157" fillId="0" borderId="0" xfId="0" applyFont="1" applyAlignment="1">
      <alignment horizontal="center" vertical="center" wrapText="1"/>
    </xf>
    <xf numFmtId="0" fontId="41" fillId="0" borderId="0" xfId="504" applyFont="1" applyFill="1" applyBorder="1" applyAlignment="1">
      <alignment horizontal="left"/>
    </xf>
    <xf numFmtId="0" fontId="41" fillId="0" borderId="0" xfId="504" applyFont="1" applyBorder="1" applyAlignment="1">
      <alignment horizontal="left" vertical="top" wrapText="1"/>
    </xf>
    <xf numFmtId="0" fontId="41" fillId="0" borderId="0" xfId="0" applyFont="1" applyAlignment="1">
      <alignment horizontal="center" vertical="top"/>
    </xf>
    <xf numFmtId="0" fontId="61" fillId="0" borderId="0" xfId="11272" applyFont="1" applyAlignment="1">
      <alignment horizontal="center"/>
    </xf>
    <xf numFmtId="0" fontId="61" fillId="0" borderId="0" xfId="474" quotePrefix="1" applyFont="1" applyFill="1" applyAlignment="1">
      <alignment horizontal="center"/>
    </xf>
    <xf numFmtId="0" fontId="41" fillId="0" borderId="0" xfId="474" applyFont="1" applyAlignment="1">
      <alignment horizontal="left" vertical="top" wrapText="1"/>
    </xf>
    <xf numFmtId="0" fontId="41" fillId="0" borderId="0" xfId="474" applyFont="1" applyFill="1" applyAlignment="1">
      <alignment horizontal="center"/>
    </xf>
    <xf numFmtId="3" fontId="41" fillId="0" borderId="0" xfId="11265" quotePrefix="1" applyNumberFormat="1" applyFont="1" applyFill="1" applyAlignment="1">
      <alignment horizontal="center"/>
    </xf>
    <xf numFmtId="0" fontId="41" fillId="0" borderId="0" xfId="569" applyFont="1" applyFill="1" applyBorder="1" applyAlignment="1">
      <alignment horizontal="center" vertical="top"/>
    </xf>
    <xf numFmtId="0" fontId="41" fillId="0" borderId="0" xfId="564" quotePrefix="1" applyFont="1" applyFill="1" applyBorder="1" applyAlignment="1">
      <alignment horizontal="center" vertical="top"/>
    </xf>
    <xf numFmtId="0" fontId="41" fillId="0" borderId="0" xfId="0" applyFont="1" applyBorder="1" applyAlignment="1">
      <alignment horizontal="left" vertical="top" wrapText="1"/>
    </xf>
    <xf numFmtId="0" fontId="42" fillId="0" borderId="0" xfId="0" applyFont="1" applyFill="1" applyBorder="1" applyAlignment="1">
      <alignment horizontal="left" vertical="top" wrapText="1"/>
    </xf>
    <xf numFmtId="43" fontId="122" fillId="0" borderId="0" xfId="382" applyFont="1" applyFill="1" applyBorder="1" applyAlignment="1">
      <alignment horizontal="center"/>
    </xf>
    <xf numFmtId="43" fontId="122" fillId="0" borderId="35" xfId="382" applyFont="1" applyFill="1" applyBorder="1" applyAlignment="1">
      <alignment horizontal="center"/>
    </xf>
    <xf numFmtId="43" fontId="122" fillId="0" borderId="54" xfId="382" applyFont="1" applyFill="1" applyBorder="1" applyAlignment="1">
      <alignment horizontal="center"/>
    </xf>
    <xf numFmtId="0" fontId="42" fillId="0" borderId="24" xfId="0" applyFont="1" applyFill="1" applyBorder="1" applyAlignment="1">
      <alignment horizontal="left" vertical="top" wrapText="1"/>
    </xf>
    <xf numFmtId="0" fontId="41" fillId="0" borderId="0" xfId="0" applyFont="1" applyFill="1" applyBorder="1" applyAlignment="1">
      <alignment horizontal="left"/>
    </xf>
    <xf numFmtId="0" fontId="41" fillId="0" borderId="0" xfId="0" applyFont="1" applyFill="1" applyBorder="1" applyAlignment="1">
      <alignment horizontal="left" wrapText="1"/>
    </xf>
    <xf numFmtId="43" fontId="122" fillId="0" borderId="44" xfId="382" applyFont="1" applyFill="1" applyBorder="1" applyAlignment="1">
      <alignment horizontal="center"/>
    </xf>
    <xf numFmtId="0" fontId="42" fillId="0" borderId="0" xfId="0" applyFont="1" applyAlignment="1">
      <alignment horizontal="center"/>
    </xf>
    <xf numFmtId="0" fontId="42" fillId="0" borderId="0" xfId="0" applyFont="1" applyFill="1" applyAlignment="1">
      <alignment horizontal="center"/>
    </xf>
    <xf numFmtId="43" fontId="122" fillId="0" borderId="0" xfId="382" applyFont="1" applyFill="1" applyAlignment="1">
      <alignment horizontal="center"/>
    </xf>
    <xf numFmtId="0" fontId="42" fillId="0" borderId="0" xfId="0" applyFont="1" applyFill="1" applyAlignment="1">
      <alignment horizontal="left" vertical="top" wrapText="1"/>
    </xf>
    <xf numFmtId="0" fontId="41" fillId="0" borderId="0" xfId="0" applyFont="1" applyFill="1" applyAlignment="1">
      <alignment horizontal="left" vertical="center" wrapText="1"/>
    </xf>
    <xf numFmtId="43" fontId="129" fillId="0" borderId="0" xfId="382" applyFont="1" applyFill="1" applyAlignment="1">
      <alignment horizontal="center" wrapText="1"/>
    </xf>
    <xf numFmtId="43" fontId="6" fillId="0" borderId="0" xfId="382" applyFont="1" applyFill="1" applyBorder="1" applyAlignment="1">
      <alignment horizontal="center" wrapText="1"/>
    </xf>
    <xf numFmtId="43" fontId="6" fillId="0" borderId="18" xfId="382" applyFont="1" applyFill="1" applyBorder="1" applyAlignment="1">
      <alignment horizontal="center" wrapText="1"/>
    </xf>
    <xf numFmtId="0" fontId="16" fillId="0" borderId="0" xfId="11271" applyFont="1" applyFill="1" applyAlignment="1">
      <alignment horizontal="left" wrapText="1"/>
    </xf>
    <xf numFmtId="185" fontId="42" fillId="0" borderId="0" xfId="474" applyNumberFormat="1" applyFont="1" applyAlignment="1" applyProtection="1">
      <alignment horizontal="center"/>
      <protection locked="0"/>
    </xf>
    <xf numFmtId="0" fontId="41" fillId="0" borderId="0" xfId="474" applyFont="1" applyAlignment="1" applyProtection="1">
      <alignment horizontal="center"/>
      <protection locked="0"/>
    </xf>
    <xf numFmtId="0" fontId="41" fillId="0" borderId="0" xfId="474" applyFont="1" applyFill="1" applyAlignment="1" applyProtection="1">
      <alignment horizontal="center"/>
      <protection locked="0"/>
    </xf>
    <xf numFmtId="0" fontId="41" fillId="0" borderId="0" xfId="484" applyFont="1" applyFill="1" applyAlignment="1">
      <alignment horizontal="left" vertical="top" wrapText="1"/>
    </xf>
    <xf numFmtId="0" fontId="41" fillId="0" borderId="0" xfId="0" quotePrefix="1" applyFont="1" applyFill="1" applyBorder="1" applyAlignment="1">
      <alignment horizontal="center" vertical="top"/>
    </xf>
    <xf numFmtId="0" fontId="61" fillId="0" borderId="0" xfId="0" applyFont="1" applyFill="1" applyAlignment="1">
      <alignment horizontal="center"/>
    </xf>
    <xf numFmtId="0" fontId="41" fillId="0" borderId="0" xfId="11272" applyFont="1" applyAlignment="1">
      <alignment horizontal="center" vertical="top"/>
    </xf>
    <xf numFmtId="0" fontId="61" fillId="0" borderId="0" xfId="0" quotePrefix="1" applyFont="1" applyFill="1" applyAlignment="1">
      <alignment horizontal="center"/>
    </xf>
    <xf numFmtId="0" fontId="24" fillId="0" borderId="0" xfId="513" applyFont="1" applyFill="1" applyAlignment="1">
      <alignment horizontal="left" vertical="top" wrapText="1"/>
    </xf>
    <xf numFmtId="0" fontId="2" fillId="0" borderId="0" xfId="513" applyFont="1" applyFill="1" applyAlignment="1">
      <alignment horizontal="left" vertical="top" wrapText="1"/>
    </xf>
    <xf numFmtId="0" fontId="61" fillId="0" borderId="0" xfId="513" applyFont="1" applyAlignment="1">
      <alignment horizontal="center"/>
    </xf>
    <xf numFmtId="0" fontId="71" fillId="0" borderId="0" xfId="513" applyFont="1" applyBorder="1" applyAlignment="1">
      <alignment horizontal="center"/>
    </xf>
    <xf numFmtId="0" fontId="61" fillId="0" borderId="0" xfId="513" applyFont="1" applyFill="1" applyAlignment="1">
      <alignment horizontal="center"/>
    </xf>
    <xf numFmtId="0" fontId="61" fillId="0" borderId="0" xfId="11271" applyFont="1" applyAlignment="1">
      <alignment horizontal="center"/>
    </xf>
    <xf numFmtId="0" fontId="41" fillId="0" borderId="0" xfId="474" applyFont="1" applyFill="1" applyAlignment="1">
      <alignment horizontal="left" vertical="top" wrapText="1"/>
    </xf>
    <xf numFmtId="0" fontId="161" fillId="0" borderId="0" xfId="34507" applyFont="1" applyAlignment="1">
      <alignment horizontal="center"/>
    </xf>
    <xf numFmtId="0" fontId="41" fillId="0" borderId="0" xfId="0" quotePrefix="1" applyFont="1" applyFill="1" applyBorder="1" applyAlignment="1">
      <alignment horizontal="left" vertical="top" wrapText="1"/>
    </xf>
    <xf numFmtId="0" fontId="157" fillId="0" borderId="0" xfId="0" applyFont="1" applyAlignment="1">
      <alignment horizontal="center" wrapText="1"/>
    </xf>
    <xf numFmtId="0" fontId="41" fillId="0" borderId="0" xfId="11275" quotePrefix="1" applyFont="1" applyFill="1" applyBorder="1" applyAlignment="1">
      <alignment horizontal="center" vertical="top"/>
    </xf>
    <xf numFmtId="0" fontId="41" fillId="0" borderId="0" xfId="0" applyFont="1" applyAlignment="1">
      <alignment horizontal="left" vertical="top" wrapText="1"/>
    </xf>
    <xf numFmtId="0" fontId="41" fillId="0" borderId="0" xfId="11275" applyFont="1" applyFill="1" applyBorder="1" applyAlignment="1">
      <alignment horizontal="center" vertical="top"/>
    </xf>
    <xf numFmtId="164" fontId="41" fillId="0" borderId="6" xfId="11275" applyNumberFormat="1" applyFont="1" applyFill="1" applyBorder="1" applyAlignment="1">
      <alignment horizontal="center" vertical="top"/>
    </xf>
    <xf numFmtId="0" fontId="61" fillId="0" borderId="0" xfId="569" applyFont="1" applyFill="1" applyAlignment="1">
      <alignment horizontal="left" wrapText="1"/>
    </xf>
    <xf numFmtId="164" fontId="41" fillId="0" borderId="18" xfId="11275" applyNumberFormat="1" applyFont="1" applyFill="1" applyBorder="1" applyAlignment="1">
      <alignment horizontal="center" vertical="top"/>
    </xf>
    <xf numFmtId="0" fontId="41" fillId="0" borderId="0" xfId="569" quotePrefix="1" applyFont="1" applyFill="1" applyBorder="1" applyAlignment="1">
      <alignment horizontal="center" vertical="top"/>
    </xf>
    <xf numFmtId="0" fontId="61" fillId="0" borderId="0" xfId="11275" quotePrefix="1" applyFont="1" applyFill="1" applyAlignment="1">
      <alignment horizontal="left"/>
    </xf>
    <xf numFmtId="0" fontId="61" fillId="0" borderId="0" xfId="11275" applyFont="1" applyFill="1" applyAlignment="1">
      <alignment horizontal="left" vertical="top" wrapText="1"/>
    </xf>
    <xf numFmtId="0" fontId="61" fillId="0" borderId="54" xfId="569" applyFont="1" applyBorder="1" applyAlignment="1">
      <alignment horizontal="center"/>
    </xf>
    <xf numFmtId="0" fontId="61" fillId="0" borderId="0" xfId="569" applyFont="1" applyAlignment="1">
      <alignment horizontal="center"/>
    </xf>
    <xf numFmtId="0" fontId="41" fillId="0" borderId="0" xfId="0" applyFont="1" applyAlignment="1">
      <alignment horizontal="center" vertical="center"/>
    </xf>
    <xf numFmtId="0" fontId="17" fillId="0" borderId="18" xfId="0" applyFont="1" applyFill="1" applyBorder="1" applyAlignment="1">
      <alignment horizontal="center"/>
    </xf>
    <xf numFmtId="0" fontId="41" fillId="0" borderId="0" xfId="474" applyFont="1" applyAlignment="1">
      <alignment horizontal="center"/>
    </xf>
    <xf numFmtId="0" fontId="24" fillId="0" borderId="0" xfId="11271" applyFont="1" applyBorder="1" applyAlignment="1">
      <alignment horizontal="center" wrapText="1"/>
    </xf>
    <xf numFmtId="0" fontId="24" fillId="0" borderId="18" xfId="11271" applyFont="1" applyBorder="1" applyAlignment="1">
      <alignment horizontal="center" wrapText="1"/>
    </xf>
    <xf numFmtId="0" fontId="24" fillId="0" borderId="0" xfId="0" applyFont="1" applyFill="1" applyAlignment="1">
      <alignment horizontal="left" vertical="top" wrapText="1"/>
    </xf>
    <xf numFmtId="0" fontId="41" fillId="0" borderId="0" xfId="0" applyFont="1" applyFill="1" applyAlignment="1">
      <alignment horizontal="left"/>
    </xf>
    <xf numFmtId="43" fontId="129" fillId="0" borderId="0" xfId="382" applyFont="1" applyFill="1" applyAlignment="1">
      <alignment horizontal="center"/>
    </xf>
    <xf numFmtId="0" fontId="21" fillId="0" borderId="0" xfId="0" quotePrefix="1" applyFont="1" applyFill="1" applyAlignment="1">
      <alignment horizontal="left" vertical="top" wrapText="1"/>
    </xf>
    <xf numFmtId="0" fontId="41" fillId="0" borderId="0" xfId="484" applyFont="1" applyFill="1" applyAlignment="1">
      <alignment horizontal="center" vertical="top"/>
    </xf>
    <xf numFmtId="0" fontId="21" fillId="0" borderId="0" xfId="0" quotePrefix="1" applyFont="1" applyAlignment="1">
      <alignment horizontal="left" vertical="top" wrapText="1"/>
    </xf>
  </cellXfs>
  <cellStyles count="37699">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66FFFF"/>
      <color rgb="FFFFFF66"/>
      <color rgb="FFFFCCFF"/>
      <color rgb="FFFFFFCC"/>
      <color rgb="FFFF99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38100</xdr:colOff>
      <xdr:row>52</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tabSelected="1" zoomScale="90" zoomScaleNormal="90" zoomScaleSheetLayoutView="100" workbookViewId="0">
      <selection activeCell="B3" sqref="B3"/>
    </sheetView>
  </sheetViews>
  <sheetFormatPr defaultColWidth="9.140625" defaultRowHeight="12.75"/>
  <cols>
    <col min="1" max="1" width="6.28515625" style="312" bestFit="1" customWidth="1"/>
    <col min="2" max="2" width="79.42578125" style="312" bestFit="1" customWidth="1"/>
    <col min="3" max="3" width="50.42578125" style="312" customWidth="1"/>
    <col min="4" max="4" width="14" style="312" bestFit="1" customWidth="1"/>
    <col min="5" max="5" width="1.42578125" style="312" customWidth="1"/>
    <col min="6" max="6" width="7.7109375" style="312" customWidth="1"/>
    <col min="7" max="7" width="11.42578125" style="312" customWidth="1"/>
    <col min="8" max="8" width="6.28515625" style="312" hidden="1" customWidth="1"/>
    <col min="9" max="9" width="15.28515625" style="312" customWidth="1"/>
    <col min="10" max="10" width="3.42578125" style="312" customWidth="1"/>
    <col min="11" max="11" width="7" style="312" customWidth="1"/>
    <col min="12" max="12" width="14" style="313" customWidth="1"/>
    <col min="13" max="14" width="14.28515625" style="313" customWidth="1"/>
    <col min="15" max="15" width="13.140625" style="312" customWidth="1"/>
    <col min="16" max="16" width="15.85546875" style="313" bestFit="1" customWidth="1"/>
    <col min="17" max="17" width="25.7109375" style="313" customWidth="1"/>
    <col min="18" max="18" width="14.85546875" style="312" bestFit="1" customWidth="1"/>
    <col min="19" max="16384" width="9.140625" style="312"/>
  </cols>
  <sheetData>
    <row r="1" spans="1:15" s="312" customFormat="1">
      <c r="I1" s="1097"/>
      <c r="J1" s="1097"/>
      <c r="K1" s="1098" t="s">
        <v>860</v>
      </c>
      <c r="L1" s="313"/>
    </row>
    <row r="2" spans="1:15" s="312" customFormat="1">
      <c r="A2" s="314"/>
      <c r="B2" s="314"/>
      <c r="C2" s="314"/>
      <c r="E2" s="314"/>
      <c r="F2" s="314"/>
      <c r="G2" s="314"/>
      <c r="H2" s="314"/>
      <c r="I2" s="314"/>
      <c r="J2" s="314"/>
      <c r="K2" s="315" t="s">
        <v>764</v>
      </c>
      <c r="L2" s="313"/>
    </row>
    <row r="3" spans="1:15" s="312" customFormat="1">
      <c r="A3" s="314"/>
      <c r="B3" s="314"/>
      <c r="C3" s="1604" t="s">
        <v>1655</v>
      </c>
      <c r="D3" s="314"/>
      <c r="E3" s="314"/>
      <c r="F3" s="314"/>
      <c r="G3" s="314"/>
      <c r="H3" s="314"/>
      <c r="I3" s="314"/>
      <c r="J3" s="314"/>
      <c r="K3" s="314"/>
      <c r="L3" s="313"/>
    </row>
    <row r="4" spans="1:15" s="312" customFormat="1" ht="13.15" customHeight="1">
      <c r="A4" s="316"/>
      <c r="B4" s="317" t="s">
        <v>765</v>
      </c>
      <c r="C4" s="318" t="s">
        <v>766</v>
      </c>
      <c r="E4" s="317"/>
      <c r="F4" s="317"/>
      <c r="G4" s="319"/>
      <c r="H4" s="320"/>
      <c r="I4" s="1094"/>
      <c r="J4" s="1095"/>
      <c r="K4" s="1096" t="s">
        <v>1735</v>
      </c>
      <c r="L4" s="1687" t="s">
        <v>1656</v>
      </c>
      <c r="M4" s="1687"/>
      <c r="N4" s="1687"/>
      <c r="O4" s="1687"/>
    </row>
    <row r="5" spans="1:15" s="312" customFormat="1" ht="13.5" thickBot="1">
      <c r="A5" s="316"/>
      <c r="C5" s="321" t="s">
        <v>767</v>
      </c>
      <c r="E5" s="322"/>
      <c r="F5" s="322"/>
      <c r="G5" s="322"/>
      <c r="H5" s="323"/>
      <c r="I5" s="323"/>
      <c r="J5" s="324"/>
      <c r="K5" s="324"/>
      <c r="L5" s="1687"/>
      <c r="M5" s="1687"/>
      <c r="N5" s="1687"/>
      <c r="O5" s="1687"/>
    </row>
    <row r="6" spans="1:15" s="312" customFormat="1" ht="14.25" thickBot="1">
      <c r="A6" s="316"/>
      <c r="B6" s="325"/>
      <c r="C6" s="1099" t="s">
        <v>365</v>
      </c>
      <c r="E6" s="324"/>
      <c r="F6" s="324"/>
      <c r="G6" s="324"/>
      <c r="H6" s="324"/>
      <c r="J6" s="326"/>
      <c r="K6" s="326"/>
      <c r="L6" s="1289" t="s">
        <v>768</v>
      </c>
    </row>
    <row r="7" spans="1:15" s="312" customFormat="1" ht="13.5">
      <c r="B7" s="325"/>
      <c r="C7" s="1072" t="str">
        <f>+L6&amp;" Rate"</f>
        <v>Projected Rate</v>
      </c>
      <c r="J7" s="327"/>
      <c r="K7" s="327"/>
    </row>
    <row r="8" spans="1:15" s="312" customFormat="1">
      <c r="A8" s="318"/>
      <c r="C8" s="324"/>
      <c r="D8" s="328"/>
      <c r="E8" s="324"/>
      <c r="F8" s="324"/>
      <c r="G8" s="324"/>
      <c r="H8" s="324"/>
      <c r="I8" s="324"/>
      <c r="J8" s="324"/>
      <c r="K8" s="324"/>
      <c r="L8" s="313" t="s">
        <v>768</v>
      </c>
    </row>
    <row r="9" spans="1:15" s="312" customFormat="1">
      <c r="A9" s="318"/>
      <c r="B9" s="330" t="s">
        <v>367</v>
      </c>
      <c r="C9" s="330" t="s">
        <v>769</v>
      </c>
      <c r="D9" s="330" t="s">
        <v>770</v>
      </c>
      <c r="E9" s="322" t="s">
        <v>259</v>
      </c>
      <c r="F9" s="322"/>
      <c r="G9" s="328" t="s">
        <v>771</v>
      </c>
      <c r="H9" s="322"/>
      <c r="I9" s="328" t="s">
        <v>772</v>
      </c>
      <c r="J9" s="324"/>
      <c r="K9" s="324"/>
      <c r="L9" s="313" t="s">
        <v>1657</v>
      </c>
    </row>
    <row r="10" spans="1:15" s="312" customFormat="1">
      <c r="A10" s="318" t="s">
        <v>773</v>
      </c>
      <c r="B10" s="324"/>
      <c r="C10" s="324"/>
      <c r="D10" s="331"/>
      <c r="E10" s="324"/>
      <c r="F10" s="324"/>
      <c r="G10" s="324"/>
      <c r="H10" s="324"/>
      <c r="I10" s="318" t="s">
        <v>774</v>
      </c>
      <c r="J10" s="324"/>
      <c r="K10" s="324"/>
      <c r="L10" s="329">
        <f>IF(L6=L8,0,1)</f>
        <v>0</v>
      </c>
    </row>
    <row r="11" spans="1:15" s="312" customFormat="1" ht="13.5" thickBot="1">
      <c r="A11" s="332" t="s">
        <v>775</v>
      </c>
      <c r="B11" s="324"/>
      <c r="C11" s="324"/>
      <c r="D11" s="324"/>
      <c r="E11" s="324"/>
      <c r="F11" s="324"/>
      <c r="G11" s="324"/>
      <c r="H11" s="324"/>
      <c r="I11" s="332" t="s">
        <v>343</v>
      </c>
      <c r="J11" s="324"/>
      <c r="K11" s="324"/>
      <c r="L11" s="313"/>
    </row>
    <row r="12" spans="1:15" s="312" customFormat="1">
      <c r="A12" s="389">
        <v>1</v>
      </c>
      <c r="B12" s="324" t="s">
        <v>776</v>
      </c>
      <c r="C12" s="336" t="str">
        <f>+"Page 3, Line "&amp;A174</f>
        <v>Page 3, Line 31</v>
      </c>
      <c r="D12" s="333"/>
      <c r="E12" s="324"/>
      <c r="F12" s="324"/>
      <c r="G12" s="324"/>
      <c r="H12" s="324"/>
      <c r="I12" s="334">
        <f>+I174</f>
        <v>185918223.72009778</v>
      </c>
      <c r="J12" s="324"/>
      <c r="K12" s="326"/>
      <c r="L12" s="313"/>
    </row>
    <row r="13" spans="1:15" s="312" customFormat="1">
      <c r="A13" s="389"/>
      <c r="B13" s="324"/>
      <c r="C13" s="324"/>
      <c r="D13" s="324"/>
      <c r="E13" s="324"/>
      <c r="F13" s="324"/>
      <c r="G13" s="324"/>
      <c r="H13" s="324"/>
      <c r="I13" s="333"/>
      <c r="J13" s="324"/>
      <c r="K13" s="324"/>
      <c r="L13" s="313"/>
    </row>
    <row r="14" spans="1:15" s="312" customFormat="1" ht="13.5" thickBot="1">
      <c r="A14" s="389" t="s">
        <v>259</v>
      </c>
      <c r="B14" s="335" t="s">
        <v>777</v>
      </c>
      <c r="C14" s="336"/>
      <c r="D14" s="337" t="s">
        <v>308</v>
      </c>
      <c r="E14" s="336"/>
      <c r="F14" s="338" t="s">
        <v>778</v>
      </c>
      <c r="G14" s="338"/>
      <c r="H14" s="326"/>
      <c r="I14" s="339"/>
      <c r="J14" s="326"/>
      <c r="K14" s="324"/>
      <c r="L14" s="313"/>
    </row>
    <row r="15" spans="1:15" s="312" customFormat="1">
      <c r="A15" s="389">
        <f>+A12+1</f>
        <v>2</v>
      </c>
      <c r="B15" s="801" t="str">
        <f>+B224</f>
        <v xml:space="preserve">Account 454 (Rent From Electric Property: General Plant Only) </v>
      </c>
      <c r="C15" s="336" t="str">
        <f>+"Page 4, Line "&amp;A224</f>
        <v>Page 4, Line 34</v>
      </c>
      <c r="D15" s="334">
        <f>+I224</f>
        <v>56780.578827923804</v>
      </c>
      <c r="E15" s="336"/>
      <c r="F15" s="336" t="s">
        <v>779</v>
      </c>
      <c r="G15" s="340">
        <v>1</v>
      </c>
      <c r="H15" s="341"/>
      <c r="I15" s="334">
        <f>+G15*D15</f>
        <v>56780.578827923804</v>
      </c>
      <c r="J15" s="326"/>
      <c r="K15" s="324"/>
      <c r="L15" s="313"/>
    </row>
    <row r="16" spans="1:15" s="312" customFormat="1">
      <c r="A16" s="389">
        <f>+A15+1</f>
        <v>3</v>
      </c>
      <c r="B16" s="801" t="str">
        <f>+B227</f>
        <v>Account 456.1 Transmission Service Revenue Credits</v>
      </c>
      <c r="C16" s="336" t="str">
        <f>+"Page 4, Line "&amp;A231</f>
        <v>Page 4, Line 37</v>
      </c>
      <c r="D16" s="334">
        <f>+I231</f>
        <v>1794732.8299999982</v>
      </c>
      <c r="E16" s="336"/>
      <c r="F16" s="336" t="s">
        <v>779</v>
      </c>
      <c r="G16" s="340">
        <v>1</v>
      </c>
      <c r="H16" s="341"/>
      <c r="I16" s="334">
        <f>+G16*D16</f>
        <v>1794732.8299999982</v>
      </c>
      <c r="J16" s="326"/>
      <c r="K16" s="324"/>
      <c r="L16" s="313"/>
    </row>
    <row r="17" spans="1:17">
      <c r="A17" s="389">
        <f>+A16+1</f>
        <v>4</v>
      </c>
      <c r="B17" s="801" t="s">
        <v>1358</v>
      </c>
      <c r="C17" s="343"/>
      <c r="D17" s="342"/>
      <c r="E17" s="336"/>
      <c r="F17" s="336" t="s">
        <v>780</v>
      </c>
      <c r="G17" s="340" t="s">
        <v>781</v>
      </c>
      <c r="H17" s="341"/>
      <c r="I17" s="342"/>
      <c r="J17" s="326"/>
      <c r="K17" s="324"/>
      <c r="N17" s="312"/>
      <c r="P17" s="312"/>
      <c r="Q17" s="312"/>
    </row>
    <row r="18" spans="1:17" ht="15.75" thickBot="1">
      <c r="A18" s="389">
        <f>+A17+1</f>
        <v>5</v>
      </c>
      <c r="B18" s="801" t="s">
        <v>1358</v>
      </c>
      <c r="C18" s="343"/>
      <c r="D18" s="342"/>
      <c r="E18" s="336"/>
      <c r="F18" s="336" t="s">
        <v>780</v>
      </c>
      <c r="G18" s="340" t="s">
        <v>781</v>
      </c>
      <c r="H18" s="341"/>
      <c r="I18" s="344"/>
      <c r="J18" s="326"/>
      <c r="K18" s="324"/>
      <c r="L18" s="1633" t="s">
        <v>1712</v>
      </c>
      <c r="N18" s="312"/>
      <c r="P18" s="312"/>
      <c r="Q18" s="312"/>
    </row>
    <row r="19" spans="1:17">
      <c r="A19" s="389">
        <f>+A18+1</f>
        <v>6</v>
      </c>
      <c r="B19" s="335" t="s">
        <v>782</v>
      </c>
      <c r="C19" s="326" t="str">
        <f>+"(Sum of Line "&amp;A15&amp;" to Line "&amp;A18&amp;")"</f>
        <v>(Sum of Line 2 to Line 5)</v>
      </c>
      <c r="D19" s="345" t="s">
        <v>259</v>
      </c>
      <c r="E19" s="336"/>
      <c r="F19" s="336"/>
      <c r="G19" s="346"/>
      <c r="H19" s="341"/>
      <c r="I19" s="334">
        <f>SUM(I15:I18)</f>
        <v>1851513.4088279221</v>
      </c>
      <c r="J19" s="326"/>
      <c r="K19" s="324"/>
      <c r="L19" s="1539"/>
      <c r="M19" s="1539"/>
      <c r="N19" s="1540"/>
      <c r="O19" s="1540"/>
      <c r="P19" s="1540"/>
      <c r="Q19" s="312"/>
    </row>
    <row r="20" spans="1:17">
      <c r="A20" s="389"/>
      <c r="B20" s="347"/>
      <c r="C20" s="326"/>
      <c r="D20" s="336" t="s">
        <v>259</v>
      </c>
      <c r="E20" s="326"/>
      <c r="F20" s="326"/>
      <c r="G20" s="348"/>
      <c r="H20" s="326"/>
      <c r="I20" s="347"/>
      <c r="J20" s="326"/>
      <c r="K20" s="324"/>
      <c r="L20" s="1539"/>
      <c r="M20" s="1539"/>
      <c r="N20" s="1540"/>
      <c r="O20" s="1540"/>
      <c r="P20" s="1540"/>
      <c r="Q20" s="312"/>
    </row>
    <row r="21" spans="1:17">
      <c r="A21" s="389" t="str">
        <f>+A19&amp;"a"</f>
        <v>6a</v>
      </c>
      <c r="B21" s="349" t="s">
        <v>784</v>
      </c>
      <c r="C21" s="336" t="str">
        <f>+"Appendix A Line"&amp;'Appendix A'!A289&amp;" "&amp;$L$6&amp;" Column"</f>
        <v>Appendix A Line194 Projected Column</v>
      </c>
      <c r="D21" s="334">
        <f>IF($L$10=0,'Appendix A'!H289,'Appendix A'!G289)</f>
        <v>0</v>
      </c>
      <c r="E21" s="350"/>
      <c r="F21" s="351" t="s">
        <v>779</v>
      </c>
      <c r="G21" s="352">
        <v>1</v>
      </c>
      <c r="H21" s="350"/>
      <c r="I21" s="334">
        <f>+G21*D21</f>
        <v>0</v>
      </c>
      <c r="J21" s="326"/>
      <c r="K21" s="324"/>
      <c r="L21" s="1539"/>
      <c r="M21" s="1539">
        <f>IF($L$10=0,'Appendix A'!H289,'Appendix A'!G289)</f>
        <v>0</v>
      </c>
      <c r="N21" s="1541">
        <f>+I21-M21</f>
        <v>0</v>
      </c>
      <c r="O21" s="1540"/>
      <c r="P21" s="1540"/>
      <c r="Q21" s="312"/>
    </row>
    <row r="22" spans="1:17">
      <c r="A22" s="389"/>
      <c r="B22" s="347"/>
      <c r="C22" s="326"/>
      <c r="D22" s="336"/>
      <c r="E22" s="326"/>
      <c r="F22" s="326"/>
      <c r="G22" s="348"/>
      <c r="H22" s="326"/>
      <c r="I22" s="347"/>
      <c r="J22" s="326"/>
      <c r="K22" s="324"/>
      <c r="L22" s="1539"/>
      <c r="M22" s="1539"/>
      <c r="N22" s="1540"/>
      <c r="O22" s="1540"/>
      <c r="P22" s="1540"/>
      <c r="Q22" s="312"/>
    </row>
    <row r="23" spans="1:17">
      <c r="A23" s="389" t="s">
        <v>1131</v>
      </c>
      <c r="B23" s="349" t="s">
        <v>783</v>
      </c>
      <c r="C23" s="312" t="str">
        <f>+"(Line "&amp;A12&amp;" - Line "&amp;A19&amp;" + Line "&amp;A21&amp;")"</f>
        <v>(Line 1 - Line 6 + Line 6a)</v>
      </c>
      <c r="I23" s="1076">
        <f>+I12-I19+I21</f>
        <v>184066710.31126985</v>
      </c>
      <c r="J23" s="326"/>
      <c r="K23" s="324"/>
      <c r="L23" s="1539"/>
      <c r="M23" s="1539">
        <f>IF($L$10=0,'Appendix A'!H291,'Appendix A'!G286)</f>
        <v>184066710.31126988</v>
      </c>
      <c r="N23" s="1541">
        <f>+I23-M23</f>
        <v>0</v>
      </c>
      <c r="O23" s="1540"/>
      <c r="P23" s="1540"/>
      <c r="Q23" s="312"/>
    </row>
    <row r="24" spans="1:17">
      <c r="A24" s="389"/>
      <c r="B24" s="349"/>
      <c r="C24" s="353"/>
      <c r="D24" s="353"/>
      <c r="E24" s="353"/>
      <c r="F24" s="353"/>
      <c r="G24" s="353"/>
      <c r="H24" s="353"/>
      <c r="I24" s="353"/>
      <c r="J24" s="326"/>
      <c r="K24" s="324"/>
      <c r="L24" s="1539"/>
      <c r="M24" s="1539"/>
      <c r="N24" s="1540"/>
      <c r="O24" s="1540"/>
      <c r="P24" s="1540"/>
      <c r="Q24" s="312"/>
    </row>
    <row r="25" spans="1:17">
      <c r="A25" s="389" t="s">
        <v>1130</v>
      </c>
      <c r="B25" s="335" t="s">
        <v>1301</v>
      </c>
      <c r="C25" s="336" t="str">
        <f>+"Appendix A Line "&amp;'Appendix A'!A294&amp;" "&amp;$L$6&amp;" Column"</f>
        <v>Appendix A Line 197 Projected Column</v>
      </c>
      <c r="D25" s="342"/>
      <c r="E25" s="326"/>
      <c r="F25" s="326"/>
      <c r="G25" s="348"/>
      <c r="H25" s="326"/>
      <c r="I25" s="334">
        <f>IF($L$10=0,'Appendix A'!H294,'Appendix A'!G294)</f>
        <v>0</v>
      </c>
      <c r="J25" s="326"/>
      <c r="K25" s="324"/>
      <c r="L25" s="1539"/>
      <c r="M25" s="1539"/>
      <c r="N25" s="1540"/>
      <c r="O25" s="1540"/>
      <c r="P25" s="1540"/>
      <c r="Q25" s="312"/>
    </row>
    <row r="26" spans="1:17">
      <c r="A26" s="389" t="s">
        <v>1132</v>
      </c>
      <c r="B26" s="335" t="s">
        <v>1301</v>
      </c>
      <c r="C26" s="336" t="str">
        <f>+"Appendix A Line "&amp;'Appendix A'!A295&amp;" "&amp;$L$6&amp;" Column"</f>
        <v>Appendix A Line 198 Projected Column</v>
      </c>
      <c r="D26" s="336"/>
      <c r="E26" s="326"/>
      <c r="F26" s="326"/>
      <c r="G26" s="348"/>
      <c r="H26" s="326"/>
      <c r="I26" s="334">
        <f>IF($L$10=0,'Appendix A'!H295,'Appendix A'!G295)</f>
        <v>0</v>
      </c>
      <c r="J26" s="326"/>
      <c r="K26" s="324"/>
      <c r="L26" s="1540"/>
      <c r="M26" s="1540"/>
      <c r="N26" s="1540"/>
      <c r="O26" s="1540"/>
      <c r="P26" s="1540"/>
      <c r="Q26" s="312"/>
    </row>
    <row r="27" spans="1:17">
      <c r="A27" s="419"/>
      <c r="B27" s="349"/>
      <c r="C27" s="350"/>
      <c r="D27" s="355"/>
      <c r="E27" s="355"/>
      <c r="F27" s="355"/>
      <c r="G27" s="355"/>
      <c r="H27" s="355"/>
      <c r="I27" s="356"/>
      <c r="J27" s="353"/>
      <c r="K27" s="354"/>
      <c r="L27" s="1540"/>
      <c r="M27" s="1539"/>
      <c r="N27" s="1541"/>
      <c r="O27" s="1540"/>
      <c r="P27" s="1540"/>
      <c r="Q27" s="312"/>
    </row>
    <row r="28" spans="1:17" ht="13.5" thickBot="1">
      <c r="A28" s="419">
        <v>7</v>
      </c>
      <c r="B28" s="349" t="s">
        <v>783</v>
      </c>
      <c r="C28" s="350" t="str">
        <f>+"(Sum of Line "&amp;A23&amp;" to Line "&amp;A26&amp;")"</f>
        <v>(Sum of Line 7a to Line 7c)</v>
      </c>
      <c r="D28" s="355"/>
      <c r="E28" s="356"/>
      <c r="F28" s="356"/>
      <c r="G28" s="356"/>
      <c r="H28" s="356"/>
      <c r="I28" s="1414">
        <f>+SUM(I23:I26)</f>
        <v>184066710.31126985</v>
      </c>
      <c r="J28" s="353"/>
      <c r="K28" s="354"/>
      <c r="L28" s="1540"/>
      <c r="M28" s="1539">
        <f>IF($L$10=0,'Appendix A'!H291,'Appendix A'!G291)</f>
        <v>184066710.31126988</v>
      </c>
      <c r="N28" s="1541">
        <f>+I28-M28</f>
        <v>0</v>
      </c>
      <c r="O28" s="1540"/>
      <c r="P28" s="1540"/>
      <c r="Q28" s="312"/>
    </row>
    <row r="29" spans="1:17" ht="13.5" thickTop="1">
      <c r="A29" s="357"/>
      <c r="B29" s="358"/>
      <c r="C29" s="354"/>
      <c r="D29" s="354"/>
      <c r="E29" s="354"/>
      <c r="F29" s="359"/>
      <c r="G29" s="360"/>
      <c r="H29" s="354"/>
      <c r="I29" s="358"/>
      <c r="J29" s="354"/>
      <c r="K29" s="354"/>
      <c r="L29" s="1539"/>
      <c r="M29" s="1539"/>
      <c r="N29" s="1540"/>
      <c r="O29" s="1540"/>
      <c r="P29" s="1540"/>
      <c r="Q29" s="312"/>
    </row>
    <row r="30" spans="1:17">
      <c r="A30" s="357"/>
      <c r="B30" s="361"/>
      <c r="C30" s="354"/>
      <c r="D30" s="354"/>
      <c r="E30" s="354"/>
      <c r="F30" s="359"/>
      <c r="G30" s="360"/>
      <c r="H30" s="354"/>
      <c r="I30" s="358"/>
      <c r="J30" s="354"/>
      <c r="K30" s="354"/>
      <c r="L30" s="1539"/>
      <c r="M30" s="1539"/>
      <c r="N30" s="1540"/>
      <c r="O30" s="1540"/>
      <c r="P30" s="1540"/>
      <c r="Q30" s="312"/>
    </row>
    <row r="31" spans="1:17" ht="15.75">
      <c r="A31" s="377"/>
      <c r="B31" s="362" t="s">
        <v>785</v>
      </c>
      <c r="C31" s="363"/>
      <c r="D31" s="364"/>
      <c r="E31" s="363"/>
      <c r="F31" s="363"/>
      <c r="G31" s="363"/>
      <c r="H31" s="363"/>
      <c r="I31" s="365"/>
      <c r="J31" s="363"/>
      <c r="L31" s="1542"/>
      <c r="M31" s="1539"/>
      <c r="N31" s="1540"/>
      <c r="O31" s="1540"/>
      <c r="P31" s="1540"/>
      <c r="Q31" s="312"/>
    </row>
    <row r="32" spans="1:17" ht="15.75">
      <c r="A32" s="377">
        <f>+A28+1</f>
        <v>8</v>
      </c>
      <c r="B32" s="804" t="s">
        <v>1092</v>
      </c>
      <c r="C32" s="336" t="str">
        <f>+"Appendix A Line "&amp;'Appendix A'!A299&amp;" "&amp;$L$6&amp;" Column"</f>
        <v>Appendix A Line 200 Projected Column</v>
      </c>
      <c r="D32" s="364"/>
      <c r="E32" s="363"/>
      <c r="F32" s="363"/>
      <c r="G32" s="366"/>
      <c r="H32" s="363"/>
      <c r="I32" s="334">
        <f>IF($L$10=0,'Appendix A'!$H$299,'Appendix A'!$G$299)</f>
        <v>5844083.333333333</v>
      </c>
      <c r="J32" s="363"/>
      <c r="L32" s="1542"/>
      <c r="M32" s="1539"/>
      <c r="N32" s="1540"/>
      <c r="O32" s="1540"/>
      <c r="P32" s="1540"/>
      <c r="Q32" s="312"/>
    </row>
    <row r="33" spans="1:17" ht="15.75">
      <c r="A33" s="377">
        <f t="shared" ref="A33:A39" si="0">+A32+1</f>
        <v>9</v>
      </c>
      <c r="B33" s="801" t="s">
        <v>1358</v>
      </c>
      <c r="C33" s="363"/>
      <c r="D33" s="363"/>
      <c r="E33" s="363"/>
      <c r="F33" s="363"/>
      <c r="G33" s="366"/>
      <c r="H33" s="363"/>
      <c r="I33" s="369">
        <v>0</v>
      </c>
      <c r="J33" s="363"/>
      <c r="L33" s="1542"/>
      <c r="M33" s="1540"/>
      <c r="N33" s="1540"/>
      <c r="O33" s="1540"/>
      <c r="P33" s="1540"/>
      <c r="Q33" s="312"/>
    </row>
    <row r="34" spans="1:17" ht="15.75">
      <c r="A34" s="377">
        <f t="shared" si="0"/>
        <v>10</v>
      </c>
      <c r="B34" s="801" t="s">
        <v>1358</v>
      </c>
      <c r="C34" s="363"/>
      <c r="D34" s="363"/>
      <c r="E34" s="363"/>
      <c r="F34" s="363"/>
      <c r="G34" s="366"/>
      <c r="H34" s="363"/>
      <c r="I34" s="369">
        <v>0</v>
      </c>
      <c r="J34" s="363"/>
      <c r="L34" s="1542"/>
      <c r="M34" s="1540"/>
      <c r="N34" s="1540"/>
      <c r="O34" s="1540"/>
      <c r="P34" s="1540"/>
      <c r="Q34" s="312"/>
    </row>
    <row r="35" spans="1:17" ht="15.75">
      <c r="A35" s="377">
        <f t="shared" si="0"/>
        <v>11</v>
      </c>
      <c r="B35" s="801" t="s">
        <v>1358</v>
      </c>
      <c r="C35" s="363"/>
      <c r="D35" s="363"/>
      <c r="E35" s="363"/>
      <c r="F35" s="363"/>
      <c r="G35" s="366"/>
      <c r="H35" s="363"/>
      <c r="I35" s="369">
        <v>0</v>
      </c>
      <c r="J35" s="363"/>
      <c r="L35" s="1542"/>
      <c r="M35" s="1540"/>
      <c r="N35" s="1540"/>
      <c r="O35" s="1540"/>
      <c r="P35" s="1540"/>
      <c r="Q35" s="312"/>
    </row>
    <row r="36" spans="1:17" ht="15.75">
      <c r="A36" s="377">
        <f t="shared" si="0"/>
        <v>12</v>
      </c>
      <c r="B36" s="801" t="s">
        <v>1358</v>
      </c>
      <c r="C36" s="363"/>
      <c r="D36" s="363"/>
      <c r="E36" s="363"/>
      <c r="F36" s="363"/>
      <c r="G36" s="366"/>
      <c r="H36" s="363"/>
      <c r="I36" s="369">
        <v>0</v>
      </c>
      <c r="J36" s="363"/>
      <c r="L36" s="1542"/>
      <c r="M36" s="1540"/>
      <c r="N36" s="1540"/>
      <c r="O36" s="1540"/>
      <c r="P36" s="1540"/>
      <c r="Q36" s="312"/>
    </row>
    <row r="37" spans="1:17" ht="15.75">
      <c r="A37" s="377">
        <f t="shared" si="0"/>
        <v>13</v>
      </c>
      <c r="B37" s="801" t="s">
        <v>1358</v>
      </c>
      <c r="C37" s="363"/>
      <c r="D37" s="363"/>
      <c r="E37" s="363"/>
      <c r="F37" s="363"/>
      <c r="G37" s="366"/>
      <c r="H37" s="363"/>
      <c r="I37" s="369">
        <v>0</v>
      </c>
      <c r="J37" s="363"/>
      <c r="L37" s="1542"/>
      <c r="M37" s="1540"/>
      <c r="N37" s="1540"/>
      <c r="O37" s="1540"/>
      <c r="P37" s="1540"/>
      <c r="Q37" s="312"/>
    </row>
    <row r="38" spans="1:17" ht="16.5" thickBot="1">
      <c r="A38" s="377">
        <f t="shared" si="0"/>
        <v>14</v>
      </c>
      <c r="B38" s="801" t="s">
        <v>1358</v>
      </c>
      <c r="C38" s="363"/>
      <c r="D38" s="363"/>
      <c r="E38" s="363"/>
      <c r="F38" s="363"/>
      <c r="G38" s="366"/>
      <c r="H38" s="363"/>
      <c r="I38" s="370">
        <v>0</v>
      </c>
      <c r="J38" s="363"/>
      <c r="L38" s="1542"/>
      <c r="M38" s="1540"/>
      <c r="N38" s="1540"/>
      <c r="O38" s="1540"/>
      <c r="P38" s="1540"/>
      <c r="Q38" s="312"/>
    </row>
    <row r="39" spans="1:17" ht="15.75">
      <c r="A39" s="377">
        <f t="shared" si="0"/>
        <v>15</v>
      </c>
      <c r="B39" s="371" t="str">
        <f>+B31</f>
        <v xml:space="preserve">DIVISOR </v>
      </c>
      <c r="C39" s="363" t="str">
        <f>+"(Sum of Line "&amp;A32&amp;" to Line "&amp;A38&amp;")"</f>
        <v>(Sum of Line 8 to Line 14)</v>
      </c>
      <c r="D39" s="363"/>
      <c r="E39" s="363"/>
      <c r="F39" s="363"/>
      <c r="G39" s="363"/>
      <c r="H39" s="363"/>
      <c r="I39" s="367">
        <f>SUM(I32:I38)</f>
        <v>5844083.333333333</v>
      </c>
      <c r="J39" s="363"/>
      <c r="L39" s="1542"/>
      <c r="M39" s="1540"/>
      <c r="N39" s="1540"/>
      <c r="O39" s="1540"/>
      <c r="P39" s="1540"/>
      <c r="Q39" s="312"/>
    </row>
    <row r="40" spans="1:17" ht="15.75">
      <c r="A40" s="377"/>
      <c r="B40" s="362"/>
      <c r="C40" s="363"/>
      <c r="D40" s="363"/>
      <c r="E40" s="363"/>
      <c r="F40" s="363"/>
      <c r="G40" s="363"/>
      <c r="H40" s="363"/>
      <c r="I40" s="365"/>
      <c r="J40" s="363"/>
      <c r="L40" s="1542"/>
      <c r="M40" s="1540"/>
      <c r="N40" s="1540"/>
      <c r="O40" s="1540"/>
      <c r="P40" s="1540"/>
      <c r="Q40" s="312"/>
    </row>
    <row r="41" spans="1:17" ht="15.75">
      <c r="A41" s="377">
        <f>+A39+1</f>
        <v>16</v>
      </c>
      <c r="B41" s="362" t="s">
        <v>786</v>
      </c>
      <c r="C41" s="363" t="str">
        <f>+"(Line "&amp;A28&amp;" / Line "&amp;A39&amp;")"</f>
        <v>(Line 7 / Line 15)</v>
      </c>
      <c r="D41" s="365">
        <f>IF(I39&gt;0,I28/I39,0)</f>
        <v>31.496250106735278</v>
      </c>
      <c r="E41" s="365"/>
      <c r="F41" s="365"/>
      <c r="G41" s="365"/>
      <c r="H41" s="365"/>
      <c r="I41" s="342"/>
      <c r="J41" s="363"/>
      <c r="L41" s="1542"/>
      <c r="M41" s="1540"/>
      <c r="N41" s="1540"/>
      <c r="O41" s="1540"/>
      <c r="P41" s="1540"/>
      <c r="Q41" s="312"/>
    </row>
    <row r="42" spans="1:17" ht="15.75">
      <c r="A42" s="377">
        <f>+A41+1</f>
        <v>17</v>
      </c>
      <c r="B42" s="362" t="s">
        <v>787</v>
      </c>
      <c r="C42" s="363" t="str">
        <f>+"(Line "&amp;A41&amp;" / 12)"</f>
        <v>(Line 16 / 12)</v>
      </c>
      <c r="D42" s="365">
        <f>+D41/12</f>
        <v>2.6246875088946067</v>
      </c>
      <c r="E42" s="365"/>
      <c r="F42" s="365"/>
      <c r="G42" s="365"/>
      <c r="H42" s="365"/>
      <c r="I42" s="342"/>
      <c r="J42" s="363"/>
      <c r="L42" s="1542"/>
      <c r="M42" s="1540"/>
      <c r="N42" s="1540"/>
      <c r="O42" s="1540"/>
      <c r="P42" s="1540"/>
      <c r="Q42" s="312"/>
    </row>
    <row r="43" spans="1:17" ht="15.75">
      <c r="A43" s="377"/>
      <c r="B43" s="362"/>
      <c r="C43" s="363"/>
      <c r="D43" s="365"/>
      <c r="E43" s="365"/>
      <c r="F43" s="365"/>
      <c r="G43" s="365"/>
      <c r="H43" s="365"/>
      <c r="I43" s="342"/>
      <c r="J43" s="363"/>
      <c r="L43" s="1542"/>
      <c r="M43" s="1540"/>
      <c r="N43" s="1540"/>
      <c r="O43" s="1540"/>
      <c r="P43" s="1540"/>
      <c r="Q43" s="312"/>
    </row>
    <row r="44" spans="1:17" ht="15.75">
      <c r="A44" s="377"/>
      <c r="B44" s="362"/>
      <c r="C44" s="363"/>
      <c r="D44" s="372" t="s">
        <v>788</v>
      </c>
      <c r="E44" s="365"/>
      <c r="F44" s="365"/>
      <c r="G44" s="365"/>
      <c r="H44" s="365"/>
      <c r="I44" s="372" t="s">
        <v>789</v>
      </c>
      <c r="J44" s="363"/>
      <c r="L44" s="1542"/>
      <c r="M44" s="1540"/>
      <c r="N44" s="1540"/>
      <c r="O44" s="1540"/>
      <c r="P44" s="1540"/>
      <c r="Q44" s="312"/>
    </row>
    <row r="45" spans="1:17" ht="15.75">
      <c r="A45" s="377"/>
      <c r="B45" s="362"/>
      <c r="C45" s="363"/>
      <c r="D45" s="365"/>
      <c r="E45" s="365"/>
      <c r="F45" s="365"/>
      <c r="G45" s="365"/>
      <c r="H45" s="365"/>
      <c r="I45" s="342"/>
      <c r="J45" s="363"/>
      <c r="L45" s="1542"/>
      <c r="M45" s="1540"/>
      <c r="N45" s="1540"/>
      <c r="O45" s="1540"/>
      <c r="P45" s="1540"/>
      <c r="Q45" s="312"/>
    </row>
    <row r="46" spans="1:17" ht="15.75">
      <c r="A46" s="377">
        <f>+A42+1</f>
        <v>18</v>
      </c>
      <c r="B46" s="362" t="s">
        <v>790</v>
      </c>
      <c r="C46" s="373" t="str">
        <f>+"(Line "&amp;A$41&amp;" / 52; Line "&amp;A$41&amp;" / 52)"</f>
        <v>(Line 16 / 52; Line 16 / 52)</v>
      </c>
      <c r="D46" s="365">
        <f>+D41/52</f>
        <v>0.60569711743721688</v>
      </c>
      <c r="E46" s="365"/>
      <c r="F46" s="365"/>
      <c r="G46" s="365"/>
      <c r="H46" s="365"/>
      <c r="I46" s="342">
        <f>+D41/52</f>
        <v>0.60569711743721688</v>
      </c>
      <c r="J46" s="363"/>
      <c r="L46" s="1542"/>
      <c r="M46" s="1540"/>
      <c r="N46" s="1540"/>
      <c r="O46" s="1540"/>
      <c r="P46" s="1540"/>
      <c r="Q46" s="312"/>
    </row>
    <row r="47" spans="1:17" ht="15.75">
      <c r="A47" s="377">
        <f>+A46+1</f>
        <v>19</v>
      </c>
      <c r="B47" s="362" t="s">
        <v>791</v>
      </c>
      <c r="C47" s="373" t="str">
        <f>+"(Line "&amp;A$41&amp;" / 260; Line "&amp;A$41&amp;" / 365)"</f>
        <v>(Line 16 / 260; Line 16 / 365)</v>
      </c>
      <c r="D47" s="365">
        <f>+D41/260</f>
        <v>0.12113942348744337</v>
      </c>
      <c r="F47" s="365" t="s">
        <v>792</v>
      </c>
      <c r="G47" s="365"/>
      <c r="H47" s="365"/>
      <c r="I47" s="342">
        <f>+D41/365</f>
        <v>8.6291096182836383E-2</v>
      </c>
      <c r="J47" s="363"/>
      <c r="L47" s="1542"/>
      <c r="M47" s="1540"/>
      <c r="N47" s="1540"/>
      <c r="O47" s="1540"/>
      <c r="P47" s="1540"/>
      <c r="Q47" s="312"/>
    </row>
    <row r="48" spans="1:17" ht="15.6" customHeight="1">
      <c r="A48" s="377">
        <f>+A47+1</f>
        <v>20</v>
      </c>
      <c r="B48" s="362" t="s">
        <v>793</v>
      </c>
      <c r="C48" s="373" t="str">
        <f>+"(Line "&amp;A$41&amp;" / 4160; Line "&amp;A$41&amp;" / 8760) x 1000"</f>
        <v>(Line 16 / 4160; Line 16 / 8760) x 1000</v>
      </c>
      <c r="D48" s="365">
        <f>+D41 / 4160 * 1000</f>
        <v>7.5712139679652104</v>
      </c>
      <c r="F48" s="365" t="s">
        <v>794</v>
      </c>
      <c r="G48" s="365"/>
      <c r="H48" s="365"/>
      <c r="I48" s="342">
        <f>+D41 / 8760 * 1000</f>
        <v>3.5954623409515158</v>
      </c>
      <c r="J48" s="363"/>
      <c r="L48" s="1542"/>
      <c r="M48" s="1540"/>
      <c r="N48" s="1540"/>
      <c r="O48" s="1540"/>
      <c r="P48" s="1540"/>
      <c r="Q48" s="312"/>
    </row>
    <row r="49" spans="1:17" ht="15.75">
      <c r="A49" s="377"/>
      <c r="B49" s="362"/>
      <c r="C49" s="363"/>
      <c r="D49" s="365"/>
      <c r="F49" s="365" t="s">
        <v>795</v>
      </c>
      <c r="G49" s="365"/>
      <c r="H49" s="365"/>
      <c r="I49" s="342"/>
      <c r="J49" s="363"/>
      <c r="L49" s="1542" t="s">
        <v>259</v>
      </c>
      <c r="M49" s="1540"/>
      <c r="N49" s="1540"/>
      <c r="O49" s="1540"/>
      <c r="P49" s="1540"/>
      <c r="Q49" s="312"/>
    </row>
    <row r="50" spans="1:17" ht="15.75">
      <c r="A50" s="377"/>
      <c r="B50" s="362"/>
      <c r="C50" s="363"/>
      <c r="D50" s="365"/>
      <c r="F50" s="365"/>
      <c r="G50" s="365"/>
      <c r="H50" s="365"/>
      <c r="I50" s="342"/>
      <c r="J50" s="363"/>
      <c r="L50" s="1542" t="s">
        <v>259</v>
      </c>
      <c r="M50" s="1540"/>
      <c r="N50" s="1540"/>
      <c r="O50" s="1540"/>
      <c r="P50" s="1540"/>
      <c r="Q50" s="312"/>
    </row>
    <row r="51" spans="1:17" ht="15.75">
      <c r="A51" s="377">
        <f>+A48+1</f>
        <v>21</v>
      </c>
      <c r="B51" s="374" t="s">
        <v>796</v>
      </c>
      <c r="C51" s="363" t="s">
        <v>797</v>
      </c>
      <c r="D51" s="1506">
        <v>0</v>
      </c>
      <c r="F51" s="375" t="s">
        <v>798</v>
      </c>
      <c r="G51" s="375"/>
      <c r="H51" s="375"/>
      <c r="I51" s="375">
        <f>D51</f>
        <v>0</v>
      </c>
      <c r="J51" s="376" t="s">
        <v>798</v>
      </c>
      <c r="L51" s="1542"/>
      <c r="M51" s="1540"/>
      <c r="N51" s="1540"/>
      <c r="O51" s="1540"/>
      <c r="P51" s="1540"/>
      <c r="Q51" s="312"/>
    </row>
    <row r="52" spans="1:17" ht="15.75">
      <c r="A52" s="377">
        <f>+A51+1</f>
        <v>22</v>
      </c>
      <c r="B52" s="374" t="s">
        <v>796</v>
      </c>
      <c r="C52" s="363"/>
      <c r="D52" s="1506">
        <v>0</v>
      </c>
      <c r="F52" s="375" t="s">
        <v>799</v>
      </c>
      <c r="G52" s="375"/>
      <c r="H52" s="375"/>
      <c r="I52" s="375">
        <f>D52</f>
        <v>0</v>
      </c>
      <c r="J52" s="376" t="s">
        <v>799</v>
      </c>
      <c r="L52" s="1542"/>
      <c r="M52" s="1540"/>
      <c r="N52" s="1540"/>
      <c r="O52" s="1540"/>
      <c r="P52" s="1540"/>
      <c r="Q52" s="312"/>
    </row>
    <row r="53" spans="1:17" ht="15.75">
      <c r="A53" s="377"/>
      <c r="B53" s="353"/>
      <c r="C53" s="362"/>
      <c r="D53" s="363"/>
      <c r="E53" s="378"/>
      <c r="F53" s="378"/>
      <c r="G53" s="378"/>
      <c r="H53" s="378"/>
      <c r="I53" s="378"/>
      <c r="J53" s="378"/>
      <c r="K53" s="378"/>
      <c r="L53" s="1542"/>
      <c r="M53" s="1540"/>
      <c r="N53" s="1540"/>
      <c r="O53" s="1540"/>
      <c r="P53" s="1540"/>
      <c r="Q53" s="312"/>
    </row>
    <row r="54" spans="1:17">
      <c r="A54" s="318"/>
      <c r="B54" s="379"/>
      <c r="C54" s="326"/>
      <c r="D54" s="380"/>
      <c r="E54" s="381"/>
      <c r="F54" s="381"/>
      <c r="G54" s="381"/>
      <c r="H54" s="381"/>
      <c r="I54" s="381"/>
      <c r="J54" s="381"/>
      <c r="K54" s="382" t="str">
        <f>+K1</f>
        <v>Attachment O-EAI</v>
      </c>
      <c r="L54" s="1539"/>
      <c r="M54" s="1540"/>
      <c r="N54" s="1540"/>
      <c r="O54" s="1540"/>
      <c r="P54" s="1540"/>
      <c r="Q54" s="312"/>
    </row>
    <row r="55" spans="1:17">
      <c r="A55" s="316"/>
      <c r="B55" s="379"/>
      <c r="C55" s="326"/>
      <c r="D55" s="324"/>
      <c r="E55" s="324"/>
      <c r="F55" s="324"/>
      <c r="G55" s="324"/>
      <c r="H55" s="324"/>
      <c r="I55" s="383"/>
      <c r="J55" s="324"/>
      <c r="K55" s="384" t="s">
        <v>800</v>
      </c>
      <c r="L55" s="1539"/>
      <c r="M55" s="1540"/>
      <c r="N55" s="1540"/>
      <c r="O55" s="1540"/>
      <c r="P55" s="1540"/>
      <c r="Q55" s="312"/>
    </row>
    <row r="56" spans="1:17">
      <c r="A56" s="316"/>
      <c r="B56" s="324"/>
      <c r="C56" s="411" t="str">
        <f>+C$3</f>
        <v>MISO Cover</v>
      </c>
      <c r="D56" s="324"/>
      <c r="E56" s="324"/>
      <c r="F56" s="324"/>
      <c r="G56" s="324"/>
      <c r="H56" s="324"/>
      <c r="I56" s="324"/>
      <c r="J56" s="324"/>
      <c r="K56" s="324"/>
      <c r="L56" s="1539"/>
      <c r="M56" s="1540"/>
      <c r="N56" s="1540"/>
      <c r="O56" s="1540"/>
      <c r="P56" s="1540"/>
      <c r="Q56" s="312"/>
    </row>
    <row r="57" spans="1:17">
      <c r="A57" s="316"/>
      <c r="B57" s="379" t="s">
        <v>765</v>
      </c>
      <c r="C57" s="411" t="s">
        <v>766</v>
      </c>
      <c r="E57" s="379"/>
      <c r="F57" s="379"/>
      <c r="G57" s="379"/>
      <c r="H57" s="379"/>
      <c r="I57" s="314"/>
      <c r="J57" s="379"/>
      <c r="K57" s="384" t="str">
        <f>K4</f>
        <v>For  the 12 Months Ended 12/31/2014</v>
      </c>
      <c r="L57" s="1539"/>
      <c r="M57" s="1540"/>
      <c r="N57" s="1540"/>
      <c r="O57" s="1540"/>
      <c r="P57" s="1540"/>
      <c r="Q57" s="312"/>
    </row>
    <row r="58" spans="1:17">
      <c r="A58" s="316"/>
      <c r="B58" s="385"/>
      <c r="C58" s="409" t="s">
        <v>767</v>
      </c>
      <c r="E58" s="322"/>
      <c r="F58" s="322"/>
      <c r="G58" s="322"/>
      <c r="H58" s="322"/>
      <c r="I58" s="322"/>
      <c r="J58" s="322"/>
      <c r="K58" s="322"/>
      <c r="L58" s="1539"/>
      <c r="M58" s="1540"/>
      <c r="N58" s="1540"/>
      <c r="O58" s="1540"/>
      <c r="P58" s="1540"/>
      <c r="Q58" s="312"/>
    </row>
    <row r="59" spans="1:17">
      <c r="A59" s="316"/>
      <c r="B59" s="379"/>
      <c r="C59" s="409" t="str">
        <f>+C6</f>
        <v>Entergy Arkansas, Inc.</v>
      </c>
      <c r="E59" s="322"/>
      <c r="F59" s="322"/>
      <c r="G59" s="322" t="s">
        <v>259</v>
      </c>
      <c r="H59" s="322"/>
      <c r="I59" s="322"/>
      <c r="J59" s="322"/>
      <c r="K59" s="322"/>
      <c r="L59" s="1539"/>
      <c r="M59" s="1540"/>
      <c r="N59" s="1540"/>
      <c r="O59" s="1540"/>
      <c r="P59" s="1540"/>
      <c r="Q59" s="312"/>
    </row>
    <row r="60" spans="1:17">
      <c r="A60" s="316"/>
      <c r="B60" s="316"/>
      <c r="C60" s="409" t="str">
        <f>+C7</f>
        <v>Projected Rate</v>
      </c>
      <c r="D60" s="316"/>
      <c r="E60" s="316"/>
      <c r="F60" s="316"/>
      <c r="G60" s="316"/>
      <c r="H60" s="316"/>
      <c r="I60" s="316"/>
      <c r="J60" s="316"/>
      <c r="K60" s="316"/>
      <c r="L60" s="1539"/>
      <c r="M60" s="1540"/>
      <c r="N60" s="1540"/>
      <c r="O60" s="1540"/>
      <c r="P60" s="1540"/>
      <c r="Q60" s="312"/>
    </row>
    <row r="61" spans="1:17">
      <c r="A61" s="316"/>
      <c r="B61" s="330" t="s">
        <v>367</v>
      </c>
      <c r="C61" s="411" t="s">
        <v>769</v>
      </c>
      <c r="D61" s="330" t="s">
        <v>770</v>
      </c>
      <c r="E61" s="322" t="s">
        <v>259</v>
      </c>
      <c r="F61" s="322"/>
      <c r="G61" s="328" t="s">
        <v>771</v>
      </c>
      <c r="H61" s="322"/>
      <c r="I61" s="328" t="s">
        <v>772</v>
      </c>
      <c r="J61" s="322"/>
      <c r="K61" s="330"/>
      <c r="L61" s="1539"/>
      <c r="M61" s="1540"/>
      <c r="N61" s="1540"/>
      <c r="O61" s="1540"/>
      <c r="P61" s="1540"/>
      <c r="Q61" s="312"/>
    </row>
    <row r="62" spans="1:17">
      <c r="A62" s="316"/>
      <c r="B62" s="379"/>
      <c r="C62" s="413"/>
      <c r="D62" s="322"/>
      <c r="E62" s="322"/>
      <c r="F62" s="336"/>
      <c r="G62" s="389"/>
      <c r="H62" s="336"/>
      <c r="I62" s="414" t="s">
        <v>1494</v>
      </c>
      <c r="J62" s="322"/>
      <c r="K62" s="330"/>
      <c r="L62" s="1539"/>
      <c r="M62" s="1540"/>
      <c r="N62" s="1540"/>
      <c r="O62" s="1540"/>
      <c r="P62" s="1540"/>
      <c r="Q62" s="312"/>
    </row>
    <row r="63" spans="1:17">
      <c r="A63" s="318" t="s">
        <v>773</v>
      </c>
      <c r="B63" s="379"/>
      <c r="C63" s="415" t="s">
        <v>353</v>
      </c>
      <c r="D63" s="386" t="s">
        <v>801</v>
      </c>
      <c r="E63" s="387"/>
      <c r="F63" s="1688" t="s">
        <v>1133</v>
      </c>
      <c r="G63" s="1688"/>
      <c r="H63" s="416"/>
      <c r="I63" s="389" t="s">
        <v>803</v>
      </c>
      <c r="J63" s="322"/>
      <c r="K63" s="330"/>
      <c r="L63" s="1539"/>
      <c r="M63" s="1540"/>
      <c r="N63" s="1540"/>
      <c r="O63" s="1540"/>
      <c r="P63" s="1540"/>
      <c r="Q63" s="312"/>
    </row>
    <row r="64" spans="1:17" ht="13.5" thickBot="1">
      <c r="A64" s="332" t="s">
        <v>775</v>
      </c>
      <c r="B64" s="388" t="s">
        <v>804</v>
      </c>
      <c r="C64" s="336"/>
      <c r="D64" s="322"/>
      <c r="E64" s="322"/>
      <c r="F64" s="336"/>
      <c r="G64" s="336"/>
      <c r="H64" s="336"/>
      <c r="I64" s="336"/>
      <c r="J64" s="322"/>
      <c r="K64" s="322"/>
      <c r="L64" s="1539"/>
      <c r="M64" s="1540"/>
      <c r="N64" s="1540"/>
      <c r="O64" s="1540"/>
      <c r="P64" s="1540"/>
      <c r="Q64" s="312"/>
    </row>
    <row r="65" spans="1:17">
      <c r="A65" s="389"/>
      <c r="B65" s="335" t="s">
        <v>805</v>
      </c>
      <c r="C65" s="336"/>
      <c r="D65" s="336"/>
      <c r="E65" s="336"/>
      <c r="F65" s="336"/>
      <c r="G65" s="336"/>
      <c r="H65" s="336"/>
      <c r="I65" s="336"/>
      <c r="J65" s="336"/>
      <c r="K65" s="336"/>
      <c r="L65" s="1539"/>
      <c r="M65" s="1540"/>
      <c r="N65" s="1540"/>
      <c r="O65" s="1540"/>
      <c r="P65" s="1540"/>
      <c r="Q65" s="312"/>
    </row>
    <row r="66" spans="1:17">
      <c r="A66" s="389">
        <v>1</v>
      </c>
      <c r="B66" s="801" t="s">
        <v>1081</v>
      </c>
      <c r="C66" s="336" t="str">
        <f>+"WP04 PIS Line "&amp;IF($L$10=0,'WP04 PIS'!A$21,'WP04 PIS'!A$23)&amp;" Column "&amp;'WP04 PIS'!D$5</f>
        <v>WP04 PIS Line 16 Column C</v>
      </c>
      <c r="D66" s="334">
        <f>IF($L$10=0,'WP04 PIS'!D$21,'WP04 PIS'!D$23)</f>
        <v>3959492292.7700024</v>
      </c>
      <c r="E66" s="336"/>
      <c r="F66" s="336" t="s">
        <v>780</v>
      </c>
      <c r="G66" s="390" t="s">
        <v>259</v>
      </c>
      <c r="H66" s="336"/>
      <c r="I66" s="334"/>
      <c r="J66" s="336"/>
      <c r="K66" s="353"/>
      <c r="L66" s="1543"/>
      <c r="M66" s="1539"/>
      <c r="N66" s="1539"/>
      <c r="O66" s="1539"/>
      <c r="P66" s="1540"/>
      <c r="Q66" s="312"/>
    </row>
    <row r="67" spans="1:17">
      <c r="A67" s="389">
        <f>+A66+1</f>
        <v>2</v>
      </c>
      <c r="B67" s="801" t="s">
        <v>331</v>
      </c>
      <c r="C67" s="336" t="str">
        <f>+"WP04 PIS Line "&amp;IF($L$10=0,'WP04 PIS'!A$21,'WP04 PIS'!A$23)&amp;" Column "&amp;'WP04 PIS'!G$5</f>
        <v>WP04 PIS Line 16 Column F</v>
      </c>
      <c r="D67" s="334">
        <f>IF($L$10=0,'WP04 PIS'!G$21,'WP04 PIS'!G$23)</f>
        <v>1622596644.0500002</v>
      </c>
      <c r="E67" s="336"/>
      <c r="F67" s="336" t="s">
        <v>806</v>
      </c>
      <c r="G67" s="340">
        <f>+TP</f>
        <v>0.93543197883535256</v>
      </c>
      <c r="H67" s="341"/>
      <c r="I67" s="334">
        <f>+G67*D67</f>
        <v>1517828789.5952938</v>
      </c>
      <c r="J67" s="336"/>
      <c r="K67" s="353"/>
      <c r="L67" s="1540"/>
      <c r="M67" s="1539">
        <f>+D67</f>
        <v>1622596644.0500002</v>
      </c>
      <c r="N67" s="1539">
        <f>+D67-M67</f>
        <v>0</v>
      </c>
      <c r="O67" s="1539"/>
      <c r="P67" s="1539"/>
      <c r="Q67" s="312"/>
    </row>
    <row r="68" spans="1:17">
      <c r="A68" s="389" t="str">
        <f>+A67&amp;"a"</f>
        <v>2a</v>
      </c>
      <c r="B68" s="801" t="s">
        <v>1220</v>
      </c>
      <c r="C68" s="336" t="str">
        <f>+"Appendix A Line "&amp;'Appendix A'!A41&amp;" "&amp;$L$6&amp;" Column"</f>
        <v>Appendix A Line 20 Projected Column</v>
      </c>
      <c r="D68" s="334">
        <f>IF($L$10=0,'Appendix A'!H41,'Appendix A'!G41)</f>
        <v>81201607.556222245</v>
      </c>
      <c r="E68" s="336"/>
      <c r="F68" s="336" t="s">
        <v>806</v>
      </c>
      <c r="G68" s="340">
        <f>+TP</f>
        <v>0.93543197883535256</v>
      </c>
      <c r="H68" s="341"/>
      <c r="I68" s="334">
        <f>+G68*D68</f>
        <v>75958580.440928698</v>
      </c>
      <c r="J68" s="336"/>
      <c r="K68" s="353"/>
      <c r="L68" s="1544"/>
      <c r="M68" s="1539">
        <f>+D68</f>
        <v>81201607.556222245</v>
      </c>
      <c r="N68" s="1539"/>
      <c r="O68" s="1539"/>
      <c r="P68" s="1539"/>
      <c r="Q68" s="312"/>
    </row>
    <row r="69" spans="1:17">
      <c r="A69" s="389">
        <f>+A67+1</f>
        <v>3</v>
      </c>
      <c r="B69" s="801" t="s">
        <v>1082</v>
      </c>
      <c r="C69" s="336" t="str">
        <f>+"WP04 PIS Line "&amp;IF($L$10=0,'WP04 PIS'!A$21,'WP04 PIS'!A$23)&amp;" Column "&amp;'WP04 PIS'!J$5</f>
        <v>WP04 PIS Line 16 Column I</v>
      </c>
      <c r="D69" s="334">
        <f>IF($L$10=0,'WP04 PIS'!J$21,'WP04 PIS'!J$23)</f>
        <v>2976650879.6200004</v>
      </c>
      <c r="E69" s="336"/>
      <c r="F69" s="336" t="s">
        <v>780</v>
      </c>
      <c r="G69" s="340" t="s">
        <v>259</v>
      </c>
      <c r="H69" s="341"/>
      <c r="I69" s="334"/>
      <c r="J69" s="336"/>
      <c r="K69" s="353"/>
      <c r="L69" s="1543"/>
      <c r="M69" s="1539"/>
      <c r="N69" s="1539"/>
      <c r="O69" s="1539"/>
      <c r="P69" s="1539"/>
      <c r="Q69" s="312"/>
    </row>
    <row r="70" spans="1:17">
      <c r="A70" s="389">
        <f t="shared" ref="A70:A110" si="1">+A69+1</f>
        <v>4</v>
      </c>
      <c r="B70" s="801" t="s">
        <v>1074</v>
      </c>
      <c r="C70" s="336" t="str">
        <f>+"WP04 PIS Line "&amp;IF($L$10=0,'WP04 PIS'!A$21,'WP04 PIS'!A$23)&amp;" Column "&amp;'WP04 PIS'!C$5&amp;" &amp; "&amp;'WP04 PIS'!K5</f>
        <v>WP04 PIS Line 16 Column B &amp; J</v>
      </c>
      <c r="D70" s="334">
        <f>IF($L$10=0,('WP04 PIS'!C$21+'WP04 PIS'!K$21),('WP04 PIS'!C$23+'WP04 PIS'!K$23))</f>
        <v>549469796.12</v>
      </c>
      <c r="E70" s="336"/>
      <c r="F70" s="336" t="s">
        <v>807</v>
      </c>
      <c r="G70" s="340">
        <f>+WS</f>
        <v>7.0882284813534244E-2</v>
      </c>
      <c r="H70" s="341"/>
      <c r="I70" s="334">
        <f>+G70*D70</f>
        <v>38947674.585012436</v>
      </c>
      <c r="J70" s="336"/>
      <c r="K70" s="353"/>
      <c r="L70" s="1545">
        <f>(D198+D199)/D202</f>
        <v>7.5774921552056965E-2</v>
      </c>
      <c r="M70" s="1539">
        <f>+D70*L70</f>
        <v>41636030.696217738</v>
      </c>
      <c r="N70" s="1539"/>
      <c r="O70" s="1539"/>
      <c r="P70" s="1539"/>
      <c r="Q70" s="312"/>
    </row>
    <row r="71" spans="1:17" ht="13.5" thickBot="1">
      <c r="A71" s="389">
        <f t="shared" si="1"/>
        <v>5</v>
      </c>
      <c r="B71" s="801" t="s">
        <v>1358</v>
      </c>
      <c r="C71" s="336"/>
      <c r="D71" s="392"/>
      <c r="E71" s="336"/>
      <c r="F71" s="336"/>
      <c r="G71" s="340"/>
      <c r="H71" s="341"/>
      <c r="I71" s="392"/>
      <c r="J71" s="336"/>
      <c r="K71" s="353"/>
      <c r="L71" s="1546"/>
      <c r="M71" s="1539"/>
      <c r="N71" s="1539"/>
      <c r="O71" s="1539"/>
      <c r="P71" s="1539"/>
      <c r="Q71" s="312"/>
    </row>
    <row r="72" spans="1:17">
      <c r="A72" s="389">
        <f t="shared" si="1"/>
        <v>6</v>
      </c>
      <c r="B72" s="319" t="s">
        <v>808</v>
      </c>
      <c r="C72" s="326" t="str">
        <f>+"(Sum of Line "&amp;A66&amp;" to Line "&amp;A71&amp;")"</f>
        <v>(Sum of Line 1 to Line 5)</v>
      </c>
      <c r="D72" s="334">
        <f>SUM(D66:D71)</f>
        <v>9189411220.1162262</v>
      </c>
      <c r="E72" s="336"/>
      <c r="F72" s="336"/>
      <c r="G72" s="393"/>
      <c r="H72" s="341"/>
      <c r="I72" s="334">
        <f>SUM(I66:I71)</f>
        <v>1632735044.6212349</v>
      </c>
      <c r="J72" s="336"/>
      <c r="K72" s="353"/>
      <c r="L72" s="1547"/>
      <c r="M72" s="1539">
        <f>+M67+M68+M70</f>
        <v>1745434282.3024402</v>
      </c>
      <c r="N72" s="1539"/>
      <c r="O72" s="1539"/>
      <c r="P72" s="1539"/>
      <c r="Q72" s="312"/>
    </row>
    <row r="73" spans="1:17">
      <c r="A73" s="389"/>
      <c r="B73" s="335"/>
      <c r="C73" s="336"/>
      <c r="D73" s="334"/>
      <c r="E73" s="336"/>
      <c r="F73" s="336"/>
      <c r="G73" s="394"/>
      <c r="H73" s="336"/>
      <c r="I73" s="334"/>
      <c r="J73" s="336"/>
      <c r="K73" s="353"/>
      <c r="L73" s="1544"/>
      <c r="M73" s="1539"/>
      <c r="N73" s="1539"/>
      <c r="O73" s="1539"/>
      <c r="P73" s="1539"/>
      <c r="Q73" s="312"/>
    </row>
    <row r="74" spans="1:17">
      <c r="A74" s="389"/>
      <c r="B74" s="335" t="s">
        <v>809</v>
      </c>
      <c r="C74" s="336"/>
      <c r="D74" s="334"/>
      <c r="E74" s="336"/>
      <c r="F74" s="336"/>
      <c r="G74" s="395"/>
      <c r="H74" s="336"/>
      <c r="I74" s="334"/>
      <c r="J74" s="336"/>
      <c r="K74" s="353"/>
      <c r="L74" s="1543"/>
      <c r="M74" s="1539"/>
      <c r="N74" s="1539"/>
      <c r="O74" s="1539"/>
      <c r="P74" s="1539"/>
      <c r="Q74" s="312"/>
    </row>
    <row r="75" spans="1:17">
      <c r="A75" s="389">
        <f>+A72+1</f>
        <v>7</v>
      </c>
      <c r="B75" s="801" t="s">
        <v>1081</v>
      </c>
      <c r="C75" s="336" t="str">
        <f>+"WP04 PIS Line "&amp;IF($L$10=0,'WP04 PIS'!A$40,'WP04 PIS'!A$42)&amp;" Column "&amp;'WP04 PIS'!D$5</f>
        <v>WP04 PIS Line 35 Column C</v>
      </c>
      <c r="D75" s="334">
        <f>IF($L$10=0,'WP04 PIS'!D$40,'WP04 PIS'!D$42)</f>
        <v>2245958035.04</v>
      </c>
      <c r="E75" s="336"/>
      <c r="F75" s="336" t="s">
        <v>780</v>
      </c>
      <c r="G75" s="395" t="s">
        <v>259</v>
      </c>
      <c r="H75" s="336"/>
      <c r="I75" s="334"/>
      <c r="J75" s="336"/>
      <c r="K75" s="353"/>
      <c r="L75" s="1548"/>
      <c r="M75" s="1539"/>
      <c r="N75" s="1539"/>
      <c r="O75" s="1539"/>
      <c r="P75" s="1539"/>
      <c r="Q75" s="312"/>
    </row>
    <row r="76" spans="1:17">
      <c r="A76" s="389">
        <f t="shared" si="1"/>
        <v>8</v>
      </c>
      <c r="B76" s="801" t="s">
        <v>331</v>
      </c>
      <c r="C76" s="336" t="str">
        <f>+"WP04 PIS Line "&amp;IF($L$10=0,'WP04 PIS'!A$40,'WP04 PIS'!A$42)&amp;" Column "&amp;'WP04 PIS'!G$5</f>
        <v>WP04 PIS Line 35 Column F</v>
      </c>
      <c r="D76" s="334">
        <f>IF($L$10=0,'WP04 PIS'!G$40,'WP04 PIS'!G$42)</f>
        <v>451320245.48999995</v>
      </c>
      <c r="E76" s="336"/>
      <c r="F76" s="336" t="s">
        <v>806</v>
      </c>
      <c r="G76" s="340">
        <f>+TP</f>
        <v>0.93543197883535256</v>
      </c>
      <c r="H76" s="341"/>
      <c r="I76" s="334">
        <f>+G76*D76</f>
        <v>422179390.32716775</v>
      </c>
      <c r="J76" s="336"/>
      <c r="K76" s="353"/>
      <c r="L76" s="1543"/>
      <c r="M76" s="1539">
        <f>+D76</f>
        <v>451320245.48999995</v>
      </c>
      <c r="N76" s="1539">
        <f>+D76-M76</f>
        <v>0</v>
      </c>
      <c r="O76" s="1539"/>
      <c r="P76" s="1539"/>
      <c r="Q76" s="312"/>
    </row>
    <row r="77" spans="1:17">
      <c r="A77" s="389" t="str">
        <f>+A76&amp;"a"</f>
        <v>8a</v>
      </c>
      <c r="B77" s="801" t="s">
        <v>1220</v>
      </c>
      <c r="C77" s="336"/>
      <c r="D77" s="334"/>
      <c r="E77" s="336"/>
      <c r="F77" s="336"/>
      <c r="G77" s="340"/>
      <c r="H77" s="341"/>
      <c r="I77" s="334"/>
      <c r="J77" s="336"/>
      <c r="K77" s="353"/>
      <c r="L77" s="1543"/>
      <c r="M77" s="1539"/>
      <c r="N77" s="1539"/>
      <c r="O77" s="1539"/>
      <c r="P77" s="1539"/>
      <c r="Q77" s="312"/>
    </row>
    <row r="78" spans="1:17">
      <c r="A78" s="389">
        <f>+A76+1</f>
        <v>9</v>
      </c>
      <c r="B78" s="801" t="s">
        <v>1082</v>
      </c>
      <c r="C78" s="336" t="str">
        <f>+"WP04 PIS Line "&amp;IF($L$10=0,'WP04 PIS'!A$40,'WP04 PIS'!A$42)&amp;" Column "&amp;'WP04 PIS'!J$5</f>
        <v>WP04 PIS Line 35 Column I</v>
      </c>
      <c r="D78" s="334">
        <f>IF($L$10=0,'WP04 PIS'!J$40,'WP04 PIS'!J$42)</f>
        <v>1074011863.1299999</v>
      </c>
      <c r="E78" s="336"/>
      <c r="F78" s="336" t="s">
        <v>780</v>
      </c>
      <c r="G78" s="340" t="str">
        <f>+G69</f>
        <v xml:space="preserve"> </v>
      </c>
      <c r="H78" s="341"/>
      <c r="I78" s="334" t="s">
        <v>259</v>
      </c>
      <c r="J78" s="336"/>
      <c r="K78" s="353"/>
      <c r="L78" s="1543"/>
      <c r="M78" s="1539"/>
      <c r="N78" s="1539"/>
      <c r="O78" s="1539"/>
      <c r="P78" s="1539"/>
      <c r="Q78" s="312"/>
    </row>
    <row r="79" spans="1:17">
      <c r="A79" s="389">
        <f t="shared" si="1"/>
        <v>10</v>
      </c>
      <c r="B79" s="801" t="s">
        <v>1074</v>
      </c>
      <c r="C79" s="336" t="str">
        <f>+"WP04 PIS Line "&amp;IF($L$10=0,'WP04 PIS'!A$40,'WP04 PIS'!A$42)&amp;" Column "&amp;'WP04 PIS'!C$5&amp;" &amp; "&amp;'WP04 PIS'!K5</f>
        <v>WP04 PIS Line 35 Column B &amp; J</v>
      </c>
      <c r="D79" s="334">
        <f>IF($L$10=0,('WP04 PIS'!C$40+'WP04 PIS'!K$40),('WP04 PIS'!C$42+'WP04 PIS'!K$42))</f>
        <v>389460490.22000003</v>
      </c>
      <c r="E79" s="336"/>
      <c r="F79" s="336" t="s">
        <v>807</v>
      </c>
      <c r="G79" s="340">
        <f>+WS</f>
        <v>7.0882284813534244E-2</v>
      </c>
      <c r="H79" s="341"/>
      <c r="I79" s="334">
        <f>+G79*D79</f>
        <v>27605849.391392712</v>
      </c>
      <c r="J79" s="336"/>
      <c r="K79" s="353"/>
      <c r="L79" s="1545">
        <f>+L70</f>
        <v>7.5774921552056965E-2</v>
      </c>
      <c r="M79" s="1539">
        <f>+D79*L79</f>
        <v>29511338.094046149</v>
      </c>
      <c r="N79" s="1539"/>
      <c r="O79" s="1539"/>
      <c r="P79" s="1539"/>
      <c r="Q79" s="312"/>
    </row>
    <row r="80" spans="1:17" ht="13.5" thickBot="1">
      <c r="A80" s="389">
        <f t="shared" si="1"/>
        <v>11</v>
      </c>
      <c r="B80" s="801" t="s">
        <v>1358</v>
      </c>
      <c r="C80" s="336"/>
      <c r="D80" s="392"/>
      <c r="E80" s="336"/>
      <c r="F80" s="342"/>
      <c r="G80" s="340"/>
      <c r="H80" s="341"/>
      <c r="I80" s="392"/>
      <c r="J80" s="336"/>
      <c r="K80" s="353"/>
      <c r="L80" s="1543"/>
      <c r="M80" s="1539"/>
      <c r="N80" s="1539"/>
      <c r="O80" s="1539"/>
      <c r="P80" s="1539"/>
      <c r="Q80" s="312"/>
    </row>
    <row r="81" spans="1:17">
      <c r="A81" s="389">
        <f t="shared" si="1"/>
        <v>12</v>
      </c>
      <c r="B81" s="335" t="s">
        <v>810</v>
      </c>
      <c r="C81" s="326" t="str">
        <f>+"(Sum of Line "&amp;A75&amp;" to Line "&amp;A80&amp;")"</f>
        <v>(Sum of Line 7 to Line 11)</v>
      </c>
      <c r="D81" s="334">
        <f>SUM(D75:D80)</f>
        <v>4160750633.8800001</v>
      </c>
      <c r="E81" s="336"/>
      <c r="F81" s="336"/>
      <c r="G81" s="342"/>
      <c r="H81" s="341"/>
      <c r="I81" s="334">
        <f>SUM(I75:I80)</f>
        <v>449785239.71856046</v>
      </c>
      <c r="J81" s="336"/>
      <c r="K81" s="353"/>
      <c r="L81" s="1543"/>
      <c r="M81" s="1539">
        <f>+M76+M79</f>
        <v>480831583.58404613</v>
      </c>
      <c r="N81" s="1539"/>
      <c r="O81" s="1539"/>
      <c r="P81" s="1539"/>
      <c r="Q81" s="312"/>
    </row>
    <row r="82" spans="1:17">
      <c r="A82" s="389"/>
      <c r="B82" s="347"/>
      <c r="C82" s="336" t="s">
        <v>259</v>
      </c>
      <c r="D82" s="334"/>
      <c r="E82" s="336"/>
      <c r="F82" s="336"/>
      <c r="G82" s="372"/>
      <c r="H82" s="336"/>
      <c r="I82" s="334"/>
      <c r="J82" s="336"/>
      <c r="K82" s="353"/>
      <c r="L82" s="1544"/>
      <c r="M82" s="1539"/>
      <c r="N82" s="1539"/>
      <c r="O82" s="1539"/>
      <c r="P82" s="1539"/>
      <c r="Q82" s="312"/>
    </row>
    <row r="83" spans="1:17">
      <c r="A83" s="389"/>
      <c r="B83" s="335" t="s">
        <v>811</v>
      </c>
      <c r="C83" s="336"/>
      <c r="D83" s="334"/>
      <c r="E83" s="336"/>
      <c r="F83" s="336"/>
      <c r="G83" s="342"/>
      <c r="H83" s="336"/>
      <c r="I83" s="334"/>
      <c r="J83" s="336"/>
      <c r="K83" s="353"/>
      <c r="L83" s="1543"/>
      <c r="M83" s="1539"/>
      <c r="N83" s="1539"/>
      <c r="O83" s="1539"/>
      <c r="P83" s="1539"/>
      <c r="Q83" s="312"/>
    </row>
    <row r="84" spans="1:17">
      <c r="A84" s="389">
        <f>+A81+1</f>
        <v>13</v>
      </c>
      <c r="B84" s="801" t="s">
        <v>1081</v>
      </c>
      <c r="C84" s="336" t="str">
        <f>"(Line "&amp;A66&amp;" - Line "&amp;A75&amp;")"</f>
        <v>(Line 1 - Line 7)</v>
      </c>
      <c r="D84" s="334">
        <f t="shared" ref="D84:D88" si="2">D66-D75</f>
        <v>1713534257.7300024</v>
      </c>
      <c r="E84" s="341"/>
      <c r="F84" s="341"/>
      <c r="G84" s="372"/>
      <c r="H84" s="341"/>
      <c r="I84" s="334" t="s">
        <v>259</v>
      </c>
      <c r="J84" s="336"/>
      <c r="K84" s="353"/>
      <c r="L84" s="1544"/>
      <c r="M84" s="1539"/>
      <c r="N84" s="1539"/>
      <c r="O84" s="1539"/>
      <c r="P84" s="1539"/>
      <c r="Q84" s="312"/>
    </row>
    <row r="85" spans="1:17">
      <c r="A85" s="389">
        <f t="shared" si="1"/>
        <v>14</v>
      </c>
      <c r="B85" s="801" t="s">
        <v>331</v>
      </c>
      <c r="C85" s="336" t="str">
        <f>"(Line "&amp;A67&amp;" - Line "&amp;A76&amp;")"</f>
        <v>(Line 2 - Line 8)</v>
      </c>
      <c r="D85" s="334">
        <f t="shared" si="2"/>
        <v>1171276398.5600002</v>
      </c>
      <c r="E85" s="341"/>
      <c r="F85" s="341"/>
      <c r="G85" s="342"/>
      <c r="H85" s="341"/>
      <c r="I85" s="334">
        <f>I67-I76</f>
        <v>1095649399.268126</v>
      </c>
      <c r="J85" s="336"/>
      <c r="K85" s="353"/>
      <c r="L85" s="1544"/>
      <c r="M85" s="1539">
        <f t="shared" ref="M85:M86" si="3">M67-M76</f>
        <v>1171276398.5600002</v>
      </c>
      <c r="N85" s="1539">
        <f>+D85-M85</f>
        <v>0</v>
      </c>
      <c r="O85" s="1539"/>
      <c r="P85" s="1539"/>
      <c r="Q85" s="312"/>
    </row>
    <row r="86" spans="1:17">
      <c r="A86" s="389" t="str">
        <f>+A85&amp;"a"</f>
        <v>14a</v>
      </c>
      <c r="B86" s="801" t="s">
        <v>1220</v>
      </c>
      <c r="C86" s="336" t="str">
        <f>"(Line "&amp;A68&amp;" - Line "&amp;A77&amp;")"</f>
        <v>(Line 2a - Line 8a)</v>
      </c>
      <c r="D86" s="334">
        <f t="shared" si="2"/>
        <v>81201607.556222245</v>
      </c>
      <c r="E86" s="341"/>
      <c r="F86" s="341"/>
      <c r="G86" s="342"/>
      <c r="H86" s="341"/>
      <c r="I86" s="334">
        <f>I68-I77</f>
        <v>75958580.440928698</v>
      </c>
      <c r="J86" s="336"/>
      <c r="K86" s="353"/>
      <c r="L86" s="1544"/>
      <c r="M86" s="1539">
        <f t="shared" si="3"/>
        <v>81201607.556222245</v>
      </c>
      <c r="N86" s="1539"/>
      <c r="O86" s="1539"/>
      <c r="P86" s="1539"/>
      <c r="Q86" s="312"/>
    </row>
    <row r="87" spans="1:17">
      <c r="A87" s="389">
        <f>+A85+1</f>
        <v>15</v>
      </c>
      <c r="B87" s="801" t="s">
        <v>1082</v>
      </c>
      <c r="C87" s="336" t="str">
        <f>"(Line "&amp;A69&amp;" - Line "&amp;A78&amp;")"</f>
        <v>(Line 3 - Line 9)</v>
      </c>
      <c r="D87" s="334">
        <f t="shared" si="2"/>
        <v>1902639016.4900005</v>
      </c>
      <c r="E87" s="341"/>
      <c r="F87" s="341"/>
      <c r="G87" s="372"/>
      <c r="H87" s="341"/>
      <c r="I87" s="334" t="s">
        <v>259</v>
      </c>
      <c r="J87" s="336"/>
      <c r="K87" s="353"/>
      <c r="L87" s="1544"/>
      <c r="M87" s="1539"/>
      <c r="N87" s="1539"/>
      <c r="O87" s="1539"/>
      <c r="P87" s="1539"/>
      <c r="Q87" s="312"/>
    </row>
    <row r="88" spans="1:17">
      <c r="A88" s="389">
        <f t="shared" si="1"/>
        <v>16</v>
      </c>
      <c r="B88" s="801" t="s">
        <v>1074</v>
      </c>
      <c r="C88" s="336" t="str">
        <f>"(Line "&amp;A70&amp;" - Line "&amp;A79&amp;")"</f>
        <v>(Line 4 - Line 10)</v>
      </c>
      <c r="D88" s="334">
        <f t="shared" si="2"/>
        <v>160009305.89999998</v>
      </c>
      <c r="E88" s="341"/>
      <c r="F88" s="341"/>
      <c r="G88" s="372"/>
      <c r="H88" s="341"/>
      <c r="I88" s="334">
        <f>I70-I79</f>
        <v>11341825.193619724</v>
      </c>
      <c r="J88" s="336"/>
      <c r="K88" s="353"/>
      <c r="L88" s="1544"/>
      <c r="M88" s="1539">
        <f>M70-M79</f>
        <v>12124692.602171589</v>
      </c>
      <c r="N88" s="1539"/>
      <c r="O88" s="1539"/>
      <c r="P88" s="1539"/>
      <c r="Q88" s="312"/>
    </row>
    <row r="89" spans="1:17" ht="13.5" thickBot="1">
      <c r="A89" s="389">
        <f t="shared" si="1"/>
        <v>17</v>
      </c>
      <c r="B89" s="801" t="s">
        <v>1358</v>
      </c>
      <c r="C89" s="336"/>
      <c r="D89" s="392"/>
      <c r="E89" s="341"/>
      <c r="F89" s="341"/>
      <c r="G89" s="372"/>
      <c r="H89" s="341"/>
      <c r="I89" s="392"/>
      <c r="J89" s="336"/>
      <c r="K89" s="353"/>
      <c r="L89" s="1544"/>
      <c r="M89" s="1539"/>
      <c r="N89" s="1539"/>
      <c r="O89" s="1539"/>
      <c r="P89" s="1539"/>
      <c r="Q89" s="312"/>
    </row>
    <row r="90" spans="1:17">
      <c r="A90" s="389">
        <f t="shared" si="1"/>
        <v>18</v>
      </c>
      <c r="B90" s="335" t="s">
        <v>812</v>
      </c>
      <c r="C90" s="326" t="str">
        <f>+"(Sum of Line "&amp;A84&amp;" to Line "&amp;A89&amp;")"</f>
        <v>(Sum of Line 13 to Line 17)</v>
      </c>
      <c r="D90" s="334">
        <f>SUM(D84:D89)</f>
        <v>5028660586.2362251</v>
      </c>
      <c r="E90" s="341"/>
      <c r="F90" s="341"/>
      <c r="G90" s="393"/>
      <c r="H90" s="341"/>
      <c r="I90" s="334">
        <f>SUM(I84:I89)</f>
        <v>1182949804.9026744</v>
      </c>
      <c r="J90" s="336"/>
      <c r="K90" s="353"/>
      <c r="L90" s="1543"/>
      <c r="M90" s="1539">
        <f>SUM(M84:M89)</f>
        <v>1264602698.718394</v>
      </c>
      <c r="N90" s="1539"/>
      <c r="O90" s="1539"/>
      <c r="P90" s="1539"/>
      <c r="Q90" s="312"/>
    </row>
    <row r="91" spans="1:17">
      <c r="A91" s="389"/>
      <c r="B91" s="335"/>
      <c r="C91" s="336"/>
      <c r="D91" s="334"/>
      <c r="E91" s="341"/>
      <c r="F91" s="341"/>
      <c r="G91" s="372"/>
      <c r="H91" s="341"/>
      <c r="I91" s="334"/>
      <c r="J91" s="336"/>
      <c r="K91" s="353"/>
      <c r="L91" s="1543"/>
      <c r="M91" s="1539"/>
      <c r="N91" s="1539"/>
      <c r="O91" s="1539"/>
      <c r="P91" s="1539"/>
      <c r="Q91" s="312"/>
    </row>
    <row r="92" spans="1:17" s="400" customFormat="1">
      <c r="A92" s="389" t="s">
        <v>1124</v>
      </c>
      <c r="B92" s="1275" t="s">
        <v>1358</v>
      </c>
      <c r="C92" s="398"/>
      <c r="D92" s="1276"/>
      <c r="E92" s="1277"/>
      <c r="F92" s="396"/>
      <c r="G92" s="1278"/>
      <c r="H92" s="396"/>
      <c r="I92" s="397"/>
      <c r="J92" s="398"/>
      <c r="K92" s="399"/>
      <c r="L92" s="1549"/>
      <c r="M92" s="1550"/>
      <c r="N92" s="1550"/>
      <c r="O92" s="1550"/>
      <c r="P92" s="1550"/>
    </row>
    <row r="93" spans="1:17">
      <c r="A93" s="389"/>
      <c r="B93" s="347"/>
      <c r="C93" s="336"/>
      <c r="D93" s="1596"/>
      <c r="E93" s="398"/>
      <c r="F93" s="1597"/>
      <c r="G93" s="347"/>
      <c r="H93" s="336"/>
      <c r="I93" s="334"/>
      <c r="J93" s="336"/>
      <c r="K93" s="353"/>
      <c r="L93" s="1544"/>
      <c r="M93" s="1539"/>
      <c r="N93" s="1539"/>
      <c r="O93" s="1539"/>
      <c r="P93" s="1539"/>
      <c r="Q93" s="312"/>
    </row>
    <row r="94" spans="1:17">
      <c r="A94" s="389"/>
      <c r="B94" s="319" t="s">
        <v>813</v>
      </c>
      <c r="C94" s="336"/>
      <c r="D94" s="334"/>
      <c r="E94" s="336"/>
      <c r="F94" s="336"/>
      <c r="G94" s="336"/>
      <c r="H94" s="336"/>
      <c r="I94" s="334"/>
      <c r="J94" s="336"/>
      <c r="K94" s="353"/>
      <c r="L94" s="1543"/>
      <c r="M94" s="1539"/>
      <c r="N94" s="1539"/>
      <c r="O94" s="1539"/>
      <c r="P94" s="1539"/>
      <c r="Q94" s="312"/>
    </row>
    <row r="95" spans="1:17">
      <c r="A95" s="389">
        <f>+A90+1</f>
        <v>19</v>
      </c>
      <c r="B95" s="801" t="s">
        <v>340</v>
      </c>
      <c r="C95" s="336" t="str">
        <f>+"Appendix A Line "&amp;'Appendix A'!A75&amp;" "&amp;$L$6&amp;" Column"</f>
        <v>Appendix A Line 43 Projected Column</v>
      </c>
      <c r="D95" s="334">
        <f>IF($L$10=0,'Appendix A'!$H$75,'Appendix A'!$G$75)</f>
        <v>-178573833.17497349</v>
      </c>
      <c r="E95" s="336"/>
      <c r="F95" s="336" t="s">
        <v>806</v>
      </c>
      <c r="G95" s="1525">
        <f>+TP</f>
        <v>0.93543197883535256</v>
      </c>
      <c r="H95" s="341"/>
      <c r="I95" s="334">
        <f>+G95*D95</f>
        <v>-167043674.13507959</v>
      </c>
      <c r="J95" s="336"/>
      <c r="K95" s="353"/>
      <c r="L95" s="1544"/>
      <c r="M95" s="1539">
        <f>+D95</f>
        <v>-178573833.17497349</v>
      </c>
      <c r="N95" s="1539"/>
      <c r="O95" s="1539"/>
      <c r="P95" s="1539"/>
      <c r="Q95" s="312"/>
    </row>
    <row r="96" spans="1:17">
      <c r="B96" s="353"/>
      <c r="C96" s="353"/>
      <c r="D96" s="353"/>
      <c r="E96" s="353"/>
      <c r="F96" s="353"/>
      <c r="G96" s="353"/>
      <c r="H96" s="353"/>
      <c r="I96" s="353"/>
      <c r="L96" s="1539"/>
      <c r="M96" s="1539"/>
      <c r="N96" s="1539"/>
      <c r="O96" s="1540"/>
      <c r="P96" s="1539"/>
    </row>
    <row r="97" spans="1:17">
      <c r="A97" s="389">
        <f>+A95+1</f>
        <v>20</v>
      </c>
      <c r="B97" s="801" t="s">
        <v>1358</v>
      </c>
      <c r="C97" s="336"/>
      <c r="D97" s="397"/>
      <c r="E97" s="336"/>
      <c r="F97" s="336"/>
      <c r="G97" s="401"/>
      <c r="H97" s="341"/>
      <c r="I97" s="334"/>
      <c r="J97" s="336"/>
      <c r="K97" s="353"/>
      <c r="L97" s="1544"/>
      <c r="M97" s="1539"/>
      <c r="N97" s="1539"/>
      <c r="O97" s="1539"/>
      <c r="P97" s="1539"/>
      <c r="Q97" s="312"/>
    </row>
    <row r="98" spans="1:17">
      <c r="A98" s="389">
        <f t="shared" si="1"/>
        <v>21</v>
      </c>
      <c r="B98" s="801" t="s">
        <v>1358</v>
      </c>
      <c r="C98" s="336"/>
      <c r="D98" s="397"/>
      <c r="E98" s="336"/>
      <c r="F98" s="336"/>
      <c r="G98" s="401"/>
      <c r="H98" s="341"/>
      <c r="I98" s="334"/>
      <c r="J98" s="336"/>
      <c r="K98" s="353"/>
      <c r="L98" s="1544"/>
      <c r="M98" s="1539"/>
      <c r="N98" s="1539"/>
      <c r="O98" s="1539"/>
      <c r="P98" s="1539"/>
      <c r="Q98" s="312"/>
    </row>
    <row r="99" spans="1:17">
      <c r="A99" s="389">
        <f>+A98+1</f>
        <v>22</v>
      </c>
      <c r="B99" s="807" t="s">
        <v>754</v>
      </c>
      <c r="C99" s="336" t="str">
        <f>+"Appendix A Line "&amp;+'Appendix A'!A87&amp;" "&amp;$L$6&amp;" Column"</f>
        <v>Appendix A Line 52 Projected Column</v>
      </c>
      <c r="D99" s="334">
        <f>IF($L$10=0,'Appendix A'!H87,'Appendix A'!G87)</f>
        <v>-863292.94440250844</v>
      </c>
      <c r="E99" s="336"/>
      <c r="F99" s="336" t="s">
        <v>806</v>
      </c>
      <c r="G99" s="1525">
        <f>+TP</f>
        <v>0.93543197883535256</v>
      </c>
      <c r="H99" s="341"/>
      <c r="I99" s="397">
        <f>+D99*G99</f>
        <v>-807551.82729703642</v>
      </c>
      <c r="J99" s="336"/>
      <c r="K99" s="353"/>
      <c r="L99" s="1544"/>
      <c r="M99" s="1539">
        <f>+D99</f>
        <v>-863292.94440250844</v>
      </c>
      <c r="N99" s="1539"/>
      <c r="O99" s="1539"/>
      <c r="P99" s="1539"/>
      <c r="Q99" s="312"/>
    </row>
    <row r="100" spans="1:17">
      <c r="A100" s="389">
        <f>+A99+1</f>
        <v>23</v>
      </c>
      <c r="B100" s="801" t="s">
        <v>1358</v>
      </c>
      <c r="C100" s="336"/>
      <c r="D100" s="334"/>
      <c r="E100" s="396"/>
      <c r="F100" s="336"/>
      <c r="G100" s="401"/>
      <c r="H100" s="341"/>
      <c r="I100" s="397"/>
      <c r="J100" s="353"/>
      <c r="K100" s="353"/>
      <c r="L100" s="1544"/>
      <c r="M100" s="1539"/>
      <c r="N100" s="1539"/>
      <c r="O100" s="1539"/>
      <c r="P100" s="1539"/>
      <c r="Q100" s="312"/>
    </row>
    <row r="101" spans="1:17" s="400" customFormat="1" ht="13.5" thickBot="1">
      <c r="A101" s="389" t="str">
        <f>+A100&amp;"a"</f>
        <v>23a</v>
      </c>
      <c r="B101" s="1279" t="s">
        <v>1358</v>
      </c>
      <c r="C101" s="336"/>
      <c r="D101" s="392"/>
      <c r="E101" s="396"/>
      <c r="F101" s="396"/>
      <c r="G101" s="1278"/>
      <c r="H101" s="396"/>
      <c r="I101" s="392"/>
      <c r="J101" s="399"/>
      <c r="K101" s="399"/>
      <c r="L101" s="1551"/>
      <c r="M101" s="1550"/>
      <c r="N101" s="1550"/>
      <c r="O101" s="1550"/>
      <c r="P101" s="1550"/>
    </row>
    <row r="102" spans="1:17">
      <c r="A102" s="389">
        <f>+A100+1</f>
        <v>24</v>
      </c>
      <c r="B102" s="335" t="s">
        <v>814</v>
      </c>
      <c r="C102" s="326" t="str">
        <f>+"(Sum of Line "&amp;A95&amp;" to Line "&amp;A101&amp;")"</f>
        <v>(Sum of Line 19 to Line 23a)</v>
      </c>
      <c r="D102" s="334">
        <f>SUM(D95:D101)</f>
        <v>-179437126.119376</v>
      </c>
      <c r="E102" s="336"/>
      <c r="F102" s="336"/>
      <c r="G102" s="341"/>
      <c r="H102" s="341"/>
      <c r="I102" s="334">
        <f>SUM(I95:I101)</f>
        <v>-167851225.96237662</v>
      </c>
      <c r="J102" s="336"/>
      <c r="K102" s="353"/>
      <c r="L102" s="1543"/>
      <c r="M102" s="1539">
        <f>+D102</f>
        <v>-179437126.119376</v>
      </c>
      <c r="N102" s="1539"/>
      <c r="O102" s="1539"/>
      <c r="P102" s="1539"/>
      <c r="Q102" s="312"/>
    </row>
    <row r="103" spans="1:17">
      <c r="A103" s="389"/>
      <c r="B103" s="347"/>
      <c r="C103" s="336"/>
      <c r="D103" s="334"/>
      <c r="E103" s="336"/>
      <c r="F103" s="336"/>
      <c r="G103" s="402"/>
      <c r="H103" s="336"/>
      <c r="I103" s="334"/>
      <c r="J103" s="336"/>
      <c r="K103" s="353"/>
      <c r="L103" s="1544"/>
      <c r="M103" s="1539"/>
      <c r="N103" s="1539"/>
      <c r="O103" s="1539"/>
      <c r="P103" s="1539"/>
      <c r="Q103" s="312"/>
    </row>
    <row r="104" spans="1:17">
      <c r="A104" s="389">
        <f>+A102+1</f>
        <v>25</v>
      </c>
      <c r="B104" s="319" t="s">
        <v>815</v>
      </c>
      <c r="C104" s="336" t="str">
        <f>+"Appendix A Line "&amp;+'Appendix A'!A106&amp;" "&amp;$L$6&amp;" Column"</f>
        <v>Appendix A Line 66 Projected Column</v>
      </c>
      <c r="D104" s="334">
        <f>IF($L$10=0,'Appendix A'!H106,'Appendix A'!G106)</f>
        <v>532590.64</v>
      </c>
      <c r="E104" s="336"/>
      <c r="F104" s="336" t="s">
        <v>806</v>
      </c>
      <c r="G104" s="340">
        <f>+TP</f>
        <v>0.93543197883535256</v>
      </c>
      <c r="H104" s="341"/>
      <c r="I104" s="334">
        <f>+G104*D104</f>
        <v>498202.31628438691</v>
      </c>
      <c r="J104" s="336"/>
      <c r="K104" s="353"/>
      <c r="L104" s="1543"/>
      <c r="M104" s="1539">
        <f>+D104</f>
        <v>532590.64</v>
      </c>
      <c r="N104" s="1539"/>
      <c r="O104" s="1539"/>
      <c r="P104" s="1539"/>
      <c r="Q104" s="312"/>
    </row>
    <row r="105" spans="1:17">
      <c r="A105" s="389"/>
      <c r="B105" s="335"/>
      <c r="C105" s="336"/>
      <c r="D105" s="334"/>
      <c r="E105" s="336"/>
      <c r="F105" s="336"/>
      <c r="G105" s="340"/>
      <c r="H105" s="341"/>
      <c r="I105" s="334"/>
      <c r="J105" s="336"/>
      <c r="K105" s="353"/>
      <c r="L105" s="1543"/>
      <c r="M105" s="1539"/>
      <c r="N105" s="1539"/>
      <c r="O105" s="1539"/>
      <c r="P105" s="1539"/>
      <c r="Q105" s="312"/>
    </row>
    <row r="106" spans="1:17">
      <c r="A106" s="389"/>
      <c r="B106" s="335" t="s">
        <v>816</v>
      </c>
      <c r="C106" s="336"/>
      <c r="D106" s="334"/>
      <c r="E106" s="336"/>
      <c r="F106" s="336"/>
      <c r="G106" s="340"/>
      <c r="H106" s="341"/>
      <c r="I106" s="334"/>
      <c r="J106" s="336"/>
      <c r="K106" s="353"/>
      <c r="L106" s="1543"/>
      <c r="M106" s="1539"/>
      <c r="N106" s="1539"/>
      <c r="O106" s="1539"/>
      <c r="P106" s="1539"/>
      <c r="Q106" s="312"/>
    </row>
    <row r="107" spans="1:17">
      <c r="A107" s="389">
        <f>+A104+1</f>
        <v>26</v>
      </c>
      <c r="B107" s="801" t="s">
        <v>1358</v>
      </c>
      <c r="C107" s="347"/>
      <c r="D107" s="334"/>
      <c r="E107" s="336"/>
      <c r="F107" s="336"/>
      <c r="G107" s="403"/>
      <c r="H107" s="341"/>
      <c r="I107" s="334"/>
      <c r="J107" s="326"/>
      <c r="K107" s="353"/>
      <c r="L107" s="1544"/>
      <c r="M107" s="1539">
        <f>+I107</f>
        <v>0</v>
      </c>
      <c r="N107" s="1539"/>
      <c r="O107" s="1539"/>
      <c r="P107" s="1539"/>
      <c r="Q107" s="312"/>
    </row>
    <row r="108" spans="1:17">
      <c r="A108" s="389">
        <f t="shared" si="1"/>
        <v>27</v>
      </c>
      <c r="B108" s="801" t="s">
        <v>356</v>
      </c>
      <c r="C108" s="336" t="str">
        <f>+"Appendix A Line "&amp;+'Appendix A'!A94&amp;" "&amp;$L$6&amp;" Column"</f>
        <v>Appendix A Line 57 Projected Column</v>
      </c>
      <c r="D108" s="334">
        <f>IF($L$10=0,'Appendix A'!H94,'Appendix A'!G94)</f>
        <v>18981595.292447232</v>
      </c>
      <c r="E108" s="336"/>
      <c r="F108" s="336" t="s">
        <v>806</v>
      </c>
      <c r="G108" s="340">
        <f>+TP</f>
        <v>0.93543197883535256</v>
      </c>
      <c r="H108" s="341"/>
      <c r="I108" s="334">
        <f>+G108*D108</f>
        <v>17755991.245865725</v>
      </c>
      <c r="J108" s="336" t="s">
        <v>259</v>
      </c>
      <c r="K108" s="353"/>
      <c r="L108" s="1544"/>
      <c r="M108" s="1539">
        <f>+D108</f>
        <v>18981595.292447232</v>
      </c>
      <c r="N108" s="1539"/>
      <c r="O108" s="1539"/>
      <c r="P108" s="1539"/>
      <c r="Q108" s="312"/>
    </row>
    <row r="109" spans="1:17" ht="13.5" thickBot="1">
      <c r="A109" s="389">
        <f t="shared" si="1"/>
        <v>28</v>
      </c>
      <c r="B109" s="801" t="s">
        <v>1080</v>
      </c>
      <c r="C109" s="336" t="str">
        <f>+"Appendix A Line "&amp;+'Appendix A'!A104&amp;" "&amp;$L$6&amp;" Column"</f>
        <v>Appendix A Line 65 Projected Column</v>
      </c>
      <c r="D109" s="392">
        <f>IF($L$10=0,'Appendix A'!H104,'Appendix A'!G104)</f>
        <v>1147649.3149625228</v>
      </c>
      <c r="E109" s="336"/>
      <c r="F109" s="336" t="s">
        <v>806</v>
      </c>
      <c r="G109" s="340">
        <f>+TP</f>
        <v>0.93543197883535256</v>
      </c>
      <c r="H109" s="341"/>
      <c r="I109" s="392">
        <f>+G109*D109</f>
        <v>1073547.8697044295</v>
      </c>
      <c r="J109" s="336"/>
      <c r="K109" s="353"/>
      <c r="L109" s="1544"/>
      <c r="M109" s="1552">
        <f>+D109</f>
        <v>1147649.3149625228</v>
      </c>
      <c r="N109" s="1539"/>
      <c r="O109" s="1539"/>
      <c r="P109" s="1539"/>
      <c r="Q109" s="312"/>
    </row>
    <row r="110" spans="1:17">
      <c r="A110" s="389">
        <f t="shared" si="1"/>
        <v>29</v>
      </c>
      <c r="B110" s="335" t="s">
        <v>817</v>
      </c>
      <c r="C110" s="326" t="str">
        <f>+"(Sum of Lines "&amp;A107&amp;" to "&amp;A109&amp;")"</f>
        <v>(Sum of Lines 26 to 28)</v>
      </c>
      <c r="D110" s="334">
        <f>SUM(D107:D109)</f>
        <v>20129244.607409753</v>
      </c>
      <c r="E110" s="326"/>
      <c r="F110" s="326"/>
      <c r="G110" s="404"/>
      <c r="H110" s="404"/>
      <c r="I110" s="334">
        <f>I107+I108+I109</f>
        <v>18829539.115570154</v>
      </c>
      <c r="J110" s="326"/>
      <c r="K110" s="353"/>
      <c r="L110" s="1553"/>
      <c r="M110" s="1539">
        <f>+M107+M108+M109</f>
        <v>20129244.607409753</v>
      </c>
      <c r="N110" s="1539"/>
      <c r="O110" s="1539"/>
      <c r="P110" s="1539"/>
      <c r="Q110" s="312"/>
    </row>
    <row r="111" spans="1:17" ht="13.5" thickBot="1">
      <c r="A111" s="389"/>
      <c r="B111" s="347"/>
      <c r="C111" s="336"/>
      <c r="D111" s="392"/>
      <c r="E111" s="336"/>
      <c r="F111" s="336"/>
      <c r="G111" s="336"/>
      <c r="H111" s="336"/>
      <c r="I111" s="392"/>
      <c r="J111" s="336"/>
      <c r="K111" s="353"/>
      <c r="L111" s="1543"/>
      <c r="M111" s="1539"/>
      <c r="N111" s="1539"/>
      <c r="O111" s="1539"/>
      <c r="P111" s="1539"/>
      <c r="Q111" s="312"/>
    </row>
    <row r="112" spans="1:17" ht="13.5" thickBot="1">
      <c r="A112" s="389">
        <f>+A110+1</f>
        <v>30</v>
      </c>
      <c r="B112" s="335" t="s">
        <v>818</v>
      </c>
      <c r="C112" s="336" t="str">
        <f>+"(Line "&amp;A90&amp;" + Line "&amp;A92&amp;" + Line "&amp;A102&amp;" + Line "&amp;A104&amp;" + Line "&amp;A110&amp;")"</f>
        <v>(Line 18 + Line 18a + Line 24 + Line 25 + Line 29)</v>
      </c>
      <c r="D112" s="405">
        <f>+D110+D104+D102+D90+D92</f>
        <v>4869885295.3642588</v>
      </c>
      <c r="E112" s="341"/>
      <c r="F112" s="341"/>
      <c r="G112" s="406"/>
      <c r="H112" s="341"/>
      <c r="I112" s="405">
        <f>+I110+I104+I102+I90+I92</f>
        <v>1034426320.3721523</v>
      </c>
      <c r="J112" s="336"/>
      <c r="K112" s="353"/>
      <c r="L112" s="1544"/>
      <c r="M112" s="1554">
        <f>+M90+M92+M102+M104+M110</f>
        <v>1105827407.8464279</v>
      </c>
      <c r="N112" s="1539">
        <f>IF($L$10=0,'Appendix A'!H120,'Appendix A'!G120)</f>
        <v>1105827407.8464279</v>
      </c>
      <c r="O112" s="1541"/>
      <c r="P112" s="1539"/>
      <c r="Q112" s="312"/>
    </row>
    <row r="113" spans="1:18" ht="13.5" thickTop="1">
      <c r="A113" s="389"/>
      <c r="B113" s="335"/>
      <c r="C113" s="336"/>
      <c r="D113" s="407"/>
      <c r="E113" s="341"/>
      <c r="F113" s="341"/>
      <c r="G113" s="406"/>
      <c r="H113" s="341"/>
      <c r="I113" s="407"/>
      <c r="J113" s="336"/>
      <c r="K113" s="402"/>
      <c r="L113" s="1539"/>
      <c r="M113" s="1539"/>
      <c r="N113" s="1539"/>
      <c r="O113" s="1540"/>
      <c r="P113" s="1540"/>
      <c r="Q113" s="312"/>
    </row>
    <row r="114" spans="1:18">
      <c r="A114" s="389"/>
      <c r="B114" s="335"/>
      <c r="C114" s="336"/>
      <c r="D114" s="407"/>
      <c r="E114" s="341"/>
      <c r="F114" s="341"/>
      <c r="G114" s="406"/>
      <c r="H114" s="341"/>
      <c r="I114" s="407"/>
      <c r="J114" s="336"/>
      <c r="K114" s="382" t="str">
        <f>+K1</f>
        <v>Attachment O-EAI</v>
      </c>
      <c r="L114" s="1539"/>
      <c r="M114" s="1539"/>
      <c r="N114" s="1539"/>
      <c r="O114" s="1540"/>
      <c r="P114" s="1540"/>
      <c r="Q114" s="312"/>
    </row>
    <row r="115" spans="1:18">
      <c r="A115" s="389"/>
      <c r="B115" s="335"/>
      <c r="C115" s="336"/>
      <c r="D115" s="336"/>
      <c r="E115" s="336"/>
      <c r="F115" s="336"/>
      <c r="G115" s="336"/>
      <c r="H115" s="336"/>
      <c r="I115" s="336"/>
      <c r="J115" s="336"/>
      <c r="K115" s="408" t="s">
        <v>819</v>
      </c>
      <c r="L115" s="1539"/>
      <c r="M115" s="1539"/>
      <c r="N115" s="1539"/>
      <c r="O115" s="1540"/>
      <c r="P115" s="1540"/>
      <c r="Q115" s="312"/>
    </row>
    <row r="116" spans="1:18">
      <c r="A116" s="389"/>
      <c r="B116" s="335"/>
      <c r="C116" s="411" t="str">
        <f>+C$3</f>
        <v>MISO Cover</v>
      </c>
      <c r="D116" s="336"/>
      <c r="E116" s="336"/>
      <c r="F116" s="336"/>
      <c r="G116" s="336"/>
      <c r="H116" s="336"/>
      <c r="I116" s="336"/>
      <c r="J116" s="336"/>
      <c r="K116" s="408"/>
      <c r="L116" s="1539"/>
      <c r="M116" s="1539"/>
      <c r="N116" s="1539"/>
      <c r="O116" s="1540"/>
      <c r="P116" s="1540"/>
      <c r="Q116" s="312"/>
    </row>
    <row r="117" spans="1:18">
      <c r="A117" s="389"/>
      <c r="B117" s="335" t="s">
        <v>765</v>
      </c>
      <c r="C117" s="409" t="s">
        <v>766</v>
      </c>
      <c r="D117" s="353"/>
      <c r="E117" s="336"/>
      <c r="F117" s="336"/>
      <c r="G117" s="336"/>
      <c r="H117" s="336"/>
      <c r="I117" s="410"/>
      <c r="J117" s="336"/>
      <c r="K117" s="408" t="str">
        <f>K4</f>
        <v>For  the 12 Months Ended 12/31/2014</v>
      </c>
      <c r="L117" s="1539"/>
      <c r="M117" s="1539"/>
      <c r="N117" s="1539"/>
      <c r="O117" s="1540"/>
      <c r="P117" s="1539"/>
    </row>
    <row r="118" spans="1:18">
      <c r="A118" s="389"/>
      <c r="B118" s="335"/>
      <c r="C118" s="409" t="s">
        <v>767</v>
      </c>
      <c r="D118" s="353"/>
      <c r="E118" s="336"/>
      <c r="F118" s="336"/>
      <c r="G118" s="336"/>
      <c r="H118" s="336"/>
      <c r="I118" s="336"/>
      <c r="J118" s="336"/>
      <c r="K118" s="336"/>
      <c r="L118" s="1539"/>
      <c r="M118" s="1539"/>
      <c r="N118" s="1539"/>
      <c r="O118" s="1540"/>
      <c r="P118" s="1539"/>
    </row>
    <row r="119" spans="1:18">
      <c r="A119" s="389"/>
      <c r="B119" s="347"/>
      <c r="C119" s="409" t="str">
        <f>+C59</f>
        <v>Entergy Arkansas, Inc.</v>
      </c>
      <c r="D119" s="353"/>
      <c r="E119" s="336"/>
      <c r="F119" s="336"/>
      <c r="G119" s="336"/>
      <c r="H119" s="336"/>
      <c r="I119" s="336"/>
      <c r="J119" s="336"/>
      <c r="K119" s="336"/>
      <c r="L119" s="1539"/>
      <c r="M119" s="1539"/>
      <c r="N119" s="1539"/>
      <c r="O119" s="1540"/>
      <c r="P119" s="1539"/>
    </row>
    <row r="120" spans="1:18">
      <c r="A120" s="1073"/>
      <c r="B120" s="1073"/>
      <c r="C120" s="409" t="str">
        <f>+C60</f>
        <v>Projected Rate</v>
      </c>
      <c r="D120" s="1073"/>
      <c r="E120" s="1073"/>
      <c r="F120" s="1073"/>
      <c r="G120" s="1073"/>
      <c r="H120" s="1073"/>
      <c r="I120" s="1073"/>
      <c r="J120" s="1073"/>
      <c r="K120" s="1073"/>
      <c r="L120" s="1539"/>
      <c r="M120" s="1539"/>
      <c r="N120" s="1539"/>
      <c r="O120" s="1540"/>
      <c r="P120" s="1539"/>
    </row>
    <row r="121" spans="1:18">
      <c r="A121" s="389"/>
      <c r="B121" s="411" t="s">
        <v>367</v>
      </c>
      <c r="C121" s="411" t="s">
        <v>769</v>
      </c>
      <c r="D121" s="411" t="s">
        <v>770</v>
      </c>
      <c r="E121" s="336" t="s">
        <v>259</v>
      </c>
      <c r="F121" s="336"/>
      <c r="G121" s="412" t="s">
        <v>771</v>
      </c>
      <c r="H121" s="336"/>
      <c r="I121" s="412" t="s">
        <v>772</v>
      </c>
      <c r="J121" s="336"/>
      <c r="K121" s="336"/>
      <c r="L121" s="1539"/>
      <c r="M121" s="1539"/>
      <c r="N121" s="1539"/>
      <c r="O121" s="1540"/>
      <c r="P121" s="1539"/>
    </row>
    <row r="122" spans="1:18">
      <c r="A122" s="389" t="s">
        <v>773</v>
      </c>
      <c r="B122" s="335"/>
      <c r="C122" s="413"/>
      <c r="D122" s="336"/>
      <c r="E122" s="336"/>
      <c r="F122" s="336"/>
      <c r="G122" s="389"/>
      <c r="H122" s="336"/>
      <c r="I122" s="414"/>
      <c r="J122" s="336"/>
      <c r="K122" s="414"/>
      <c r="L122" s="1539"/>
      <c r="M122" s="1539"/>
      <c r="N122" s="1539"/>
      <c r="O122" s="1540"/>
      <c r="P122" s="1539"/>
    </row>
    <row r="123" spans="1:18" ht="13.5" thickBot="1">
      <c r="A123" s="337" t="s">
        <v>775</v>
      </c>
      <c r="B123" s="335"/>
      <c r="C123" s="415" t="s">
        <v>353</v>
      </c>
      <c r="D123" s="414" t="s">
        <v>1521</v>
      </c>
      <c r="E123" s="416"/>
      <c r="F123" s="414" t="s">
        <v>802</v>
      </c>
      <c r="G123" s="347"/>
      <c r="H123" s="416"/>
      <c r="I123" s="389" t="s">
        <v>803</v>
      </c>
      <c r="J123" s="336"/>
      <c r="K123" s="353"/>
      <c r="L123" s="1555"/>
      <c r="M123" s="1539"/>
      <c r="N123" s="1539"/>
      <c r="O123" s="1539"/>
      <c r="P123" s="1539"/>
    </row>
    <row r="124" spans="1:18">
      <c r="A124" s="389"/>
      <c r="B124" s="335" t="s">
        <v>321</v>
      </c>
      <c r="C124" s="336"/>
      <c r="D124" s="336"/>
      <c r="E124" s="336"/>
      <c r="F124" s="336"/>
      <c r="G124" s="336"/>
      <c r="H124" s="336"/>
      <c r="I124" s="336"/>
      <c r="J124" s="336"/>
      <c r="K124" s="353"/>
      <c r="L124" s="1543"/>
      <c r="M124" s="1539"/>
      <c r="N124" s="1539"/>
      <c r="O124" s="1539"/>
      <c r="P124" s="1539"/>
      <c r="Q124" s="391"/>
      <c r="R124" s="417"/>
    </row>
    <row r="125" spans="1:18">
      <c r="A125" s="389">
        <v>1</v>
      </c>
      <c r="B125" s="335" t="s">
        <v>820</v>
      </c>
      <c r="C125" s="336" t="str">
        <f>+"Appendix A Line "&amp;+'Appendix A'!A125&amp;" "&amp;$L$6&amp;" Column"</f>
        <v>Appendix A Line 75 Projected Column</v>
      </c>
      <c r="D125" s="334">
        <f>IF($L$10=0,'Appendix A'!H125,'Appendix A'!G125)</f>
        <v>43308957</v>
      </c>
      <c r="E125" s="336"/>
      <c r="F125" s="336" t="s">
        <v>806</v>
      </c>
      <c r="G125" s="340">
        <f>+TP</f>
        <v>0.93543197883535256</v>
      </c>
      <c r="H125" s="341"/>
      <c r="I125" s="334">
        <f t="shared" ref="I125:I132" si="4">+G125*D125</f>
        <v>40512583.347805195</v>
      </c>
      <c r="J125" s="418"/>
      <c r="K125" s="353"/>
      <c r="L125" s="1543"/>
      <c r="M125" s="1539">
        <f>+D125</f>
        <v>43308957</v>
      </c>
      <c r="N125" s="1539"/>
      <c r="O125" s="1539"/>
      <c r="P125" s="1539"/>
      <c r="Q125" s="391"/>
      <c r="R125" s="417"/>
    </row>
    <row r="126" spans="1:18">
      <c r="A126" s="419" t="s">
        <v>1125</v>
      </c>
      <c r="B126" s="804" t="s">
        <v>1076</v>
      </c>
      <c r="C126" s="450" t="str">
        <f>+"Appendix A Lines "&amp;+'Appendix A'!A126&amp;" - Line "&amp;'Appendix A'!A128&amp;" - Line "&amp;'Appendix A'!A129&amp;" "&amp;$L$6&amp;" Column"</f>
        <v>Appendix A Lines 76 - Line 78 - Line 79 Projected Column</v>
      </c>
      <c r="D126" s="1581">
        <f>IF($L$10=0,'Appendix A'!H126-'Appendix A'!H128-'Appendix A'!H129,'Appendix A'!G126-'Appendix A'!G128-'Appendix A'!G129)</f>
        <v>11081148.35</v>
      </c>
      <c r="E126" s="356"/>
      <c r="F126" s="356" t="str">
        <f>+F125</f>
        <v>TP</v>
      </c>
      <c r="G126" s="340">
        <f>+TP</f>
        <v>0.93543197883535256</v>
      </c>
      <c r="H126" s="356"/>
      <c r="I126" s="334">
        <f>+G126*D126</f>
        <v>10365660.528808601</v>
      </c>
      <c r="J126" s="420"/>
      <c r="K126" s="353"/>
      <c r="L126" s="1543"/>
      <c r="M126" s="1539">
        <f>+D126</f>
        <v>11081148.35</v>
      </c>
      <c r="N126" s="1539"/>
      <c r="O126" s="1539"/>
      <c r="P126" s="1539"/>
      <c r="Q126" s="391"/>
      <c r="R126" s="417"/>
    </row>
    <row r="127" spans="1:18">
      <c r="A127" s="419">
        <f>+A125+1</f>
        <v>2</v>
      </c>
      <c r="B127" s="801" t="s">
        <v>1077</v>
      </c>
      <c r="C127" s="336" t="str">
        <f>+"Appendix A Line "&amp;+'Appendix A'!A127&amp;" "&amp;$L$6&amp;" Column"</f>
        <v>Appendix A Line 77 Projected Column</v>
      </c>
      <c r="D127" s="334">
        <f>IF($L$10=0,'Appendix A'!H127,'Appendix A'!G127)</f>
        <v>7147114</v>
      </c>
      <c r="E127" s="336"/>
      <c r="F127" s="336" t="str">
        <f>+F126</f>
        <v>TP</v>
      </c>
      <c r="G127" s="340">
        <f>+TP</f>
        <v>0.93543197883535256</v>
      </c>
      <c r="H127" s="341"/>
      <c r="I127" s="334">
        <f t="shared" si="4"/>
        <v>6685638.9919818519</v>
      </c>
      <c r="J127" s="420"/>
      <c r="K127" s="353"/>
      <c r="L127" s="1543"/>
      <c r="M127" s="1539">
        <f>+D127</f>
        <v>7147114</v>
      </c>
      <c r="N127" s="1539">
        <f>+M125-M126-M127</f>
        <v>25080694.649999999</v>
      </c>
      <c r="O127" s="1539">
        <f>+M125-M126-M127-N127</f>
        <v>0</v>
      </c>
      <c r="P127" s="1539"/>
      <c r="Q127" s="391"/>
      <c r="R127" s="417"/>
    </row>
    <row r="128" spans="1:18">
      <c r="A128" s="419">
        <f t="shared" ref="A128:A137" si="5">+A127+1</f>
        <v>3</v>
      </c>
      <c r="B128" s="335" t="s">
        <v>821</v>
      </c>
      <c r="C128" s="336" t="str">
        <f>+"Appendix A Line "&amp;+'Appendix A'!A133&amp;" "&amp;$L$6&amp;" Column"</f>
        <v>Appendix A Line 81 Projected Column</v>
      </c>
      <c r="D128" s="334">
        <f>IF($L$10=0,+'Appendix A'!H133,'Appendix A'!G133)</f>
        <v>181181998</v>
      </c>
      <c r="E128" s="336"/>
      <c r="F128" s="336" t="s">
        <v>807</v>
      </c>
      <c r="G128" s="340">
        <f>+WS</f>
        <v>7.0882284813534244E-2</v>
      </c>
      <c r="H128" s="341"/>
      <c r="I128" s="334">
        <f t="shared" si="4"/>
        <v>12842593.985321192</v>
      </c>
      <c r="J128" s="418"/>
      <c r="K128" s="421"/>
      <c r="L128" s="1545">
        <f>+L79</f>
        <v>7.5774921552056965E-2</v>
      </c>
      <c r="M128" s="1539">
        <f>+L128*D128</f>
        <v>13729051.685094941</v>
      </c>
      <c r="N128" s="1539"/>
      <c r="O128" s="1539"/>
      <c r="P128" s="1539"/>
      <c r="Q128" s="391"/>
      <c r="R128" s="417"/>
    </row>
    <row r="129" spans="1:18">
      <c r="A129" s="419">
        <f t="shared" si="5"/>
        <v>4</v>
      </c>
      <c r="B129" s="801" t="s">
        <v>1075</v>
      </c>
      <c r="C129" s="336" t="str">
        <f>+"Appendix A Line "&amp;+'Appendix A'!A154&amp;" "&amp;$L$6&amp;" Column"</f>
        <v>Appendix A Line 100 Projected Column</v>
      </c>
      <c r="D129" s="334">
        <f>IF($L$10=0,'Appendix A'!H154,'Appendix A'!G154)</f>
        <v>1550257.2875932921</v>
      </c>
      <c r="E129" s="336"/>
      <c r="F129" s="336" t="str">
        <f>+F127</f>
        <v>TP</v>
      </c>
      <c r="G129" s="340">
        <f>+TP</f>
        <v>0.93543197883535256</v>
      </c>
      <c r="H129" s="341"/>
      <c r="I129" s="334">
        <f>+D129*G129</f>
        <v>1450160.2422373195</v>
      </c>
      <c r="J129" s="418"/>
      <c r="K129" s="334"/>
      <c r="L129" s="1556"/>
      <c r="M129" s="1539">
        <f>+D129</f>
        <v>1550257.2875932921</v>
      </c>
      <c r="N129" s="1539"/>
      <c r="O129" s="1539"/>
      <c r="P129" s="1539"/>
      <c r="Q129" s="391"/>
      <c r="R129" s="417"/>
    </row>
    <row r="130" spans="1:18" s="799" customFormat="1" ht="25.9" customHeight="1">
      <c r="A130" s="947">
        <f t="shared" si="5"/>
        <v>5</v>
      </c>
      <c r="B130" s="1143" t="s">
        <v>1302</v>
      </c>
      <c r="C130" s="1142" t="str">
        <f>+"Appendix A Sum of Lines "&amp;+'Appendix A'!A135&amp;" to Line "&amp;'Appendix A'!A139&amp;" - Line "&amp;'Appendix A'!A140&amp;" "&amp;$L$6&amp;" Column"</f>
        <v>Appendix A Sum of Lines 83 to Line 87 - Line 88 Projected Column</v>
      </c>
      <c r="D130" s="792">
        <f>IF($L$10=0,SUM('Appendix A'!H135:H139)-'Appendix A'!H140,SUM('Appendix A'!G135:G139)-'Appendix A'!G140)</f>
        <v>39976631.659999996</v>
      </c>
      <c r="E130" s="822"/>
      <c r="F130" s="822" t="s">
        <v>807</v>
      </c>
      <c r="G130" s="823">
        <f>+WS</f>
        <v>7.0882284813534244E-2</v>
      </c>
      <c r="H130" s="824"/>
      <c r="I130" s="792">
        <f t="shared" si="4"/>
        <v>2833634.9912098702</v>
      </c>
      <c r="J130" s="1144"/>
      <c r="K130" s="797"/>
      <c r="L130" s="1557">
        <f>+L128</f>
        <v>7.5774921552056965E-2</v>
      </c>
      <c r="M130" s="1558">
        <f>+L130*D130</f>
        <v>3029226.1279519764</v>
      </c>
      <c r="N130" s="1558"/>
      <c r="O130" s="1558"/>
      <c r="P130" s="1558"/>
      <c r="Q130" s="826"/>
      <c r="R130" s="827"/>
    </row>
    <row r="131" spans="1:18" s="799" customFormat="1">
      <c r="A131" s="947" t="s">
        <v>1126</v>
      </c>
      <c r="B131" s="828" t="s">
        <v>1134</v>
      </c>
      <c r="C131" s="822" t="str">
        <f>+"Appendix A Lines "&amp;+'Appendix A'!A146&amp;" to "&amp;'Appendix A'!A147&amp;" "&amp;$L$6&amp;" Column"</f>
        <v>Appendix A Lines 92 to 93 Projected Column</v>
      </c>
      <c r="D131" s="792">
        <f>IF($L$10=0,SUM('Appendix A'!H146:H147),SUM('Appendix A'!G146:G147))</f>
        <v>1012506</v>
      </c>
      <c r="E131" s="822"/>
      <c r="F131" s="822" t="str">
        <f>+F127</f>
        <v>TP</v>
      </c>
      <c r="G131" s="823">
        <f>+TP</f>
        <v>0.93543197883535256</v>
      </c>
      <c r="H131" s="824"/>
      <c r="I131" s="792">
        <f>+D131*G131</f>
        <v>947130.49116266752</v>
      </c>
      <c r="J131" s="825"/>
      <c r="K131" s="797"/>
      <c r="L131" s="1559"/>
      <c r="M131" s="1558">
        <f>+D131</f>
        <v>1012506</v>
      </c>
      <c r="N131" s="1558"/>
      <c r="O131" s="1558"/>
      <c r="P131" s="1558"/>
      <c r="Q131" s="826"/>
      <c r="R131" s="827"/>
    </row>
    <row r="132" spans="1:18" s="426" customFormat="1">
      <c r="A132" s="419" t="s">
        <v>1127</v>
      </c>
      <c r="B132" s="801" t="s">
        <v>1265</v>
      </c>
      <c r="C132" s="336" t="str">
        <f>+"Appendix A Line "&amp;+'Appendix A'!A134&amp;" "&amp;$L$6&amp;" Column"</f>
        <v>Appendix A Line 82 Projected Column</v>
      </c>
      <c r="D132" s="334">
        <f>IF($L$10=0,'Appendix A'!H134,'Appendix A'!G134)</f>
        <v>0</v>
      </c>
      <c r="E132" s="336"/>
      <c r="F132" s="336" t="str">
        <f>+F130</f>
        <v>W/S</v>
      </c>
      <c r="G132" s="340">
        <f>+WS</f>
        <v>7.0882284813534244E-2</v>
      </c>
      <c r="H132" s="422"/>
      <c r="I132" s="334">
        <f t="shared" si="4"/>
        <v>0</v>
      </c>
      <c r="J132" s="423"/>
      <c r="K132" s="424"/>
      <c r="L132" s="1545">
        <f>+L130</f>
        <v>7.5774921552056965E-2</v>
      </c>
      <c r="M132" s="1539">
        <f>+L132*D132</f>
        <v>0</v>
      </c>
      <c r="N132" s="1560"/>
      <c r="O132" s="1560"/>
      <c r="P132" s="1539"/>
      <c r="Q132" s="391"/>
      <c r="R132" s="417"/>
    </row>
    <row r="133" spans="1:18">
      <c r="A133" s="419">
        <f>+A130+1</f>
        <v>6</v>
      </c>
      <c r="B133" s="801" t="s">
        <v>1358</v>
      </c>
      <c r="C133" s="336"/>
      <c r="D133" s="336"/>
      <c r="E133" s="336"/>
      <c r="F133" s="336"/>
      <c r="G133" s="342"/>
      <c r="H133" s="341"/>
      <c r="I133" s="334"/>
      <c r="J133" s="322"/>
      <c r="L133" s="1543"/>
      <c r="M133" s="1539">
        <f>+D133</f>
        <v>0</v>
      </c>
      <c r="N133" s="1539"/>
      <c r="O133" s="1539"/>
      <c r="P133" s="1540"/>
      <c r="Q133" s="312"/>
    </row>
    <row r="134" spans="1:18">
      <c r="A134" s="419" t="s">
        <v>1222</v>
      </c>
      <c r="B134" s="1280" t="s">
        <v>1250</v>
      </c>
      <c r="C134" s="336" t="str">
        <f>+"Appendix A Line "&amp;'Appendix A'!A189&amp;" "&amp;$L$6&amp;" Column"</f>
        <v>Appendix A Line 125 Projected Column</v>
      </c>
      <c r="D134" s="334">
        <f>IF($L$10=0,'Appendix A'!H189,'Appendix A'!G189)</f>
        <v>-3121.16</v>
      </c>
      <c r="E134" s="334"/>
      <c r="F134" s="334" t="s">
        <v>806</v>
      </c>
      <c r="G134" s="340">
        <f>+TP</f>
        <v>0.93543197883535256</v>
      </c>
      <c r="H134" s="334"/>
      <c r="I134" s="334">
        <f>+D134*G134</f>
        <v>-2919.632875061749</v>
      </c>
      <c r="J134" s="322"/>
      <c r="L134" s="1543"/>
      <c r="M134" s="1539">
        <f>+D134</f>
        <v>-3121.16</v>
      </c>
      <c r="N134" s="1539"/>
      <c r="O134" s="1539"/>
      <c r="P134" s="1540"/>
      <c r="Q134" s="312"/>
    </row>
    <row r="135" spans="1:18">
      <c r="A135" s="419" t="s">
        <v>1223</v>
      </c>
      <c r="B135" s="1280" t="s">
        <v>1251</v>
      </c>
      <c r="C135" s="336" t="str">
        <f>+"Appendix A Line "&amp;'Appendix A'!A192&amp;" "&amp;$L$6&amp;" Column"</f>
        <v>Appendix A Line 128 Projected Column</v>
      </c>
      <c r="D135" s="397">
        <f>IF($L$10=0,'Appendix A'!H192,'Appendix A'!G192)</f>
        <v>0</v>
      </c>
      <c r="E135" s="397"/>
      <c r="F135" s="397" t="s">
        <v>806</v>
      </c>
      <c r="G135" s="1039">
        <f>+TP</f>
        <v>0.93543197883535256</v>
      </c>
      <c r="H135" s="397"/>
      <c r="I135" s="397">
        <f>+D135*G135</f>
        <v>0</v>
      </c>
      <c r="J135" s="322"/>
      <c r="L135" s="1543"/>
      <c r="M135" s="1539"/>
      <c r="N135" s="1539"/>
      <c r="O135" s="1539"/>
      <c r="P135" s="1540"/>
      <c r="Q135" s="312"/>
    </row>
    <row r="136" spans="1:18" ht="13.5" thickBot="1">
      <c r="A136" s="419">
        <f>+A133+1</f>
        <v>7</v>
      </c>
      <c r="B136" s="801" t="s">
        <v>1358</v>
      </c>
      <c r="C136" s="336"/>
      <c r="D136" s="392"/>
      <c r="E136" s="1281"/>
      <c r="F136" s="1281"/>
      <c r="G136" s="1039"/>
      <c r="H136" s="407"/>
      <c r="I136" s="392"/>
      <c r="J136" s="322"/>
      <c r="L136" s="1543"/>
      <c r="M136" s="1539">
        <f>+D136</f>
        <v>0</v>
      </c>
      <c r="N136" s="1539"/>
      <c r="O136" s="1539"/>
      <c r="P136" s="1540"/>
      <c r="Q136" s="312"/>
    </row>
    <row r="137" spans="1:18">
      <c r="A137" s="419">
        <f t="shared" si="5"/>
        <v>8</v>
      </c>
      <c r="B137" s="1074" t="s">
        <v>822</v>
      </c>
      <c r="C137" s="1686"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34">
        <f>+D125 - D126 - D127 + D128 + D129 - D130 + D131 - D132 + D133 + D134 + D135 + D136</f>
        <v>168845703.11759332</v>
      </c>
      <c r="E137" s="334"/>
      <c r="F137" s="334"/>
      <c r="G137" s="334"/>
      <c r="H137" s="334"/>
      <c r="I137" s="334">
        <f>+I125 - I126 - I127 + I128 + I129 - I130 + I131 - I132 + I133 + I134 + I135 + I136</f>
        <v>35864613.921650983</v>
      </c>
      <c r="J137" s="322"/>
      <c r="K137" s="313"/>
      <c r="L137" s="1546">
        <f>+I137/M137</f>
        <v>0.93543197883535245</v>
      </c>
      <c r="M137" s="1539">
        <f>+M125-M126-M127+M128+M129-M130+M131-M132+M133+M134+M136</f>
        <v>38340162.334736258</v>
      </c>
      <c r="N137" s="1539">
        <f>IF($L$10=0,'Appendix A'!H156,'Appendix A'!G156)</f>
        <v>38343283.494736254</v>
      </c>
      <c r="O137" s="1539">
        <f>+M137-N137</f>
        <v>-3121.1599999964237</v>
      </c>
      <c r="P137" s="1561" t="s">
        <v>1254</v>
      </c>
      <c r="Q137" s="312"/>
    </row>
    <row r="138" spans="1:18">
      <c r="A138" s="419"/>
      <c r="B138" s="347"/>
      <c r="C138" s="1686"/>
      <c r="D138" s="334"/>
      <c r="E138" s="334"/>
      <c r="F138" s="334"/>
      <c r="G138" s="334"/>
      <c r="H138" s="334"/>
      <c r="I138" s="334"/>
      <c r="J138" s="322"/>
      <c r="L138" s="1543"/>
      <c r="M138" s="1540"/>
      <c r="N138" s="1539"/>
      <c r="O138" s="1539"/>
      <c r="P138" s="1540"/>
      <c r="Q138" s="312"/>
    </row>
    <row r="139" spans="1:18">
      <c r="A139" s="419"/>
      <c r="B139" s="335" t="s">
        <v>823</v>
      </c>
      <c r="C139" s="336"/>
      <c r="D139" s="334"/>
      <c r="E139" s="334"/>
      <c r="F139" s="334"/>
      <c r="G139" s="334"/>
      <c r="H139" s="334"/>
      <c r="I139" s="334"/>
      <c r="J139" s="336"/>
      <c r="K139" s="353"/>
      <c r="L139" s="1543"/>
      <c r="M139" s="1539"/>
      <c r="N139" s="1539"/>
      <c r="O139" s="1539"/>
      <c r="P139" s="1540"/>
      <c r="Q139" s="312"/>
    </row>
    <row r="140" spans="1:18">
      <c r="A140" s="419">
        <f>+A137+1</f>
        <v>9</v>
      </c>
      <c r="B140" s="801" t="s">
        <v>1073</v>
      </c>
      <c r="C140" s="336" t="str">
        <f>+"Appendix A Line "&amp;'Appendix A'!A161&amp;" "&amp;$L$6&amp;" Column"</f>
        <v>Appendix A Line 103 Projected Column</v>
      </c>
      <c r="D140" s="334">
        <f>IF($L$10=0,'Appendix A'!H161,'Appendix A'!G161)</f>
        <v>28887117</v>
      </c>
      <c r="E140" s="334"/>
      <c r="F140" s="334" t="s">
        <v>806</v>
      </c>
      <c r="G140" s="340">
        <f>+TP</f>
        <v>0.93543197883535256</v>
      </c>
      <c r="H140" s="334"/>
      <c r="I140" s="334">
        <f>+G140*D140</f>
        <v>27021933.018158354</v>
      </c>
      <c r="J140" s="336"/>
      <c r="K140" s="353"/>
      <c r="L140" s="1544"/>
      <c r="M140" s="1539">
        <f>+D140</f>
        <v>28887117</v>
      </c>
      <c r="N140" s="1539"/>
      <c r="O140" s="1539"/>
      <c r="P140" s="1540"/>
      <c r="Q140" s="312"/>
    </row>
    <row r="141" spans="1:18">
      <c r="A141" s="419">
        <f t="shared" ref="A141:A153" si="6">+A140+1</f>
        <v>10</v>
      </c>
      <c r="B141" s="803" t="s">
        <v>1074</v>
      </c>
      <c r="C141" s="336" t="str">
        <f>+"Appendix A Line "&amp;+'Appendix A'!A168&amp;" "&amp;$L$6&amp;" Column"</f>
        <v>Appendix A Line 110 Projected Column</v>
      </c>
      <c r="D141" s="334">
        <f>IF($L$10=0,'Appendix A'!H168,'Appendix A'!G168)</f>
        <v>2708167.135944834</v>
      </c>
      <c r="E141" s="334"/>
      <c r="F141" s="334" t="str">
        <f>+F140</f>
        <v>TP</v>
      </c>
      <c r="G141" s="340">
        <f>+TP</f>
        <v>0.93543197883535256</v>
      </c>
      <c r="H141" s="334"/>
      <c r="I141" s="334">
        <f>+G141*D141</f>
        <v>2533306.1429937454</v>
      </c>
      <c r="J141" s="336"/>
      <c r="K141" s="353"/>
      <c r="L141" s="1544"/>
      <c r="M141" s="1539">
        <f>+D141</f>
        <v>2708167.135944834</v>
      </c>
      <c r="N141" s="1539"/>
      <c r="O141" s="1539"/>
      <c r="P141" s="1540"/>
      <c r="Q141" s="312"/>
    </row>
    <row r="142" spans="1:18" ht="13.5" thickBot="1">
      <c r="A142" s="419">
        <f t="shared" si="6"/>
        <v>11</v>
      </c>
      <c r="B142" s="801" t="s">
        <v>1358</v>
      </c>
      <c r="C142" s="336"/>
      <c r="D142" s="392"/>
      <c r="E142" s="397"/>
      <c r="F142" s="334"/>
      <c r="G142" s="340"/>
      <c r="H142" s="397"/>
      <c r="I142" s="392"/>
      <c r="J142" s="336"/>
      <c r="K142" s="353"/>
      <c r="L142" s="1544"/>
      <c r="M142" s="1539">
        <f>+D142</f>
        <v>0</v>
      </c>
      <c r="N142" s="1539"/>
      <c r="O142" s="1539"/>
      <c r="P142" s="1540"/>
      <c r="Q142" s="312"/>
    </row>
    <row r="143" spans="1:18">
      <c r="A143" s="419">
        <f>+A142+1</f>
        <v>12</v>
      </c>
      <c r="B143" s="335" t="s">
        <v>824</v>
      </c>
      <c r="C143" s="336" t="str">
        <f>+"(Sum of Lines "&amp;A140&amp;" to Line "&amp;A142&amp;")"</f>
        <v>(Sum of Lines 9 to Line 11)</v>
      </c>
      <c r="D143" s="334">
        <f>SUM(D140:D142)</f>
        <v>31595284.135944836</v>
      </c>
      <c r="E143" s="334"/>
      <c r="F143" s="334"/>
      <c r="G143" s="340"/>
      <c r="H143" s="334"/>
      <c r="I143" s="334">
        <f>SUM(I140:I142)</f>
        <v>29555239.161152098</v>
      </c>
      <c r="J143" s="336"/>
      <c r="K143" s="353"/>
      <c r="L143" s="1546">
        <f>+I143/M143</f>
        <v>0.93543197883535245</v>
      </c>
      <c r="M143" s="1539">
        <f>SUM(M140:M142)</f>
        <v>31595284.135944836</v>
      </c>
      <c r="N143" s="1539">
        <f>IF($L$10=0,'Appendix A'!H170,'Appendix A'!G170)</f>
        <v>31595284.135944836</v>
      </c>
      <c r="O143" s="1539">
        <f>+M143-N143</f>
        <v>0</v>
      </c>
      <c r="P143" s="1540"/>
      <c r="Q143" s="312"/>
    </row>
    <row r="144" spans="1:18">
      <c r="A144" s="419"/>
      <c r="B144" s="335"/>
      <c r="C144" s="336"/>
      <c r="D144" s="334"/>
      <c r="E144" s="334"/>
      <c r="F144" s="334"/>
      <c r="G144" s="340"/>
      <c r="H144" s="334"/>
      <c r="I144" s="334"/>
      <c r="J144" s="336"/>
      <c r="K144" s="353"/>
      <c r="L144" s="1543"/>
      <c r="M144" s="1539"/>
      <c r="N144" s="1539"/>
      <c r="O144" s="1539"/>
      <c r="P144" s="1540"/>
      <c r="Q144" s="312"/>
    </row>
    <row r="145" spans="1:17">
      <c r="A145" s="419"/>
      <c r="B145" s="335" t="s">
        <v>825</v>
      </c>
      <c r="C145" s="347"/>
      <c r="D145" s="334"/>
      <c r="E145" s="334"/>
      <c r="F145" s="334"/>
      <c r="G145" s="340"/>
      <c r="H145" s="334"/>
      <c r="I145" s="334"/>
      <c r="J145" s="336"/>
      <c r="K145" s="353"/>
      <c r="L145" s="1543"/>
      <c r="M145" s="1539"/>
      <c r="N145" s="1539"/>
      <c r="O145" s="1539"/>
      <c r="P145" s="1540"/>
      <c r="Q145" s="312"/>
    </row>
    <row r="146" spans="1:17">
      <c r="A146" s="419">
        <f>+A143+1</f>
        <v>13</v>
      </c>
      <c r="B146" s="801" t="s">
        <v>826</v>
      </c>
      <c r="C146" s="336" t="str">
        <f>+"Appendix A Line "&amp;+'Appendix A'!A185&amp;" "&amp;$L$6&amp;" Column"</f>
        <v>Appendix A Line 124 Projected Column</v>
      </c>
      <c r="D146" s="334">
        <f>IF($L$10=0,'Appendix A'!H185,'Appendix A'!G185)</f>
        <v>7824628.5055501396</v>
      </c>
      <c r="E146" s="334"/>
      <c r="F146" s="334" t="s">
        <v>806</v>
      </c>
      <c r="G146" s="393">
        <f>+TP</f>
        <v>0.93543197883535256</v>
      </c>
      <c r="H146" s="334"/>
      <c r="I146" s="334">
        <f>+G146*D146</f>
        <v>7319407.7265982749</v>
      </c>
      <c r="J146" s="336"/>
      <c r="K146" s="353"/>
      <c r="L146" s="1544"/>
      <c r="M146" s="1539">
        <f t="shared" ref="M146:M152" si="7">+D146</f>
        <v>7824628.5055501396</v>
      </c>
      <c r="N146" s="1539"/>
      <c r="O146" s="1539"/>
      <c r="P146" s="1540"/>
      <c r="Q146" s="312"/>
    </row>
    <row r="147" spans="1:17">
      <c r="A147" s="419">
        <f t="shared" si="6"/>
        <v>14</v>
      </c>
      <c r="B147" s="801" t="s">
        <v>1358</v>
      </c>
      <c r="C147" s="336"/>
      <c r="D147" s="334"/>
      <c r="E147" s="334"/>
      <c r="F147" s="341"/>
      <c r="G147" s="403"/>
      <c r="H147" s="334"/>
      <c r="I147" s="1282"/>
      <c r="J147" s="336"/>
      <c r="K147" s="353"/>
      <c r="L147" s="1544"/>
      <c r="M147" s="1539">
        <f t="shared" si="7"/>
        <v>0</v>
      </c>
      <c r="N147" s="1539"/>
      <c r="O147" s="1539"/>
      <c r="P147" s="1540"/>
      <c r="Q147" s="312"/>
    </row>
    <row r="148" spans="1:17">
      <c r="A148" s="419">
        <f t="shared" si="6"/>
        <v>15</v>
      </c>
      <c r="B148" s="447" t="s">
        <v>1128</v>
      </c>
      <c r="C148" s="336"/>
      <c r="D148" s="334"/>
      <c r="E148" s="334"/>
      <c r="F148" s="334"/>
      <c r="G148" s="340"/>
      <c r="H148" s="334"/>
      <c r="I148" s="334"/>
      <c r="J148" s="336"/>
      <c r="K148" s="353"/>
      <c r="L148" s="1544"/>
      <c r="M148" s="1539">
        <f t="shared" si="7"/>
        <v>0</v>
      </c>
      <c r="N148" s="1539"/>
      <c r="O148" s="1539"/>
      <c r="P148" s="1540"/>
      <c r="Q148" s="312"/>
    </row>
    <row r="149" spans="1:17">
      <c r="A149" s="419">
        <f t="shared" si="6"/>
        <v>16</v>
      </c>
      <c r="B149" s="801" t="s">
        <v>1358</v>
      </c>
      <c r="C149" s="336"/>
      <c r="D149" s="334"/>
      <c r="E149" s="334"/>
      <c r="F149" s="341"/>
      <c r="G149" s="403"/>
      <c r="H149" s="334"/>
      <c r="I149" s="334"/>
      <c r="J149" s="336"/>
      <c r="K149" s="353"/>
      <c r="L149" s="1544"/>
      <c r="M149" s="1539">
        <f t="shared" si="7"/>
        <v>0</v>
      </c>
      <c r="N149" s="1539"/>
      <c r="O149" s="1539"/>
      <c r="P149" s="1540"/>
      <c r="Q149" s="312"/>
    </row>
    <row r="150" spans="1:17">
      <c r="A150" s="419">
        <f t="shared" si="6"/>
        <v>17</v>
      </c>
      <c r="B150" s="801" t="s">
        <v>1358</v>
      </c>
      <c r="C150" s="336"/>
      <c r="D150" s="334"/>
      <c r="E150" s="334"/>
      <c r="F150" s="341"/>
      <c r="G150" s="403"/>
      <c r="H150" s="334"/>
      <c r="I150" s="334"/>
      <c r="J150" s="336"/>
      <c r="K150" s="353"/>
      <c r="L150" s="1544"/>
      <c r="M150" s="1539">
        <f>+D150</f>
        <v>0</v>
      </c>
      <c r="N150" s="1539"/>
      <c r="O150" s="1539"/>
      <c r="P150" s="1540"/>
      <c r="Q150" s="312"/>
    </row>
    <row r="151" spans="1:17">
      <c r="A151" s="419">
        <f t="shared" si="6"/>
        <v>18</v>
      </c>
      <c r="B151" s="801" t="s">
        <v>1358</v>
      </c>
      <c r="C151" s="336"/>
      <c r="D151" s="334"/>
      <c r="E151" s="334"/>
      <c r="F151" s="341"/>
      <c r="G151" s="403"/>
      <c r="H151" s="334"/>
      <c r="I151" s="334"/>
      <c r="J151" s="336"/>
      <c r="K151" s="353"/>
      <c r="L151" s="1544"/>
      <c r="M151" s="1539">
        <f>+D151</f>
        <v>0</v>
      </c>
      <c r="N151" s="1539"/>
      <c r="O151" s="1539"/>
      <c r="P151" s="1540"/>
      <c r="Q151" s="312"/>
    </row>
    <row r="152" spans="1:17" ht="13.5" thickBot="1">
      <c r="A152" s="419">
        <f t="shared" si="6"/>
        <v>19</v>
      </c>
      <c r="B152" s="801" t="s">
        <v>1358</v>
      </c>
      <c r="C152" s="336"/>
      <c r="D152" s="392"/>
      <c r="E152" s="334"/>
      <c r="F152" s="341"/>
      <c r="G152" s="403"/>
      <c r="H152" s="334"/>
      <c r="I152" s="392"/>
      <c r="J152" s="336"/>
      <c r="K152" s="353"/>
      <c r="L152" s="1544"/>
      <c r="M152" s="1539">
        <f t="shared" si="7"/>
        <v>0</v>
      </c>
      <c r="N152" s="1539"/>
      <c r="O152" s="1539"/>
      <c r="P152" s="1540"/>
      <c r="Q152" s="312"/>
    </row>
    <row r="153" spans="1:17">
      <c r="A153" s="419">
        <f t="shared" si="6"/>
        <v>20</v>
      </c>
      <c r="B153" s="335" t="s">
        <v>827</v>
      </c>
      <c r="C153" s="336" t="str">
        <f>+"(Sum of Line "&amp;A146&amp;" to Line "&amp;A152&amp;")"</f>
        <v>(Sum of Line 13 to Line 19)</v>
      </c>
      <c r="D153" s="334">
        <f>SUM(D146:D152)</f>
        <v>7824628.5055501396</v>
      </c>
      <c r="E153" s="334"/>
      <c r="F153" s="334"/>
      <c r="G153" s="334"/>
      <c r="H153" s="334"/>
      <c r="I153" s="334">
        <f>SUM(I146:I152)</f>
        <v>7319407.7265982749</v>
      </c>
      <c r="J153" s="336"/>
      <c r="K153" s="353"/>
      <c r="L153" s="1546">
        <f>+I153/M153</f>
        <v>0.93543197883535256</v>
      </c>
      <c r="M153" s="1539">
        <f>SUM(M146:M152)</f>
        <v>7824628.5055501396</v>
      </c>
      <c r="N153" s="1539">
        <f>IF($L$10=0,'Appendix A'!H185,'Appendix A'!G185)</f>
        <v>7824628.5055501396</v>
      </c>
      <c r="O153" s="1539">
        <f>+M153-N153</f>
        <v>0</v>
      </c>
      <c r="P153" s="1540"/>
      <c r="Q153" s="312"/>
    </row>
    <row r="154" spans="1:17">
      <c r="A154" s="419"/>
      <c r="B154" s="335"/>
      <c r="C154" s="336"/>
      <c r="D154" s="334"/>
      <c r="E154" s="334"/>
      <c r="F154" s="334"/>
      <c r="G154" s="334"/>
      <c r="H154" s="334"/>
      <c r="I154" s="334"/>
      <c r="J154" s="336"/>
      <c r="K154" s="353"/>
      <c r="L154" s="1546"/>
      <c r="M154" s="1539"/>
      <c r="N154" s="1539"/>
      <c r="O154" s="1539"/>
      <c r="P154" s="1540"/>
      <c r="Q154" s="312"/>
    </row>
    <row r="155" spans="1:17">
      <c r="A155" s="353"/>
      <c r="B155" s="335" t="s">
        <v>828</v>
      </c>
      <c r="C155" s="336" t="str">
        <f>""</f>
        <v/>
      </c>
      <c r="D155" s="336"/>
      <c r="E155" s="336"/>
      <c r="F155" s="347"/>
      <c r="G155" s="427"/>
      <c r="H155" s="336"/>
      <c r="I155" s="347"/>
      <c r="J155" s="336"/>
      <c r="K155" s="353"/>
      <c r="L155" s="1562"/>
      <c r="M155" s="1539"/>
      <c r="N155" s="1539"/>
      <c r="O155" s="1539"/>
      <c r="P155" s="1540"/>
      <c r="Q155" s="312"/>
    </row>
    <row r="156" spans="1:17">
      <c r="A156" s="419">
        <f>+A153+1</f>
        <v>21</v>
      </c>
      <c r="B156" s="801" t="s">
        <v>314</v>
      </c>
      <c r="C156" s="336" t="str">
        <f>+"Appendix A Line "&amp;+'Appendix A'!A237&amp;" "&amp;$L$6&amp;" Column"</f>
        <v>Appendix A Line 157 Projected Column</v>
      </c>
      <c r="D156" s="397">
        <f>IF($L$10=0,'Appendix A'!H237,'Appendix A'!G237)</f>
        <v>37880180.984714791</v>
      </c>
      <c r="E156" s="407"/>
      <c r="F156" s="397" t="s">
        <v>806</v>
      </c>
      <c r="G156" s="1039">
        <f>+TP</f>
        <v>0.93543197883535256</v>
      </c>
      <c r="H156" s="407"/>
      <c r="I156" s="1040">
        <f>+D156*G156</f>
        <v>35434332.657173052</v>
      </c>
      <c r="J156" s="336"/>
      <c r="K156" s="353"/>
      <c r="L156" s="1546">
        <f>+I156/M156</f>
        <v>0.93543197883535256</v>
      </c>
      <c r="M156" s="1539">
        <f>+D156</f>
        <v>37880180.984714791</v>
      </c>
      <c r="N156" s="1539">
        <f>IF($L$10=0,'Appendix A'!H237,'Appendix A'!G237)</f>
        <v>37880180.984714791</v>
      </c>
      <c r="O156" s="1539"/>
      <c r="P156" s="1540"/>
      <c r="Q156" s="312"/>
    </row>
    <row r="157" spans="1:17">
      <c r="A157" s="419">
        <f>+A156+1</f>
        <v>22</v>
      </c>
      <c r="B157" s="801" t="s">
        <v>1358</v>
      </c>
      <c r="C157" s="336"/>
      <c r="D157" s="334"/>
      <c r="E157" s="407"/>
      <c r="F157" s="341"/>
      <c r="G157" s="403"/>
      <c r="H157" s="334"/>
      <c r="I157" s="334"/>
      <c r="J157" s="336"/>
      <c r="K157" s="353"/>
      <c r="L157" s="1546"/>
      <c r="M157" s="1539"/>
      <c r="N157" s="1539"/>
      <c r="O157" s="1539"/>
      <c r="P157" s="1540"/>
      <c r="Q157" s="312"/>
    </row>
    <row r="158" spans="1:17">
      <c r="A158" s="419">
        <f t="shared" ref="A158:A162" si="8">+A157+1</f>
        <v>23</v>
      </c>
      <c r="B158" s="801" t="s">
        <v>1358</v>
      </c>
      <c r="C158" s="336"/>
      <c r="D158" s="334"/>
      <c r="E158" s="407"/>
      <c r="F158" s="341"/>
      <c r="G158" s="403"/>
      <c r="H158" s="334"/>
      <c r="I158" s="334"/>
      <c r="J158" s="336"/>
      <c r="K158" s="353"/>
      <c r="L158" s="1546"/>
      <c r="M158" s="1539"/>
      <c r="N158" s="1539"/>
      <c r="O158" s="1539"/>
      <c r="P158" s="1540"/>
      <c r="Q158" s="312"/>
    </row>
    <row r="159" spans="1:17">
      <c r="A159" s="419">
        <f t="shared" si="8"/>
        <v>24</v>
      </c>
      <c r="B159" s="801" t="s">
        <v>1358</v>
      </c>
      <c r="C159" s="336"/>
      <c r="D159" s="334"/>
      <c r="E159" s="407"/>
      <c r="F159" s="341"/>
      <c r="G159" s="403"/>
      <c r="H159" s="334"/>
      <c r="I159" s="334"/>
      <c r="J159" s="336"/>
      <c r="K159" s="353"/>
      <c r="L159" s="1546"/>
      <c r="M159" s="1539"/>
      <c r="N159" s="1539"/>
      <c r="O159" s="1539"/>
      <c r="P159" s="1540"/>
      <c r="Q159" s="312"/>
    </row>
    <row r="160" spans="1:17">
      <c r="A160" s="419">
        <f t="shared" si="8"/>
        <v>25</v>
      </c>
      <c r="B160" s="801" t="s">
        <v>1358</v>
      </c>
      <c r="C160" s="336"/>
      <c r="D160" s="334"/>
      <c r="E160" s="407"/>
      <c r="F160" s="341"/>
      <c r="G160" s="403"/>
      <c r="H160" s="334"/>
      <c r="I160" s="334"/>
      <c r="J160" s="336"/>
      <c r="K160" s="353"/>
      <c r="L160" s="1546"/>
      <c r="M160" s="1539"/>
      <c r="N160" s="1539"/>
      <c r="O160" s="1539"/>
      <c r="P160" s="1540"/>
      <c r="Q160" s="312"/>
    </row>
    <row r="161" spans="1:17" ht="13.5" thickBot="1">
      <c r="A161" s="419">
        <f t="shared" si="8"/>
        <v>26</v>
      </c>
      <c r="B161" s="801" t="s">
        <v>1358</v>
      </c>
      <c r="C161" s="336"/>
      <c r="D161" s="392"/>
      <c r="E161" s="407"/>
      <c r="F161" s="341"/>
      <c r="G161" s="403"/>
      <c r="H161" s="334"/>
      <c r="I161" s="392"/>
      <c r="J161" s="336"/>
      <c r="K161" s="353"/>
      <c r="L161" s="1546"/>
      <c r="M161" s="1539"/>
      <c r="N161" s="1539"/>
      <c r="O161" s="1539"/>
      <c r="P161" s="1540"/>
      <c r="Q161" s="312"/>
    </row>
    <row r="162" spans="1:17">
      <c r="A162" s="419">
        <f t="shared" si="8"/>
        <v>27</v>
      </c>
      <c r="B162" s="801" t="s">
        <v>244</v>
      </c>
      <c r="C162" s="336" t="str">
        <f>+"(Sum of Line "&amp;A156&amp;" to Line "&amp;A161&amp;")"</f>
        <v>(Sum of Line 21 to Line 26)</v>
      </c>
      <c r="D162" s="334">
        <f>SUM(D156:D161)</f>
        <v>37880180.984714791</v>
      </c>
      <c r="E162" s="353"/>
      <c r="F162" s="353"/>
      <c r="G162" s="353"/>
      <c r="H162" s="353"/>
      <c r="I162" s="334">
        <f>SUM(I156:I161)</f>
        <v>35434332.657173052</v>
      </c>
      <c r="L162" s="1540"/>
      <c r="M162" s="1540"/>
      <c r="N162" s="1540"/>
      <c r="O162" s="1540"/>
      <c r="P162" s="1540"/>
      <c r="Q162" s="312"/>
    </row>
    <row r="163" spans="1:17">
      <c r="A163" s="419"/>
      <c r="B163" s="347"/>
      <c r="C163" s="428"/>
      <c r="D163" s="334"/>
      <c r="E163" s="336"/>
      <c r="F163" s="336"/>
      <c r="G163" s="348"/>
      <c r="H163" s="336"/>
      <c r="I163" s="334"/>
      <c r="J163" s="336"/>
      <c r="K163" s="353"/>
      <c r="L163" s="1543"/>
      <c r="M163" s="1539"/>
      <c r="N163" s="1539"/>
      <c r="O163" s="1539"/>
      <c r="P163" s="1540"/>
      <c r="Q163" s="312"/>
    </row>
    <row r="164" spans="1:17">
      <c r="A164" s="419"/>
      <c r="B164" s="335" t="s">
        <v>829</v>
      </c>
      <c r="C164" s="353"/>
      <c r="D164" s="353"/>
      <c r="E164" s="353"/>
      <c r="F164" s="353"/>
      <c r="G164" s="353"/>
      <c r="H164" s="353"/>
      <c r="I164" s="1413"/>
      <c r="J164" s="336"/>
      <c r="K164" s="353"/>
      <c r="L164" s="1562"/>
      <c r="M164" s="1539"/>
      <c r="N164" s="1539"/>
      <c r="O164" s="1539"/>
      <c r="P164" s="1540"/>
      <c r="Q164" s="312"/>
    </row>
    <row r="165" spans="1:17">
      <c r="A165" s="419">
        <v>28</v>
      </c>
      <c r="B165" s="802" t="s">
        <v>830</v>
      </c>
      <c r="C165" s="336" t="str">
        <f>+"Appendix A Line "&amp;+'Appendix A'!A218&amp;" "&amp;$L$6&amp;" Column"</f>
        <v>Appendix A Line 146 Projected Column</v>
      </c>
      <c r="D165" s="334">
        <f>IF($L$10=0,'Appendix A'!H218,'Appendix A'!G218)</f>
        <v>83110939.130302444</v>
      </c>
      <c r="E165" s="341"/>
      <c r="F165" s="334" t="s">
        <v>806</v>
      </c>
      <c r="G165" s="340">
        <f>+TP</f>
        <v>0.93543197883535256</v>
      </c>
      <c r="H165" s="341"/>
      <c r="I165" s="334">
        <f>+D165*G165</f>
        <v>77744630.25352335</v>
      </c>
      <c r="J165" s="353"/>
      <c r="K165" s="353"/>
      <c r="L165" s="1546">
        <f>+I165/M165</f>
        <v>0.93543197883535256</v>
      </c>
      <c r="M165" s="1539">
        <f>+D165</f>
        <v>83110939.130302444</v>
      </c>
      <c r="N165" s="1539">
        <f>IF($L$10=0,'Appendix A'!H218,'Appendix A'!G218)</f>
        <v>83110939.130302444</v>
      </c>
      <c r="O165" s="1539">
        <f>+M165-N165</f>
        <v>0</v>
      </c>
      <c r="P165" s="1540"/>
      <c r="Q165" s="312"/>
    </row>
    <row r="166" spans="1:17">
      <c r="A166" s="419"/>
      <c r="B166" s="335"/>
      <c r="C166" s="347"/>
      <c r="D166" s="397"/>
      <c r="E166" s="341"/>
      <c r="F166" s="341"/>
      <c r="G166" s="429"/>
      <c r="H166" s="341"/>
      <c r="I166" s="397"/>
      <c r="J166" s="336"/>
      <c r="K166" s="353"/>
      <c r="L166" s="1544"/>
      <c r="M166" s="1539"/>
      <c r="N166" s="1539"/>
      <c r="O166" s="1539"/>
      <c r="P166" s="1540"/>
      <c r="Q166" s="312"/>
    </row>
    <row r="167" spans="1:17" ht="13.5" thickBot="1">
      <c r="A167" s="419">
        <f>A165+1</f>
        <v>29</v>
      </c>
      <c r="B167" s="335" t="s">
        <v>831</v>
      </c>
      <c r="C167" s="336" t="str">
        <f>+"(Line "&amp;A137&amp;" + Line "&amp;A143&amp;" + Line "&amp;A153&amp;" + Line "&amp;A162&amp;" + Line "&amp;A165&amp;")"</f>
        <v>(Line 8 + Line 12 + Line 20 + Line 27 + Line 28)</v>
      </c>
      <c r="D167" s="430">
        <f>+D137+D143+D153+D162+D165</f>
        <v>329256735.87410551</v>
      </c>
      <c r="E167" s="341"/>
      <c r="F167" s="341"/>
      <c r="G167" s="407"/>
      <c r="H167" s="341"/>
      <c r="I167" s="430">
        <f>+I137+I143+I153+I162+I165</f>
        <v>185918223.72009778</v>
      </c>
      <c r="J167" s="326"/>
      <c r="K167" s="353"/>
      <c r="L167" s="1553"/>
      <c r="M167" s="1563">
        <f>+M137+M143+M153+M156+M165</f>
        <v>198751195.09124848</v>
      </c>
      <c r="N167" s="1539">
        <f>IF($L$10=0,'Appendix A'!H255,'Appendix A'!G255)</f>
        <v>198751195.09124851</v>
      </c>
      <c r="O167" s="1539">
        <f>+M167-N167</f>
        <v>0</v>
      </c>
      <c r="P167" s="1540"/>
      <c r="Q167" s="312"/>
    </row>
    <row r="168" spans="1:17" ht="13.5" thickTop="1">
      <c r="A168" s="419"/>
      <c r="B168" s="335"/>
      <c r="C168" s="336"/>
      <c r="D168" s="407"/>
      <c r="E168" s="341"/>
      <c r="F168" s="341"/>
      <c r="G168" s="407"/>
      <c r="H168" s="341"/>
      <c r="I168" s="397"/>
      <c r="J168" s="326"/>
      <c r="K168" s="353"/>
      <c r="L168" s="1553"/>
      <c r="M168" s="1539"/>
      <c r="N168" s="1539"/>
      <c r="O168" s="1539"/>
      <c r="P168" s="1540"/>
      <c r="Q168" s="312"/>
    </row>
    <row r="169" spans="1:17" s="799" customFormat="1">
      <c r="A169" s="948">
        <f>+A167+1</f>
        <v>30</v>
      </c>
      <c r="B169" s="793" t="s">
        <v>1238</v>
      </c>
      <c r="C169" s="950"/>
      <c r="D169" s="791"/>
      <c r="E169" s="792"/>
      <c r="F169" s="792"/>
      <c r="G169" s="792"/>
      <c r="H169" s="792"/>
      <c r="I169" s="791"/>
      <c r="J169" s="797"/>
      <c r="K169" s="797"/>
      <c r="L169" s="1564"/>
      <c r="M169" s="1558"/>
      <c r="N169" s="1558"/>
      <c r="O169" s="1558"/>
      <c r="P169" s="1565"/>
    </row>
    <row r="170" spans="1:17" s="799" customFormat="1">
      <c r="A170" s="948"/>
      <c r="B170" s="793" t="s">
        <v>1239</v>
      </c>
      <c r="C170" s="822" t="str">
        <f>+"Appendix A Line "&amp;+'Appendix A'!A252&amp;" "&amp;$L$6&amp;" Column"</f>
        <v>Appendix A Line 167 Projected Column</v>
      </c>
      <c r="D170" s="792">
        <f>IF($L$10=0,'Appendix A'!H252,'Appendix A'!G252)</f>
        <v>0</v>
      </c>
      <c r="E170" s="792"/>
      <c r="F170" s="792" t="s">
        <v>779</v>
      </c>
      <c r="G170" s="1100">
        <v>1</v>
      </c>
      <c r="H170" s="792"/>
      <c r="I170" s="791">
        <f>+D170</f>
        <v>0</v>
      </c>
      <c r="J170" s="797"/>
      <c r="K170" s="1101"/>
      <c r="L170" s="1558"/>
      <c r="M170" s="1558"/>
      <c r="N170" s="1558"/>
      <c r="O170" s="1565"/>
      <c r="P170" s="1565"/>
    </row>
    <row r="171" spans="1:17">
      <c r="A171" s="377"/>
      <c r="B171" s="362"/>
      <c r="C171" s="368"/>
      <c r="D171" s="397"/>
      <c r="E171" s="334"/>
      <c r="F171" s="334"/>
      <c r="G171" s="334"/>
      <c r="H171" s="334"/>
      <c r="I171" s="397"/>
      <c r="J171" s="353"/>
      <c r="K171" s="363"/>
      <c r="L171" s="1539"/>
      <c r="M171" s="1539"/>
      <c r="N171" s="1539"/>
      <c r="O171" s="1540"/>
      <c r="P171" s="1540"/>
      <c r="Q171" s="312"/>
    </row>
    <row r="172" spans="1:17">
      <c r="A172" s="949" t="s">
        <v>1129</v>
      </c>
      <c r="B172" s="793" t="s">
        <v>1237</v>
      </c>
      <c r="C172" s="794"/>
      <c r="D172" s="795"/>
      <c r="E172" s="796"/>
      <c r="F172" s="796"/>
      <c r="G172" s="796"/>
      <c r="H172" s="796"/>
      <c r="I172" s="795"/>
      <c r="J172" s="353"/>
      <c r="K172" s="363"/>
      <c r="L172" s="1539"/>
      <c r="M172" s="1539"/>
      <c r="N172" s="1539"/>
      <c r="O172" s="1540"/>
      <c r="P172" s="1540"/>
      <c r="Q172" s="312"/>
    </row>
    <row r="173" spans="1:17" s="799" customFormat="1" ht="26.25" thickBot="1">
      <c r="A173" s="948"/>
      <c r="B173" s="793" t="s">
        <v>1240</v>
      </c>
      <c r="C173" s="822" t="str">
        <f>+"Appendix A Line "&amp;+'Appendix A'!A253&amp;" "&amp;$L$6&amp;" Column"</f>
        <v>Appendix A Line 168 Projected Column</v>
      </c>
      <c r="D173" s="1283">
        <f>IF($L$10=0,'Appendix A'!H253,'Appendix A'!G253)</f>
        <v>0</v>
      </c>
      <c r="E173" s="792"/>
      <c r="F173" s="792" t="s">
        <v>779</v>
      </c>
      <c r="G173" s="1100">
        <v>1</v>
      </c>
      <c r="H173" s="792"/>
      <c r="I173" s="791">
        <f>+D173</f>
        <v>0</v>
      </c>
      <c r="J173" s="797"/>
      <c r="K173" s="1101"/>
      <c r="L173" s="1558"/>
      <c r="M173" s="1558"/>
      <c r="N173" s="1558"/>
      <c r="O173" s="1565"/>
      <c r="P173" s="1558"/>
      <c r="Q173" s="798"/>
    </row>
    <row r="174" spans="1:17" ht="13.5" thickBot="1">
      <c r="A174" s="377">
        <f>+A169+1</f>
        <v>31</v>
      </c>
      <c r="B174" s="362" t="s">
        <v>832</v>
      </c>
      <c r="C174" s="362" t="str">
        <f>+"(Line "&amp;A167&amp;" - Line "&amp;A169&amp;" - Line "&amp;A172&amp;")"</f>
        <v>(Line 29 - Line 30 - Line 30a)</v>
      </c>
      <c r="D174" s="431">
        <f>+D167-D170-D173</f>
        <v>329256735.87410551</v>
      </c>
      <c r="E174" s="334"/>
      <c r="F174" s="334"/>
      <c r="G174" s="334"/>
      <c r="H174" s="334"/>
      <c r="I174" s="431">
        <f>+I167-I170-I173</f>
        <v>185918223.72009778</v>
      </c>
      <c r="J174" s="353"/>
      <c r="K174" s="363"/>
      <c r="L174" s="1539">
        <f>+'Appendix A'!H263</f>
        <v>185918223.72009781</v>
      </c>
      <c r="M174" s="1539">
        <f>+L174-I174</f>
        <v>0</v>
      </c>
      <c r="N174" s="1539"/>
      <c r="O174" s="1539"/>
      <c r="P174" s="1539"/>
    </row>
    <row r="175" spans="1:17" ht="13.5" thickTop="1">
      <c r="L175" s="1539"/>
      <c r="M175" s="1539"/>
      <c r="N175" s="1539"/>
      <c r="O175" s="1540"/>
      <c r="P175" s="1539"/>
    </row>
    <row r="176" spans="1:17">
      <c r="A176" s="419"/>
      <c r="B176" s="335"/>
      <c r="C176" s="336"/>
      <c r="D176" s="407"/>
      <c r="E176" s="341"/>
      <c r="F176" s="341"/>
      <c r="G176" s="407"/>
      <c r="H176" s="341"/>
      <c r="I176" s="397"/>
      <c r="J176" s="326"/>
      <c r="K176" s="326"/>
      <c r="L176" s="1539"/>
      <c r="M176" s="1539"/>
      <c r="N176" s="1539"/>
      <c r="O176" s="1540"/>
      <c r="P176" s="1539"/>
    </row>
    <row r="177" spans="1:19">
      <c r="A177" s="419"/>
      <c r="B177" s="432"/>
      <c r="C177" s="341"/>
      <c r="D177" s="407"/>
      <c r="E177" s="407"/>
      <c r="F177" s="407"/>
      <c r="G177" s="407"/>
      <c r="H177" s="407"/>
      <c r="I177" s="407"/>
      <c r="J177" s="326"/>
      <c r="K177" s="382" t="str">
        <f>+K1</f>
        <v>Attachment O-EAI</v>
      </c>
      <c r="L177" s="1539"/>
      <c r="M177" s="1539"/>
      <c r="N177" s="1539"/>
      <c r="O177" s="1540"/>
      <c r="P177" s="1539"/>
    </row>
    <row r="178" spans="1:19">
      <c r="A178" s="389"/>
      <c r="B178" s="347"/>
      <c r="C178" s="347"/>
      <c r="D178" s="347"/>
      <c r="E178" s="347"/>
      <c r="F178" s="347"/>
      <c r="G178" s="347"/>
      <c r="H178" s="347"/>
      <c r="I178" s="347"/>
      <c r="J178" s="336"/>
      <c r="K178" s="408" t="s">
        <v>833</v>
      </c>
    </row>
    <row r="179" spans="1:19">
      <c r="A179" s="389"/>
      <c r="B179" s="347"/>
      <c r="C179" s="411" t="str">
        <f>+C$3</f>
        <v>MISO Cover</v>
      </c>
      <c r="D179" s="347"/>
      <c r="E179" s="347"/>
      <c r="F179" s="347"/>
      <c r="G179" s="347"/>
      <c r="H179" s="347"/>
      <c r="I179" s="347"/>
      <c r="J179" s="336"/>
      <c r="K179" s="336"/>
    </row>
    <row r="180" spans="1:19">
      <c r="A180" s="389"/>
      <c r="B180" s="335" t="s">
        <v>765</v>
      </c>
      <c r="C180" s="433" t="s">
        <v>766</v>
      </c>
      <c r="D180" s="353"/>
      <c r="E180" s="347"/>
      <c r="F180" s="347"/>
      <c r="G180" s="347"/>
      <c r="H180" s="347"/>
      <c r="I180" s="410"/>
      <c r="J180" s="336"/>
      <c r="K180" s="434" t="str">
        <f>K4</f>
        <v>For  the 12 Months Ended 12/31/2014</v>
      </c>
    </row>
    <row r="181" spans="1:19">
      <c r="A181" s="389"/>
      <c r="B181" s="335"/>
      <c r="C181" s="433" t="s">
        <v>767</v>
      </c>
      <c r="D181" s="353"/>
      <c r="E181" s="347"/>
      <c r="F181" s="347"/>
      <c r="G181" s="347"/>
      <c r="H181" s="347"/>
      <c r="I181" s="347"/>
      <c r="J181" s="336"/>
      <c r="K181" s="336"/>
    </row>
    <row r="182" spans="1:19">
      <c r="A182" s="389"/>
      <c r="B182" s="347"/>
      <c r="C182" s="433" t="str">
        <f>+C119</f>
        <v>Entergy Arkansas, Inc.</v>
      </c>
      <c r="D182" s="353"/>
      <c r="E182" s="347"/>
      <c r="F182" s="347"/>
      <c r="G182" s="347"/>
      <c r="H182" s="347"/>
      <c r="I182" s="347"/>
      <c r="J182" s="336"/>
      <c r="K182" s="336"/>
    </row>
    <row r="183" spans="1:19">
      <c r="A183" s="1073"/>
      <c r="B183" s="1073"/>
      <c r="C183" s="433" t="str">
        <f>+C120</f>
        <v>Projected Rate</v>
      </c>
      <c r="D183" s="1073"/>
      <c r="E183" s="1073"/>
      <c r="F183" s="1073"/>
      <c r="G183" s="1073"/>
      <c r="H183" s="1073"/>
      <c r="I183" s="1073"/>
      <c r="J183" s="1073"/>
      <c r="K183" s="1073"/>
    </row>
    <row r="184" spans="1:19" s="426" customFormat="1">
      <c r="A184" s="435"/>
      <c r="B184" s="411" t="s">
        <v>367</v>
      </c>
      <c r="C184" s="411" t="s">
        <v>769</v>
      </c>
      <c r="D184" s="411" t="s">
        <v>770</v>
      </c>
      <c r="E184" s="336" t="s">
        <v>259</v>
      </c>
      <c r="F184" s="336"/>
      <c r="G184" s="412" t="s">
        <v>771</v>
      </c>
      <c r="H184" s="336"/>
      <c r="I184" s="412" t="s">
        <v>772</v>
      </c>
      <c r="J184" s="423"/>
      <c r="K184" s="423"/>
      <c r="L184" s="425"/>
      <c r="M184" s="425"/>
      <c r="N184" s="425"/>
      <c r="P184" s="425"/>
      <c r="Q184" s="425"/>
    </row>
    <row r="185" spans="1:19">
      <c r="A185" s="389"/>
      <c r="B185" s="347"/>
      <c r="C185" s="335"/>
      <c r="D185" s="335"/>
      <c r="E185" s="335"/>
      <c r="F185" s="335"/>
      <c r="G185" s="335"/>
      <c r="H185" s="335"/>
      <c r="I185" s="335"/>
      <c r="J185" s="335"/>
      <c r="K185" s="335"/>
    </row>
    <row r="186" spans="1:19">
      <c r="A186" s="1685" t="s">
        <v>834</v>
      </c>
      <c r="B186" s="1685"/>
      <c r="C186" s="1685"/>
      <c r="D186" s="1685"/>
      <c r="E186" s="1685"/>
      <c r="F186" s="1685"/>
      <c r="G186" s="1685"/>
      <c r="H186" s="1685"/>
      <c r="I186" s="1685"/>
      <c r="J186" s="1685"/>
      <c r="K186" s="1685"/>
    </row>
    <row r="187" spans="1:19">
      <c r="A187" s="389" t="s">
        <v>773</v>
      </c>
      <c r="B187" s="436"/>
      <c r="C187" s="326"/>
      <c r="D187" s="326"/>
      <c r="E187" s="326"/>
      <c r="F187" s="326"/>
      <c r="G187" s="326"/>
      <c r="H187" s="326"/>
      <c r="I187" s="326"/>
      <c r="J187" s="336"/>
      <c r="K187" s="336"/>
    </row>
    <row r="188" spans="1:19" ht="13.5" thickBot="1">
      <c r="A188" s="337" t="s">
        <v>775</v>
      </c>
      <c r="B188" s="319" t="s">
        <v>835</v>
      </c>
      <c r="C188" s="326"/>
      <c r="D188" s="326"/>
      <c r="E188" s="326"/>
      <c r="F188" s="326"/>
      <c r="G188" s="326"/>
      <c r="H188" s="347"/>
      <c r="I188" s="347"/>
      <c r="J188" s="336"/>
      <c r="K188" s="336"/>
    </row>
    <row r="189" spans="1:19">
      <c r="A189" s="389">
        <v>1</v>
      </c>
      <c r="B189" s="800" t="s">
        <v>836</v>
      </c>
      <c r="C189" s="336" t="str">
        <f>+"Appendix A Line "&amp;+'Appendix A'!A258&amp;" "&amp;$L$6&amp;" Column"</f>
        <v>Appendix A Line 170 Projected Column</v>
      </c>
      <c r="D189" s="336"/>
      <c r="E189" s="336"/>
      <c r="F189" s="336"/>
      <c r="G189" s="336"/>
      <c r="H189" s="336"/>
      <c r="I189" s="334">
        <f>IF($L$10=0,'Appendix A'!H258,'Appendix A'!G258)</f>
        <v>1703798251.6062224</v>
      </c>
      <c r="J189" s="336"/>
      <c r="K189" s="336"/>
      <c r="N189" s="400"/>
      <c r="O189" s="400"/>
      <c r="P189" s="400"/>
      <c r="Q189" s="400"/>
      <c r="R189" s="400"/>
      <c r="S189" s="400"/>
    </row>
    <row r="190" spans="1:19">
      <c r="A190" s="389">
        <f>+A189+1</f>
        <v>2</v>
      </c>
      <c r="B190" s="800" t="s">
        <v>837</v>
      </c>
      <c r="C190" s="336" t="str">
        <f>+"Appendix A Line "&amp;+'Appendix A'!A259&amp;" "&amp;$L$6&amp;" Column"</f>
        <v>Appendix A Line 171 Projected Column</v>
      </c>
      <c r="D190" s="347"/>
      <c r="E190" s="347"/>
      <c r="F190" s="347"/>
      <c r="G190" s="347"/>
      <c r="H190" s="347"/>
      <c r="I190" s="334">
        <f>IF($L$10=0,'Appendix A'!H259,'Appendix A'!G259)</f>
        <v>110010881.56999999</v>
      </c>
      <c r="J190" s="336"/>
      <c r="K190" s="336"/>
      <c r="N190" s="400"/>
      <c r="O190" s="400"/>
      <c r="P190" s="400"/>
      <c r="Q190" s="400"/>
      <c r="R190" s="400"/>
      <c r="S190" s="400"/>
    </row>
    <row r="191" spans="1:19" ht="13.5" thickBot="1">
      <c r="A191" s="389">
        <f t="shared" ref="A191:A215" si="9">+A190+1</f>
        <v>3</v>
      </c>
      <c r="B191" s="801" t="s">
        <v>1358</v>
      </c>
      <c r="C191" s="437"/>
      <c r="D191" s="410"/>
      <c r="E191" s="336"/>
      <c r="F191" s="336"/>
      <c r="G191" s="409"/>
      <c r="H191" s="336"/>
      <c r="I191" s="392"/>
      <c r="J191" s="336"/>
      <c r="K191" s="336"/>
      <c r="N191" s="400"/>
      <c r="O191" s="400"/>
      <c r="P191" s="400"/>
      <c r="Q191" s="400"/>
      <c r="R191" s="400"/>
      <c r="S191" s="400"/>
    </row>
    <row r="192" spans="1:19">
      <c r="A192" s="389">
        <f t="shared" si="9"/>
        <v>4</v>
      </c>
      <c r="B192" s="800" t="s">
        <v>838</v>
      </c>
      <c r="C192" s="326" t="str">
        <f>+"(Line "&amp;A189&amp;" - Line "&amp;A190&amp;" - Line "&amp;A191&amp;")"</f>
        <v>(Line 1 - Line 2 - Line 3)</v>
      </c>
      <c r="D192" s="336"/>
      <c r="E192" s="336"/>
      <c r="F192" s="336"/>
      <c r="G192" s="409"/>
      <c r="H192" s="336"/>
      <c r="I192" s="334">
        <f>I189-I190-I191</f>
        <v>1593787370.0362225</v>
      </c>
      <c r="J192" s="336"/>
      <c r="K192" s="336"/>
      <c r="N192" s="400"/>
      <c r="O192" s="400"/>
      <c r="P192" s="400"/>
      <c r="Q192" s="400"/>
      <c r="R192" s="400"/>
      <c r="S192" s="400"/>
    </row>
    <row r="193" spans="1:19">
      <c r="A193" s="389"/>
      <c r="B193" s="347"/>
      <c r="C193" s="326"/>
      <c r="D193" s="336"/>
      <c r="E193" s="336"/>
      <c r="F193" s="336"/>
      <c r="G193" s="409"/>
      <c r="H193" s="336"/>
      <c r="I193" s="334"/>
      <c r="J193" s="336"/>
      <c r="K193" s="336"/>
      <c r="N193" s="400"/>
      <c r="O193" s="400"/>
      <c r="P193" s="400"/>
      <c r="Q193" s="400"/>
      <c r="R193" s="400"/>
      <c r="S193" s="400"/>
    </row>
    <row r="194" spans="1:19">
      <c r="A194" s="389">
        <f>+A192+1</f>
        <v>5</v>
      </c>
      <c r="B194" s="800" t="s">
        <v>839</v>
      </c>
      <c r="C194" s="326" t="str">
        <f>+"(Line "&amp;A192&amp;" / Line "&amp;A189&amp;")"</f>
        <v>(Line 4 / Line 1)</v>
      </c>
      <c r="D194" s="438"/>
      <c r="E194" s="438"/>
      <c r="F194" s="438"/>
      <c r="G194" s="1284" t="s">
        <v>1350</v>
      </c>
      <c r="H194" s="336" t="s">
        <v>840</v>
      </c>
      <c r="I194" s="403">
        <f>IF(I189&gt;0,I192/I189,0)</f>
        <v>0.93543197883535256</v>
      </c>
      <c r="J194" s="336"/>
      <c r="K194" s="336"/>
      <c r="N194" s="400"/>
      <c r="O194" s="400"/>
      <c r="P194" s="400"/>
      <c r="Q194" s="400"/>
      <c r="R194" s="400"/>
      <c r="S194" s="400"/>
    </row>
    <row r="195" spans="1:19">
      <c r="A195" s="389"/>
      <c r="B195" s="800"/>
      <c r="C195" s="326"/>
      <c r="D195" s="438"/>
      <c r="E195" s="438"/>
      <c r="F195" s="438"/>
      <c r="G195" s="412"/>
      <c r="H195" s="336"/>
      <c r="I195" s="403"/>
      <c r="J195" s="336"/>
      <c r="K195" s="336"/>
      <c r="N195" s="400"/>
      <c r="O195" s="400"/>
      <c r="P195" s="400"/>
      <c r="Q195" s="400"/>
      <c r="R195" s="400"/>
      <c r="S195" s="400"/>
    </row>
    <row r="196" spans="1:19">
      <c r="A196" s="943" t="s">
        <v>1135</v>
      </c>
      <c r="B196" s="335" t="s">
        <v>841</v>
      </c>
      <c r="C196" s="347"/>
      <c r="D196" s="347"/>
      <c r="E196" s="347"/>
      <c r="F196" s="347"/>
      <c r="G196" s="347"/>
      <c r="H196" s="347"/>
      <c r="I196" s="347"/>
      <c r="J196" s="347"/>
      <c r="K196" s="347"/>
      <c r="N196" s="400"/>
      <c r="O196" s="400"/>
      <c r="P196" s="400"/>
      <c r="Q196" s="400"/>
      <c r="R196" s="400"/>
      <c r="S196" s="400"/>
    </row>
    <row r="197" spans="1:19" ht="13.5" thickBot="1">
      <c r="B197" s="353"/>
      <c r="C197" s="439" t="s">
        <v>842</v>
      </c>
      <c r="D197" s="440" t="s">
        <v>843</v>
      </c>
      <c r="E197" s="353"/>
      <c r="F197" s="440" t="s">
        <v>806</v>
      </c>
      <c r="G197" s="440" t="s">
        <v>315</v>
      </c>
      <c r="H197" s="336"/>
      <c r="I197" s="336"/>
      <c r="J197" s="336"/>
      <c r="K197" s="336"/>
      <c r="N197" s="400"/>
      <c r="O197" s="400"/>
      <c r="P197" s="400"/>
      <c r="Q197" s="400"/>
      <c r="R197" s="400"/>
      <c r="S197" s="400"/>
    </row>
    <row r="198" spans="1:19">
      <c r="A198" s="389">
        <v>12</v>
      </c>
      <c r="B198" s="801" t="s">
        <v>1071</v>
      </c>
      <c r="C198" s="336" t="str">
        <f>+"Appendix A Line "&amp;+'Appendix A'!A11&amp;" "&amp;$L$6&amp;" Column"</f>
        <v>Appendix A Line 1 Projected Column</v>
      </c>
      <c r="D198" s="334">
        <f>IF($L$10=0,'Appendix A'!H11,'Appendix A'!G11)</f>
        <v>12135919</v>
      </c>
      <c r="E198" s="353"/>
      <c r="F198" s="340">
        <f>+TP</f>
        <v>0.93543197883535256</v>
      </c>
      <c r="G198" s="334">
        <f>+D198*F198</f>
        <v>11352326.725155553</v>
      </c>
      <c r="H198" s="341"/>
      <c r="I198" s="341"/>
      <c r="J198" s="336"/>
      <c r="K198" s="336"/>
      <c r="N198" s="400"/>
      <c r="O198" s="400"/>
      <c r="P198" s="400"/>
      <c r="Q198" s="400"/>
      <c r="R198" s="400"/>
      <c r="S198" s="400"/>
    </row>
    <row r="199" spans="1:19">
      <c r="A199" s="389">
        <f t="shared" si="9"/>
        <v>13</v>
      </c>
      <c r="B199" s="801" t="s">
        <v>1072</v>
      </c>
      <c r="C199" s="336" t="str">
        <f>+"Appendix A Line "&amp;+'Appendix A'!A12&amp;" "&amp;$L$6&amp;" Column"</f>
        <v>Appendix A Line 2 Projected Column</v>
      </c>
      <c r="D199" s="334">
        <f>IF($L$10=0,'Appendix A'!H12,'Appendix A'!G12)</f>
        <v>272210.60287847108</v>
      </c>
      <c r="E199" s="353"/>
      <c r="F199" s="340">
        <f>+TP</f>
        <v>0.93543197883535256</v>
      </c>
      <c r="G199" s="334">
        <f>+D199*F199</f>
        <v>254634.50291057251</v>
      </c>
      <c r="H199" s="341"/>
      <c r="I199" s="341"/>
      <c r="J199" s="336"/>
      <c r="K199" s="336"/>
      <c r="L199" s="313">
        <f>+D199/D202</f>
        <v>1.6623566757369482E-3</v>
      </c>
      <c r="N199" s="400"/>
      <c r="O199" s="400"/>
      <c r="P199" s="400"/>
      <c r="Q199" s="400"/>
      <c r="R199" s="400"/>
      <c r="S199" s="400"/>
    </row>
    <row r="200" spans="1:19">
      <c r="A200" s="389">
        <f t="shared" si="9"/>
        <v>14</v>
      </c>
      <c r="B200" s="801" t="s">
        <v>1358</v>
      </c>
      <c r="C200" s="336"/>
      <c r="D200" s="334"/>
      <c r="E200" s="353"/>
      <c r="F200" s="441"/>
      <c r="G200" s="334"/>
      <c r="H200" s="341"/>
      <c r="I200" s="442" t="s">
        <v>844</v>
      </c>
      <c r="J200" s="336"/>
      <c r="K200" s="336"/>
      <c r="L200" s="313">
        <f>+I194</f>
        <v>0.93543197883535256</v>
      </c>
      <c r="N200" s="400"/>
      <c r="O200" s="400"/>
      <c r="P200" s="400"/>
      <c r="Q200" s="400"/>
      <c r="R200" s="400"/>
      <c r="S200" s="400"/>
    </row>
    <row r="201" spans="1:19" ht="13.5" thickBot="1">
      <c r="A201" s="389">
        <f t="shared" si="9"/>
        <v>15</v>
      </c>
      <c r="B201" s="801" t="s">
        <v>1358</v>
      </c>
      <c r="C201" s="336"/>
      <c r="D201" s="392"/>
      <c r="E201" s="353"/>
      <c r="F201" s="441"/>
      <c r="G201" s="392"/>
      <c r="H201" s="341"/>
      <c r="I201" s="443" t="s">
        <v>845</v>
      </c>
      <c r="J201" s="336"/>
      <c r="K201" s="336"/>
      <c r="L201" s="313">
        <f>+L199*L200</f>
        <v>1.555021594714772E-3</v>
      </c>
      <c r="N201" s="400"/>
      <c r="O201" s="400"/>
      <c r="P201" s="400"/>
      <c r="Q201" s="400"/>
      <c r="R201" s="400"/>
      <c r="S201" s="400"/>
    </row>
    <row r="202" spans="1:19">
      <c r="A202" s="389">
        <f t="shared" si="9"/>
        <v>16</v>
      </c>
      <c r="B202" s="801" t="s">
        <v>967</v>
      </c>
      <c r="C202" s="336" t="str">
        <f>+"Appendix A Line "&amp;+'Appendix A'!A23&amp;" "&amp;$L$6&amp;" Column"</f>
        <v>Appendix A Line 10 Projected Column</v>
      </c>
      <c r="D202" s="334">
        <f>IF($L$10=0,'Appendix A'!H23,'Appendix A'!G23)</f>
        <v>163749817.86492717</v>
      </c>
      <c r="E202" s="336"/>
      <c r="F202" s="336"/>
      <c r="G202" s="334">
        <f>SUM(G198:G201)</f>
        <v>11606961.228066126</v>
      </c>
      <c r="H202" s="444" t="s">
        <v>846</v>
      </c>
      <c r="I202" s="445">
        <f>IF(G202&gt;0,G202/D202,0)</f>
        <v>7.0882284813534244E-2</v>
      </c>
      <c r="J202" s="409" t="s">
        <v>846</v>
      </c>
      <c r="K202" s="336" t="s">
        <v>847</v>
      </c>
      <c r="N202" s="400"/>
      <c r="O202" s="400"/>
      <c r="P202" s="400"/>
      <c r="Q202" s="400"/>
      <c r="R202" s="400"/>
      <c r="S202" s="400"/>
    </row>
    <row r="203" spans="1:19">
      <c r="A203" s="389"/>
      <c r="B203" s="335" t="s">
        <v>259</v>
      </c>
      <c r="C203" s="336" t="s">
        <v>259</v>
      </c>
      <c r="D203" s="347"/>
      <c r="E203" s="336"/>
      <c r="F203" s="336"/>
      <c r="G203" s="347"/>
      <c r="H203" s="347"/>
      <c r="I203" s="347"/>
      <c r="J203" s="347"/>
      <c r="K203" s="336"/>
      <c r="N203" s="400"/>
      <c r="O203" s="400"/>
      <c r="P203" s="400"/>
      <c r="Q203" s="400"/>
      <c r="R203" s="400"/>
      <c r="S203" s="400"/>
    </row>
    <row r="204" spans="1:19">
      <c r="A204" s="389"/>
      <c r="B204" s="335" t="s">
        <v>1358</v>
      </c>
      <c r="C204" s="353"/>
      <c r="D204" s="413" t="s">
        <v>843</v>
      </c>
      <c r="E204" s="336"/>
      <c r="F204" s="336"/>
      <c r="G204" s="408"/>
      <c r="H204" s="427"/>
      <c r="I204" s="402"/>
      <c r="J204" s="336"/>
      <c r="K204" s="336"/>
      <c r="M204" s="312"/>
      <c r="N204" s="400"/>
      <c r="O204" s="400"/>
      <c r="P204" s="400"/>
      <c r="Q204" s="400"/>
      <c r="R204" s="400"/>
      <c r="S204" s="400"/>
    </row>
    <row r="205" spans="1:19">
      <c r="A205" s="389">
        <f>+A202+1</f>
        <v>17</v>
      </c>
      <c r="B205" s="801" t="s">
        <v>1358</v>
      </c>
      <c r="C205" s="336"/>
      <c r="D205" s="334">
        <v>0</v>
      </c>
      <c r="E205" s="336"/>
      <c r="F205" s="347"/>
      <c r="G205" s="945"/>
      <c r="H205" s="446"/>
      <c r="I205" s="389"/>
      <c r="J205" s="336"/>
      <c r="K205" s="447"/>
      <c r="M205" s="312"/>
      <c r="N205" s="312"/>
      <c r="P205" s="312"/>
      <c r="Q205" s="312"/>
    </row>
    <row r="206" spans="1:19">
      <c r="A206" s="389">
        <f t="shared" si="9"/>
        <v>18</v>
      </c>
      <c r="B206" s="801" t="s">
        <v>1358</v>
      </c>
      <c r="C206" s="336"/>
      <c r="D206" s="334">
        <v>0</v>
      </c>
      <c r="E206" s="336"/>
      <c r="F206" s="347"/>
      <c r="G206" s="445"/>
      <c r="H206" s="448" t="s">
        <v>616</v>
      </c>
      <c r="I206" s="445"/>
      <c r="J206" s="448"/>
      <c r="K206" s="445"/>
      <c r="L206" s="312"/>
      <c r="M206" s="312"/>
      <c r="N206" s="312"/>
      <c r="P206" s="312"/>
      <c r="Q206" s="312"/>
    </row>
    <row r="207" spans="1:19" ht="13.5" thickBot="1">
      <c r="A207" s="389">
        <f t="shared" si="9"/>
        <v>19</v>
      </c>
      <c r="B207" s="805" t="s">
        <v>1358</v>
      </c>
      <c r="C207" s="439"/>
      <c r="D207" s="392">
        <v>0</v>
      </c>
      <c r="E207" s="336"/>
      <c r="F207" s="336"/>
      <c r="G207" s="336" t="s">
        <v>259</v>
      </c>
      <c r="H207" s="336"/>
      <c r="I207" s="336"/>
      <c r="J207" s="336"/>
      <c r="K207" s="336"/>
      <c r="L207" s="312"/>
      <c r="M207" s="312"/>
      <c r="N207" s="312"/>
      <c r="P207" s="312"/>
      <c r="Q207" s="312"/>
    </row>
    <row r="208" spans="1:19">
      <c r="A208" s="389">
        <f t="shared" si="9"/>
        <v>20</v>
      </c>
      <c r="B208" s="335" t="s">
        <v>308</v>
      </c>
      <c r="C208" s="347" t="str">
        <f>+"(Sum of Line "&amp;A205&amp;" to Line "&amp;A207&amp;")"</f>
        <v>(Sum of Line 17 to Line 19)</v>
      </c>
      <c r="D208" s="334">
        <f>D205+D206+D207</f>
        <v>0</v>
      </c>
      <c r="E208" s="336"/>
      <c r="F208" s="336"/>
      <c r="G208" s="336"/>
      <c r="H208" s="336"/>
      <c r="I208" s="336"/>
      <c r="J208" s="336"/>
      <c r="K208" s="336"/>
      <c r="L208" s="312"/>
      <c r="M208" s="312"/>
      <c r="N208" s="312"/>
      <c r="P208" s="312"/>
      <c r="Q208" s="312"/>
    </row>
    <row r="209" spans="1:17">
      <c r="A209" s="389"/>
      <c r="B209" s="335"/>
      <c r="C209" s="336"/>
      <c r="D209" s="347"/>
      <c r="E209" s="336"/>
      <c r="F209" s="336"/>
      <c r="G209" s="336"/>
      <c r="H209" s="336"/>
      <c r="I209" s="336"/>
      <c r="J209" s="336"/>
      <c r="K209" s="336"/>
      <c r="L209" s="312"/>
      <c r="M209" s="312"/>
      <c r="N209" s="312"/>
      <c r="P209" s="312"/>
      <c r="Q209" s="312"/>
    </row>
    <row r="210" spans="1:17">
      <c r="A210" s="944" t="s">
        <v>1136</v>
      </c>
      <c r="B210" s="319" t="s">
        <v>848</v>
      </c>
      <c r="C210" s="336"/>
      <c r="D210" s="336"/>
      <c r="E210" s="336"/>
      <c r="F210" s="336"/>
      <c r="G210" s="409" t="s">
        <v>849</v>
      </c>
      <c r="H210" s="336"/>
      <c r="I210" s="336"/>
      <c r="J210" s="336"/>
      <c r="K210" s="336"/>
      <c r="L210" s="312"/>
      <c r="M210" s="312"/>
      <c r="N210" s="312"/>
      <c r="P210" s="312"/>
      <c r="Q210" s="312"/>
    </row>
    <row r="211" spans="1:17" ht="13.5" thickBot="1">
      <c r="A211" s="389"/>
      <c r="B211" s="335"/>
      <c r="C211" s="336"/>
      <c r="D211" s="337" t="s">
        <v>843</v>
      </c>
      <c r="E211" s="353"/>
      <c r="F211" s="337" t="s">
        <v>850</v>
      </c>
      <c r="G211" s="433"/>
      <c r="H211" s="336"/>
      <c r="I211" s="337" t="s">
        <v>851</v>
      </c>
      <c r="J211" s="336"/>
      <c r="K211" s="336"/>
      <c r="L211" s="312"/>
      <c r="M211" s="312"/>
      <c r="N211" s="312"/>
      <c r="P211" s="312"/>
      <c r="Q211" s="312"/>
    </row>
    <row r="212" spans="1:17">
      <c r="A212" s="389">
        <v>27</v>
      </c>
      <c r="B212" s="800" t="s">
        <v>1078</v>
      </c>
      <c r="C212" s="336" t="str">
        <f>+"Appendix A Line "&amp;+'Appendix A'!A197&amp;" "&amp;$L$6&amp;" Column"</f>
        <v>Appendix A Line 130 Projected Column</v>
      </c>
      <c r="D212" s="334">
        <f>IF($L$10=0,'Appendix A'!H197,'Appendix A'!G197)</f>
        <v>2393116985</v>
      </c>
      <c r="E212" s="353"/>
      <c r="F212" s="1526">
        <f>IF(D$215=0,0,+D212/D$215)</f>
        <v>0.5516835151086229</v>
      </c>
      <c r="G212" s="421">
        <f>IF($L$10=0,'Appendix A'!H209,'Appendix A'!G209)</f>
        <v>3.8691796739462075E-2</v>
      </c>
      <c r="H212" s="342"/>
      <c r="I212" s="449">
        <f>F212*G212</f>
        <v>2.1345626431094791E-2</v>
      </c>
      <c r="J212" s="448" t="s">
        <v>846</v>
      </c>
      <c r="K212" s="450" t="s">
        <v>852</v>
      </c>
      <c r="L212" s="312"/>
      <c r="M212" s="312"/>
      <c r="N212" s="312"/>
      <c r="P212" s="312"/>
      <c r="Q212" s="312"/>
    </row>
    <row r="213" spans="1:17">
      <c r="A213" s="389">
        <f t="shared" si="9"/>
        <v>28</v>
      </c>
      <c r="B213" s="800" t="s">
        <v>1079</v>
      </c>
      <c r="C213" s="336" t="str">
        <f>+"Appendix A Line "&amp;+'Appendix A'!A200&amp;" "&amp;$L$6&amp;" Column"</f>
        <v>Appendix A Line 133 Projected Column</v>
      </c>
      <c r="D213" s="334">
        <f>IF($L$10=0,'Appendix A'!H200,'Appendix A'!G200)</f>
        <v>114733614.75</v>
      </c>
      <c r="E213" s="353"/>
      <c r="F213" s="1526">
        <f t="shared" ref="F213:F214" si="10">IF(D$215=0,0,+D213/D$215)</f>
        <v>2.6449456622112667E-2</v>
      </c>
      <c r="G213" s="421">
        <f>IF($L$10=0,'Appendix A'!H210,'Appendix A'!G210)</f>
        <v>5.9905896061729372E-2</v>
      </c>
      <c r="H213" s="342"/>
      <c r="I213" s="449">
        <f>F213*G213</f>
        <v>1.5844783992935011E-3</v>
      </c>
      <c r="J213" s="336"/>
      <c r="K213" s="347"/>
      <c r="L213" s="312"/>
      <c r="M213" s="312"/>
      <c r="N213" s="312"/>
      <c r="P213" s="312"/>
      <c r="Q213" s="312"/>
    </row>
    <row r="214" spans="1:17" ht="13.5" thickBot="1">
      <c r="A214" s="389">
        <f t="shared" si="9"/>
        <v>29</v>
      </c>
      <c r="B214" s="800" t="s">
        <v>247</v>
      </c>
      <c r="C214" s="336" t="str">
        <f>+"Appendix A Line "&amp;+'Appendix A'!A202&amp;" "&amp;$L$6&amp;" Column"</f>
        <v>Appendix A Line 135 Projected Column</v>
      </c>
      <c r="D214" s="392">
        <f>IF($L$10=0,'Appendix A'!H202,'Appendix A'!G202)</f>
        <v>1829993326.0900002</v>
      </c>
      <c r="E214" s="353"/>
      <c r="F214" s="1526">
        <f t="shared" si="10"/>
        <v>0.42186702826926437</v>
      </c>
      <c r="G214" s="421">
        <f>IF($L$10=0,'Appendix A'!H211,'Appendix A'!G211)</f>
        <v>0.12379999999999999</v>
      </c>
      <c r="H214" s="347"/>
      <c r="I214" s="451">
        <f>F214*G214</f>
        <v>5.2227138099734928E-2</v>
      </c>
      <c r="J214" s="336"/>
      <c r="K214" s="347"/>
      <c r="L214" s="312"/>
      <c r="M214" s="312"/>
      <c r="N214" s="312"/>
      <c r="P214" s="312"/>
      <c r="Q214" s="312"/>
    </row>
    <row r="215" spans="1:17">
      <c r="A215" s="389">
        <f t="shared" si="9"/>
        <v>30</v>
      </c>
      <c r="B215" s="335" t="s">
        <v>199</v>
      </c>
      <c r="C215" s="347" t="str">
        <f>+"(Sum of Lines "&amp;A212&amp;" to "&amp;A214&amp;")"</f>
        <v>(Sum of Lines 27 to 29)</v>
      </c>
      <c r="D215" s="452">
        <f>SUM(D212:D214)</f>
        <v>4337843925.8400002</v>
      </c>
      <c r="E215" s="342" t="s">
        <v>259</v>
      </c>
      <c r="F215" s="342"/>
      <c r="G215" s="336"/>
      <c r="H215" s="336"/>
      <c r="I215" s="449">
        <f>SUM(I212:I214)</f>
        <v>7.5157242930123214E-2</v>
      </c>
      <c r="J215" s="448" t="s">
        <v>846</v>
      </c>
      <c r="K215" s="347" t="s">
        <v>566</v>
      </c>
      <c r="L215" s="312"/>
      <c r="M215" s="312"/>
      <c r="N215" s="312"/>
      <c r="P215" s="312"/>
      <c r="Q215" s="312"/>
    </row>
    <row r="216" spans="1:17">
      <c r="A216" s="389"/>
      <c r="B216" s="347"/>
      <c r="C216" s="347"/>
      <c r="D216" s="347"/>
      <c r="E216" s="336"/>
      <c r="F216" s="336"/>
      <c r="G216" s="336"/>
      <c r="H216" s="336"/>
      <c r="I216" s="347"/>
      <c r="J216" s="347"/>
      <c r="K216" s="347"/>
      <c r="L216" s="312"/>
      <c r="M216" s="312"/>
      <c r="N216" s="312"/>
      <c r="P216" s="312"/>
      <c r="Q216" s="312"/>
    </row>
    <row r="217" spans="1:17">
      <c r="A217" s="389"/>
      <c r="B217" s="319" t="s">
        <v>853</v>
      </c>
      <c r="C217" s="320"/>
      <c r="D217" s="320"/>
      <c r="E217" s="320"/>
      <c r="F217" s="320"/>
      <c r="G217" s="320"/>
      <c r="H217" s="320"/>
      <c r="I217" s="320"/>
      <c r="J217" s="320"/>
      <c r="K217" s="320"/>
      <c r="L217" s="312"/>
      <c r="M217" s="312"/>
      <c r="N217" s="312"/>
      <c r="P217" s="312"/>
      <c r="Q217" s="312"/>
    </row>
    <row r="218" spans="1:17">
      <c r="A218" s="389"/>
      <c r="B218" s="319"/>
      <c r="C218" s="319"/>
      <c r="D218" s="319"/>
      <c r="E218" s="319"/>
      <c r="F218" s="319"/>
      <c r="G218" s="319"/>
      <c r="H218" s="319"/>
      <c r="I218" s="455"/>
      <c r="J218" s="357"/>
      <c r="K218" s="347"/>
      <c r="L218" s="312"/>
      <c r="M218" s="312"/>
      <c r="N218" s="312"/>
      <c r="P218" s="312"/>
      <c r="Q218" s="312"/>
    </row>
    <row r="219" spans="1:17">
      <c r="A219" s="389"/>
      <c r="B219" s="319" t="s">
        <v>854</v>
      </c>
      <c r="C219" s="320"/>
      <c r="D219" s="320"/>
      <c r="E219" s="320"/>
      <c r="F219" s="320"/>
      <c r="G219" s="453" t="s">
        <v>259</v>
      </c>
      <c r="H219" s="454"/>
      <c r="I219" s="455"/>
      <c r="J219" s="455"/>
      <c r="K219" s="347"/>
      <c r="L219" s="312"/>
      <c r="M219" s="312"/>
      <c r="N219" s="312"/>
      <c r="P219" s="312"/>
      <c r="Q219" s="312"/>
    </row>
    <row r="220" spans="1:17">
      <c r="A220" s="389">
        <f>+A215+1</f>
        <v>31</v>
      </c>
      <c r="B220" s="801" t="s">
        <v>1358</v>
      </c>
      <c r="C220" s="320"/>
      <c r="D220" s="320"/>
      <c r="E220" s="347"/>
      <c r="F220" s="320"/>
      <c r="G220" s="347"/>
      <c r="H220" s="454"/>
      <c r="I220" s="456"/>
      <c r="J220" s="457"/>
      <c r="K220" s="347"/>
      <c r="L220" s="312"/>
      <c r="M220" s="312"/>
      <c r="N220" s="312"/>
      <c r="P220" s="312"/>
      <c r="Q220" s="312"/>
    </row>
    <row r="221" spans="1:17" ht="13.5" thickBot="1">
      <c r="A221" s="389">
        <f>+A220+1</f>
        <v>32</v>
      </c>
      <c r="B221" s="805" t="s">
        <v>1358</v>
      </c>
      <c r="C221" s="439"/>
      <c r="D221" s="1092"/>
      <c r="E221" s="1093"/>
      <c r="F221" s="1093"/>
      <c r="G221" s="1093"/>
      <c r="H221" s="320"/>
      <c r="I221" s="458"/>
      <c r="J221" s="459"/>
      <c r="K221" s="347"/>
      <c r="N221" s="312"/>
      <c r="P221" s="312"/>
      <c r="Q221" s="312"/>
    </row>
    <row r="222" spans="1:17">
      <c r="A222" s="389">
        <f>+A221+1</f>
        <v>33</v>
      </c>
      <c r="B222" s="359" t="s">
        <v>308</v>
      </c>
      <c r="C222" s="347" t="str">
        <f>+"(Sum of Line "&amp;A220&amp;" + Line "&amp;A221&amp;")"</f>
        <v>(Sum of Line 31 + Line 32)</v>
      </c>
      <c r="D222" s="347"/>
      <c r="E222" s="320"/>
      <c r="F222" s="320"/>
      <c r="G222" s="320"/>
      <c r="H222" s="320"/>
      <c r="I222" s="1285">
        <f>I220+I221</f>
        <v>0</v>
      </c>
      <c r="J222" s="457"/>
      <c r="K222" s="347"/>
      <c r="N222" s="312"/>
      <c r="P222" s="312"/>
      <c r="Q222" s="312"/>
    </row>
    <row r="223" spans="1:17">
      <c r="A223" s="389"/>
      <c r="B223" s="359"/>
      <c r="C223" s="326"/>
      <c r="D223" s="347"/>
      <c r="E223" s="320"/>
      <c r="F223" s="320"/>
      <c r="G223" s="320"/>
      <c r="H223" s="320"/>
      <c r="I223" s="460"/>
      <c r="J223" s="455"/>
      <c r="K223" s="347"/>
      <c r="N223" s="312"/>
      <c r="P223" s="312"/>
      <c r="Q223" s="312"/>
    </row>
    <row r="224" spans="1:17">
      <c r="A224" s="389">
        <f>+A222+1</f>
        <v>34</v>
      </c>
      <c r="B224" s="1075" t="s">
        <v>1224</v>
      </c>
      <c r="C224" s="326" t="str">
        <f>+"Appendix A Line "&amp;+'Appendix A'!A271&amp;" "&amp;$L$6&amp;" Column"</f>
        <v>Appendix A Line 180 Projected Column</v>
      </c>
      <c r="D224" s="353"/>
      <c r="E224" s="320"/>
      <c r="F224" s="320"/>
      <c r="G224" s="461"/>
      <c r="H224" s="320"/>
      <c r="I224" s="334">
        <f>IF($L$10=0,'Appendix A'!H271,'Appendix A'!G271)</f>
        <v>56780.578827923804</v>
      </c>
      <c r="J224" s="455"/>
      <c r="K224" s="462"/>
      <c r="N224" s="312"/>
      <c r="P224" s="312"/>
      <c r="Q224" s="312"/>
    </row>
    <row r="225" spans="1:17">
      <c r="A225" s="389"/>
      <c r="B225" s="1075"/>
      <c r="C225" s="326"/>
      <c r="D225" s="353"/>
      <c r="E225" s="320"/>
      <c r="F225" s="320"/>
      <c r="G225" s="461"/>
      <c r="H225" s="320"/>
      <c r="I225" s="334"/>
      <c r="J225" s="455"/>
      <c r="K225" s="462"/>
      <c r="N225" s="312"/>
      <c r="P225" s="312"/>
      <c r="Q225" s="312"/>
    </row>
    <row r="226" spans="1:17">
      <c r="A226" s="389"/>
      <c r="B226" s="1075" t="s">
        <v>1260</v>
      </c>
      <c r="C226" s="320"/>
      <c r="D226" s="320"/>
      <c r="E226" s="320"/>
      <c r="F226" s="320"/>
      <c r="G226" s="320"/>
      <c r="H226" s="320"/>
      <c r="I226" s="460"/>
      <c r="J226" s="455"/>
      <c r="K226" s="462"/>
      <c r="N226" s="312"/>
      <c r="P226" s="312"/>
      <c r="Q226" s="312"/>
    </row>
    <row r="227" spans="1:17">
      <c r="A227" s="389">
        <f>+A224+1</f>
        <v>35</v>
      </c>
      <c r="B227" s="800" t="s">
        <v>1282</v>
      </c>
      <c r="C227" s="336" t="str">
        <f>+"Appendix A Line "&amp;+'Appendix A'!A280&amp;" "&amp;$L$6&amp;" Column"</f>
        <v>Appendix A Line 187 Projected Column</v>
      </c>
      <c r="D227" s="353"/>
      <c r="E227" s="336"/>
      <c r="F227" s="336"/>
      <c r="G227" s="336"/>
      <c r="H227" s="336"/>
      <c r="I227" s="334">
        <f>IF($L$10=0,'Appendix A'!H280,'Appendix A'!G280)</f>
        <v>67115250.650000006</v>
      </c>
      <c r="J227" s="464"/>
      <c r="K227" s="463"/>
      <c r="N227" s="312"/>
      <c r="P227" s="312"/>
      <c r="Q227" s="312"/>
    </row>
    <row r="228" spans="1:17">
      <c r="A228" s="389">
        <f>+A227+1</f>
        <v>36</v>
      </c>
      <c r="B228" s="801" t="s">
        <v>1286</v>
      </c>
      <c r="C228" s="336" t="str">
        <f>+"Appendix A Line "&amp;+'Appendix A'!A281&amp;" "&amp;$L$6&amp;" Column"</f>
        <v>Appendix A Line 188 Projected Column</v>
      </c>
      <c r="D228" s="336"/>
      <c r="E228" s="336"/>
      <c r="F228" s="336"/>
      <c r="G228" s="336"/>
      <c r="H228" s="336"/>
      <c r="I228" s="334">
        <f>IF($L$10=0,'Appendix A'!H281,'Appendix A'!G281)</f>
        <v>65320517.820000008</v>
      </c>
      <c r="J228" s="464"/>
      <c r="K228" s="463"/>
      <c r="N228" s="312"/>
      <c r="P228" s="312"/>
      <c r="Q228" s="312"/>
    </row>
    <row r="229" spans="1:17">
      <c r="A229" s="389" t="s">
        <v>1137</v>
      </c>
      <c r="B229" s="801" t="s">
        <v>1225</v>
      </c>
      <c r="C229" s="336" t="str">
        <f>+"Appendix A Line "&amp;+'Appendix A'!A282&amp;" "&amp;$L$6&amp;" Column"</f>
        <v>Appendix A Line 189 Projected Column</v>
      </c>
      <c r="D229" s="336"/>
      <c r="E229" s="336"/>
      <c r="F229" s="336"/>
      <c r="G229" s="336"/>
      <c r="H229" s="336"/>
      <c r="I229" s="334">
        <f>IF($L$10=0,'Appendix A'!H282,'Appendix A'!G282)</f>
        <v>0</v>
      </c>
      <c r="J229" s="464"/>
      <c r="K229" s="463"/>
      <c r="N229" s="312"/>
      <c r="P229" s="312"/>
      <c r="Q229" s="312"/>
    </row>
    <row r="230" spans="1:17" ht="13.5" thickBot="1">
      <c r="A230" s="389" t="s">
        <v>1138</v>
      </c>
      <c r="B230" s="805" t="s">
        <v>1226</v>
      </c>
      <c r="C230" s="439" t="str">
        <f>+"Appendix A Line "&amp;+'Appendix A'!A283&amp;" "&amp;$L$6&amp;" Column"</f>
        <v>Appendix A Line 190 Projected Column</v>
      </c>
      <c r="D230" s="439"/>
      <c r="E230" s="439"/>
      <c r="F230" s="439"/>
      <c r="G230" s="439"/>
      <c r="H230" s="336"/>
      <c r="I230" s="458">
        <f>IF($L$10=0,'Appendix A'!H283,'Appendix A'!G283)</f>
        <v>0</v>
      </c>
      <c r="J230" s="464"/>
      <c r="K230" s="463"/>
      <c r="N230" s="312"/>
      <c r="P230" s="312"/>
      <c r="Q230" s="312"/>
    </row>
    <row r="231" spans="1:17">
      <c r="A231" s="389">
        <f>+A228+1</f>
        <v>37</v>
      </c>
      <c r="B231" s="946" t="s">
        <v>308</v>
      </c>
      <c r="C231" s="336" t="str">
        <f>+"(Line "&amp;A227&amp;" - Line "&amp;A228&amp;" - Line "&amp;A229&amp;" - Line "&amp;A230&amp;")"</f>
        <v>(Line 35 - Line 36 - Line 36a - Line 36b)</v>
      </c>
      <c r="D231" s="336"/>
      <c r="E231" s="336"/>
      <c r="F231" s="336"/>
      <c r="G231" s="336"/>
      <c r="H231" s="320"/>
      <c r="I231" s="465">
        <f>+I227-I228-I229-I230</f>
        <v>1794732.8299999982</v>
      </c>
      <c r="J231" s="464"/>
      <c r="K231" s="464"/>
      <c r="N231" s="312"/>
      <c r="P231" s="312"/>
      <c r="Q231" s="312"/>
    </row>
    <row r="232" spans="1:17">
      <c r="A232" s="389"/>
      <c r="B232" s="353"/>
      <c r="C232" s="389"/>
      <c r="D232" s="336"/>
      <c r="E232" s="336"/>
      <c r="F232" s="336"/>
      <c r="G232" s="336"/>
      <c r="H232" s="320"/>
      <c r="I232" s="466"/>
      <c r="J232" s="464"/>
      <c r="K232" s="464"/>
      <c r="N232" s="312"/>
      <c r="P232" s="312"/>
      <c r="Q232" s="312"/>
    </row>
    <row r="233" spans="1:17">
      <c r="A233" s="353"/>
      <c r="B233" s="353" t="s">
        <v>855</v>
      </c>
      <c r="C233" s="353"/>
      <c r="D233" s="353"/>
      <c r="E233" s="353"/>
      <c r="F233" s="353"/>
      <c r="G233" s="353"/>
      <c r="H233" s="353"/>
      <c r="I233" s="353"/>
      <c r="J233" s="353"/>
      <c r="K233" s="353"/>
      <c r="N233" s="312"/>
      <c r="P233" s="312"/>
      <c r="Q233" s="312"/>
    </row>
    <row r="234" spans="1:17" ht="15.75">
      <c r="A234" s="389">
        <f>+A231+1</f>
        <v>38</v>
      </c>
      <c r="B234" s="806" t="s">
        <v>856</v>
      </c>
      <c r="C234" s="336" t="str">
        <f>+"Appendix A Line "&amp;+'Appendix A'!A223&amp;" "&amp;$L$6&amp;" Column"</f>
        <v>Appendix A Line 147 Projected Column</v>
      </c>
      <c r="D234" s="421">
        <f>IF($L$10=0,'Appendix A'!H223,'Appendix A'!G223)</f>
        <v>0.35</v>
      </c>
      <c r="E234" s="467"/>
      <c r="F234" s="353"/>
      <c r="G234" s="467"/>
      <c r="H234" s="468"/>
      <c r="I234" s="468"/>
      <c r="J234" s="468"/>
      <c r="K234" s="468"/>
      <c r="N234" s="312"/>
      <c r="P234" s="312"/>
      <c r="Q234" s="312"/>
    </row>
    <row r="235" spans="1:17" ht="15.75">
      <c r="A235" s="389">
        <f>+A234+1</f>
        <v>39</v>
      </c>
      <c r="B235" s="806" t="s">
        <v>857</v>
      </c>
      <c r="C235" s="336" t="str">
        <f>+"Appendix A Line "&amp;+'Appendix A'!A224&amp;" "&amp;$L$6&amp;" Column"</f>
        <v>Appendix A Line 148 Projected Column</v>
      </c>
      <c r="D235" s="421">
        <f>IF($L$10=0,'Appendix A'!H224,'Appendix A'!G224)</f>
        <v>6.5000000000000002E-2</v>
      </c>
      <c r="E235" s="353"/>
      <c r="F235" s="919" t="s">
        <v>858</v>
      </c>
      <c r="G235" s="467"/>
      <c r="H235" s="467"/>
      <c r="I235" s="467"/>
      <c r="J235" s="467"/>
      <c r="K235" s="467"/>
      <c r="L235" s="469"/>
      <c r="M235" s="469"/>
      <c r="N235" s="312"/>
      <c r="P235" s="312"/>
      <c r="Q235" s="312"/>
    </row>
    <row r="236" spans="1:17" ht="15.75">
      <c r="A236" s="389">
        <f>+A235+1</f>
        <v>40</v>
      </c>
      <c r="B236" s="806" t="s">
        <v>859</v>
      </c>
      <c r="C236" s="336" t="str">
        <f>+"Appendix A Line "&amp;+'Appendix A'!A225&amp;" "&amp;$L$6&amp;" Column"</f>
        <v>Appendix A Line 149 Projected Column</v>
      </c>
      <c r="D236" s="421">
        <f>IF($L$10=0,'Appendix A'!H225,'Appendix A'!G225)</f>
        <v>0</v>
      </c>
      <c r="E236" s="353"/>
      <c r="F236" s="919" t="s">
        <v>1083</v>
      </c>
      <c r="G236" s="467"/>
      <c r="H236" s="467"/>
      <c r="I236" s="467"/>
      <c r="J236" s="467"/>
      <c r="K236" s="467"/>
      <c r="L236" s="470"/>
      <c r="M236" s="470"/>
      <c r="N236" s="312"/>
      <c r="P236" s="312"/>
      <c r="Q236" s="312"/>
    </row>
    <row r="237" spans="1:17" ht="8.25" customHeight="1">
      <c r="A237" s="353"/>
      <c r="B237" s="353"/>
      <c r="C237" s="353"/>
      <c r="D237" s="353"/>
      <c r="E237" s="353"/>
      <c r="F237" s="353"/>
      <c r="G237" s="353"/>
      <c r="H237" s="353"/>
      <c r="I237" s="353"/>
      <c r="J237" s="353"/>
      <c r="L237" s="470"/>
      <c r="M237" s="470"/>
    </row>
    <row r="238" spans="1:17">
      <c r="A238" s="353" t="s">
        <v>746</v>
      </c>
      <c r="B238" s="353"/>
      <c r="C238" s="353"/>
      <c r="D238" s="353"/>
      <c r="E238" s="353"/>
      <c r="F238" s="353"/>
      <c r="G238" s="353"/>
      <c r="H238" s="353"/>
      <c r="I238" s="353"/>
      <c r="J238" s="353"/>
    </row>
    <row r="239" spans="1:17">
      <c r="A239" s="1286" t="s">
        <v>367</v>
      </c>
      <c r="B239" s="353" t="s">
        <v>1359</v>
      </c>
      <c r="C239" s="353"/>
      <c r="D239" s="353"/>
      <c r="E239" s="353"/>
      <c r="F239" s="353"/>
      <c r="G239" s="353"/>
      <c r="H239" s="353"/>
      <c r="I239" s="353"/>
      <c r="J239" s="353"/>
    </row>
    <row r="240" spans="1:17">
      <c r="A240" s="353"/>
      <c r="B240" s="353"/>
      <c r="C240" s="353"/>
      <c r="D240" s="353"/>
      <c r="E240" s="353"/>
      <c r="F240" s="353"/>
      <c r="G240" s="353"/>
      <c r="H240" s="353"/>
      <c r="I240" s="353"/>
      <c r="J240" s="353"/>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0" fitToHeight="6" orientation="landscape" r:id="rId1"/>
  <rowBreaks count="3" manualBreakCount="3">
    <brk id="53" max="10" man="1"/>
    <brk id="113" max="10" man="1"/>
    <brk id="1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
  <sheetViews>
    <sheetView topLeftCell="H1" zoomScaleNormal="100" workbookViewId="0">
      <selection activeCell="D9" sqref="D9:P10"/>
    </sheetView>
  </sheetViews>
  <sheetFormatPr defaultColWidth="9.140625" defaultRowHeight="12.75"/>
  <cols>
    <col min="1" max="1" width="3.140625" style="812" bestFit="1" customWidth="1"/>
    <col min="2" max="2" width="5.28515625" style="44" customWidth="1"/>
    <col min="3" max="3" width="19.7109375" style="44" bestFit="1" customWidth="1"/>
    <col min="4" max="15" width="11.28515625" style="44" bestFit="1" customWidth="1"/>
    <col min="16" max="17" width="11.42578125" style="44" bestFit="1" customWidth="1"/>
    <col min="18" max="16384" width="9.140625" style="44"/>
  </cols>
  <sheetData>
    <row r="1" spans="1:19" s="66" customFormat="1">
      <c r="A1" s="1714" t="str">
        <f>+'MISO Cover'!C6</f>
        <v>Entergy Arkansas, Inc.</v>
      </c>
      <c r="B1" s="1714"/>
      <c r="C1" s="1714"/>
      <c r="D1" s="1714"/>
      <c r="E1" s="1714"/>
      <c r="F1" s="1714"/>
      <c r="G1" s="1714"/>
      <c r="H1" s="1714"/>
      <c r="I1" s="1714"/>
      <c r="J1" s="1714"/>
      <c r="K1" s="1714"/>
      <c r="L1" s="1714"/>
      <c r="M1" s="1714"/>
      <c r="N1" s="1714"/>
      <c r="O1" s="1714"/>
      <c r="P1" s="1714"/>
      <c r="Q1" s="1714"/>
    </row>
    <row r="2" spans="1:19" s="66" customFormat="1">
      <c r="A2" s="1706" t="s">
        <v>1453</v>
      </c>
      <c r="B2" s="1706"/>
      <c r="C2" s="1706"/>
      <c r="D2" s="1706"/>
      <c r="E2" s="1706"/>
      <c r="F2" s="1706"/>
      <c r="G2" s="1706"/>
      <c r="H2" s="1706"/>
      <c r="I2" s="1706"/>
      <c r="J2" s="1706"/>
      <c r="K2" s="1706"/>
      <c r="L2" s="1706"/>
      <c r="M2" s="1706"/>
      <c r="N2" s="1706"/>
      <c r="O2" s="1706"/>
      <c r="P2" s="1706"/>
      <c r="Q2" s="1706"/>
    </row>
    <row r="3" spans="1:19" s="66" customFormat="1">
      <c r="A3" s="1714" t="str">
        <f>+'MISO Cover'!K4</f>
        <v>For  the 12 Months Ended 12/31/2014</v>
      </c>
      <c r="B3" s="1714"/>
      <c r="C3" s="1714"/>
      <c r="D3" s="1714"/>
      <c r="E3" s="1714"/>
      <c r="F3" s="1714"/>
      <c r="G3" s="1714"/>
      <c r="H3" s="1714"/>
      <c r="I3" s="1714"/>
      <c r="J3" s="1714"/>
      <c r="K3" s="1714"/>
      <c r="L3" s="1714"/>
      <c r="M3" s="1714"/>
      <c r="N3" s="1714"/>
      <c r="O3" s="1714"/>
      <c r="P3" s="1714"/>
      <c r="Q3" s="1714"/>
    </row>
    <row r="4" spans="1:19" s="66" customFormat="1">
      <c r="A4" s="245"/>
      <c r="B4" s="860"/>
      <c r="C4" s="44"/>
      <c r="D4" s="44"/>
      <c r="E4" s="243"/>
      <c r="F4" s="81"/>
      <c r="G4" s="81"/>
      <c r="H4" s="81"/>
      <c r="I4" s="81"/>
    </row>
    <row r="5" spans="1:19" s="66" customFormat="1">
      <c r="A5" s="245"/>
      <c r="B5" s="808"/>
      <c r="C5" s="808"/>
      <c r="D5" s="808"/>
      <c r="E5" s="808"/>
      <c r="F5" s="808"/>
      <c r="G5" s="808"/>
      <c r="H5" s="808"/>
      <c r="I5" s="808"/>
      <c r="J5" s="808"/>
      <c r="K5" s="808"/>
      <c r="L5" s="808"/>
      <c r="M5" s="808"/>
      <c r="N5" s="808"/>
      <c r="O5" s="808"/>
      <c r="P5" s="808"/>
      <c r="Q5" s="808"/>
    </row>
    <row r="6" spans="1:19" s="812" customFormat="1">
      <c r="A6" s="812" t="s">
        <v>663</v>
      </c>
      <c r="B6" s="812" t="s">
        <v>261</v>
      </c>
      <c r="C6" s="812" t="s">
        <v>309</v>
      </c>
      <c r="D6" s="812" t="s">
        <v>249</v>
      </c>
      <c r="E6" s="812" t="s">
        <v>262</v>
      </c>
      <c r="F6" s="812" t="s">
        <v>260</v>
      </c>
      <c r="G6" s="812" t="s">
        <v>351</v>
      </c>
      <c r="H6" s="812" t="s">
        <v>263</v>
      </c>
      <c r="I6" s="812" t="s">
        <v>364</v>
      </c>
      <c r="J6" s="812" t="s">
        <v>253</v>
      </c>
      <c r="K6" s="812" t="s">
        <v>254</v>
      </c>
      <c r="L6" s="812" t="s">
        <v>265</v>
      </c>
      <c r="M6" s="812" t="s">
        <v>293</v>
      </c>
      <c r="N6" s="812" t="s">
        <v>294</v>
      </c>
      <c r="O6" s="812" t="s">
        <v>352</v>
      </c>
      <c r="P6" s="812" t="s">
        <v>563</v>
      </c>
      <c r="Q6" s="812" t="s">
        <v>564</v>
      </c>
    </row>
    <row r="7" spans="1:19" s="66" customFormat="1">
      <c r="A7" s="245"/>
      <c r="B7" s="289"/>
      <c r="C7" s="286"/>
      <c r="D7" s="45"/>
      <c r="E7" s="45"/>
      <c r="F7" s="45"/>
      <c r="G7" s="45"/>
      <c r="H7" s="45"/>
      <c r="I7" s="45"/>
      <c r="J7" s="45"/>
      <c r="K7" s="45"/>
      <c r="L7" s="45"/>
      <c r="M7" s="45"/>
      <c r="N7" s="45"/>
      <c r="O7" s="45"/>
      <c r="P7" s="45"/>
      <c r="Q7" s="511" t="s">
        <v>242</v>
      </c>
      <c r="R7" s="82"/>
    </row>
    <row r="8" spans="1:19" s="245" customFormat="1">
      <c r="A8" s="245">
        <v>1</v>
      </c>
      <c r="B8" s="1261" t="s">
        <v>914</v>
      </c>
      <c r="C8" s="1261" t="s">
        <v>307</v>
      </c>
      <c r="D8" s="1601" t="s">
        <v>231</v>
      </c>
      <c r="E8" s="1601" t="s">
        <v>221</v>
      </c>
      <c r="F8" s="1601" t="s">
        <v>222</v>
      </c>
      <c r="G8" s="1601" t="s">
        <v>223</v>
      </c>
      <c r="H8" s="1601" t="s">
        <v>224</v>
      </c>
      <c r="I8" s="1601" t="s">
        <v>220</v>
      </c>
      <c r="J8" s="1601" t="s">
        <v>225</v>
      </c>
      <c r="K8" s="1601" t="s">
        <v>226</v>
      </c>
      <c r="L8" s="1601" t="s">
        <v>227</v>
      </c>
      <c r="M8" s="1601" t="s">
        <v>228</v>
      </c>
      <c r="N8" s="1601" t="s">
        <v>229</v>
      </c>
      <c r="O8" s="1601" t="s">
        <v>230</v>
      </c>
      <c r="P8" s="1601" t="s">
        <v>231</v>
      </c>
      <c r="Q8" s="1261" t="s">
        <v>336</v>
      </c>
      <c r="R8" s="253"/>
    </row>
    <row r="9" spans="1:19" s="66" customFormat="1">
      <c r="A9" s="245">
        <f>+A8+1</f>
        <v>2</v>
      </c>
      <c r="B9" s="572">
        <v>154</v>
      </c>
      <c r="C9" s="287" t="s">
        <v>972</v>
      </c>
      <c r="D9" s="208">
        <v>17154961.460000001</v>
      </c>
      <c r="E9" s="208">
        <v>14742464.76</v>
      </c>
      <c r="F9" s="208">
        <v>15534085.810000001</v>
      </c>
      <c r="G9" s="208">
        <v>16736505.77</v>
      </c>
      <c r="H9" s="208">
        <v>18511821.280000001</v>
      </c>
      <c r="I9" s="208">
        <v>15663649.92</v>
      </c>
      <c r="J9" s="208">
        <v>14931761.640000001</v>
      </c>
      <c r="K9" s="208">
        <v>18634006.600000001</v>
      </c>
      <c r="L9" s="208">
        <v>18769842.309999999</v>
      </c>
      <c r="M9" s="208">
        <v>18300552.719999999</v>
      </c>
      <c r="N9" s="208">
        <v>18927265.629999999</v>
      </c>
      <c r="O9" s="208">
        <v>19190466.620000001</v>
      </c>
      <c r="P9" s="208">
        <v>19781271.393362664</v>
      </c>
      <c r="Q9" s="283">
        <f>+SUM(D9:P9)/13</f>
        <v>17452204.301027898</v>
      </c>
      <c r="R9" s="82"/>
      <c r="S9" s="245"/>
    </row>
    <row r="10" spans="1:19" s="66" customFormat="1">
      <c r="A10" s="245">
        <f>+A9+1</f>
        <v>3</v>
      </c>
      <c r="B10" s="283">
        <v>163</v>
      </c>
      <c r="C10" s="282" t="s">
        <v>973</v>
      </c>
      <c r="D10" s="848">
        <v>21043896</v>
      </c>
      <c r="E10" s="848">
        <v>20861788.043900013</v>
      </c>
      <c r="F10" s="848">
        <v>21154031.223900013</v>
      </c>
      <c r="G10" s="848">
        <v>21193903.273900013</v>
      </c>
      <c r="H10" s="848">
        <v>21076444.463900018</v>
      </c>
      <c r="I10" s="848">
        <v>19728628.843900017</v>
      </c>
      <c r="J10" s="848">
        <v>20182479.633900013</v>
      </c>
      <c r="K10" s="848">
        <v>19927520.213900011</v>
      </c>
      <c r="L10" s="848">
        <v>20348080.813900016</v>
      </c>
      <c r="M10" s="848">
        <v>20397451.503900014</v>
      </c>
      <c r="N10" s="848">
        <v>20067040.933900014</v>
      </c>
      <c r="O10" s="848">
        <v>18613182.07390001</v>
      </c>
      <c r="P10" s="848">
        <v>17788970.620000001</v>
      </c>
      <c r="Q10" s="283">
        <f>+SUM(D10:P10)/13</f>
        <v>20183339.818684626</v>
      </c>
      <c r="R10" s="82"/>
    </row>
    <row r="11" spans="1:19" s="66" customFormat="1">
      <c r="A11" s="245"/>
      <c r="B11" s="288"/>
      <c r="C11" s="288"/>
      <c r="D11" s="718"/>
      <c r="E11" s="282"/>
      <c r="F11" s="282"/>
      <c r="G11" s="282"/>
      <c r="H11" s="239"/>
      <c r="I11" s="239"/>
      <c r="J11" s="217"/>
      <c r="K11" s="239"/>
      <c r="L11" s="239"/>
      <c r="M11" s="577"/>
      <c r="N11" s="577"/>
      <c r="O11" s="282"/>
      <c r="P11" s="718"/>
      <c r="Q11" s="282"/>
      <c r="R11" s="82"/>
    </row>
    <row r="12" spans="1:19">
      <c r="A12" s="196" t="s">
        <v>746</v>
      </c>
      <c r="C12" s="196"/>
      <c r="D12" s="196"/>
      <c r="E12" s="196"/>
      <c r="F12" s="196"/>
      <c r="G12" s="196"/>
      <c r="H12" s="196"/>
      <c r="I12" s="196"/>
      <c r="J12" s="196"/>
      <c r="K12" s="196"/>
      <c r="L12" s="196"/>
      <c r="M12" s="196"/>
      <c r="N12" s="196"/>
      <c r="O12" s="196"/>
      <c r="P12" s="196"/>
      <c r="Q12" s="196"/>
      <c r="R12" s="196"/>
    </row>
    <row r="13" spans="1:19">
      <c r="A13" s="847" t="s">
        <v>367</v>
      </c>
      <c r="B13" s="43" t="s">
        <v>1055</v>
      </c>
      <c r="C13" s="43"/>
    </row>
    <row r="14" spans="1:19">
      <c r="A14" s="754" t="s">
        <v>769</v>
      </c>
      <c r="B14" s="43" t="s">
        <v>1056</v>
      </c>
      <c r="C14" s="43"/>
    </row>
    <row r="15" spans="1:19">
      <c r="A15" s="245"/>
      <c r="B15" s="43"/>
      <c r="C15" s="43"/>
    </row>
  </sheetData>
  <mergeCells count="3">
    <mergeCell ref="A2:Q2"/>
    <mergeCell ref="A1:Q1"/>
    <mergeCell ref="A3:Q3"/>
  </mergeCells>
  <pageMargins left="0.7" right="0.7" top="0.7" bottom="0.7" header="0.3" footer="0.5"/>
  <pageSetup scale="65" orientation="landscape" r:id="rId1"/>
  <headerFooter>
    <oddFooter>&amp;CPage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0"/>
  <sheetViews>
    <sheetView topLeftCell="A25" zoomScaleNormal="100" workbookViewId="0">
      <selection activeCell="D9" sqref="D9:P23"/>
    </sheetView>
  </sheetViews>
  <sheetFormatPr defaultColWidth="8.85546875" defaultRowHeight="12.75"/>
  <cols>
    <col min="1" max="1" width="4.85546875" style="1354" customWidth="1"/>
    <col min="2" max="2" width="8.5703125" style="1340" bestFit="1" customWidth="1"/>
    <col min="3" max="3" width="34.5703125" style="1340" bestFit="1" customWidth="1"/>
    <col min="4" max="4" width="11.7109375" style="1340" customWidth="1"/>
    <col min="5" max="5" width="11.42578125" style="1340" bestFit="1" customWidth="1"/>
    <col min="6" max="6" width="12.28515625" style="1340" bestFit="1" customWidth="1"/>
    <col min="7" max="12" width="11.42578125" style="1340" bestFit="1" customWidth="1"/>
    <col min="13" max="13" width="10.42578125" style="1340" bestFit="1" customWidth="1"/>
    <col min="14" max="15" width="11.42578125" style="1340" bestFit="1" customWidth="1"/>
    <col min="16" max="16" width="10.42578125" style="1340" bestFit="1" customWidth="1"/>
    <col min="17" max="17" width="11.42578125" style="1340" bestFit="1" customWidth="1"/>
    <col min="18" max="18" width="8.85546875" style="1338"/>
    <col min="19" max="16384" width="8.85546875" style="1340"/>
  </cols>
  <sheetData>
    <row r="1" spans="1:18" s="44" customFormat="1">
      <c r="A1" s="1714" t="str">
        <f>+'MISO Cover'!C6</f>
        <v>Entergy Arkansas, Inc.</v>
      </c>
      <c r="B1" s="1714"/>
      <c r="C1" s="1714"/>
      <c r="D1" s="1714"/>
      <c r="E1" s="1714"/>
      <c r="F1" s="1714"/>
      <c r="G1" s="1714"/>
      <c r="H1" s="1714"/>
      <c r="I1" s="1714"/>
      <c r="J1" s="1714"/>
      <c r="K1" s="1714"/>
      <c r="L1" s="1714"/>
      <c r="M1" s="1714"/>
      <c r="N1" s="1714"/>
      <c r="O1" s="1714"/>
      <c r="P1" s="1714"/>
      <c r="Q1" s="1714"/>
      <c r="R1" s="43"/>
    </row>
    <row r="2" spans="1:18" s="44" customFormat="1">
      <c r="A2" s="1706" t="s">
        <v>1454</v>
      </c>
      <c r="B2" s="1706"/>
      <c r="C2" s="1706"/>
      <c r="D2" s="1706"/>
      <c r="E2" s="1706"/>
      <c r="F2" s="1706"/>
      <c r="G2" s="1706"/>
      <c r="H2" s="1706"/>
      <c r="I2" s="1706"/>
      <c r="J2" s="1706"/>
      <c r="K2" s="1706"/>
      <c r="L2" s="1706"/>
      <c r="M2" s="1706"/>
      <c r="N2" s="1706"/>
      <c r="O2" s="1706"/>
      <c r="P2" s="1706"/>
      <c r="Q2" s="1706"/>
      <c r="R2" s="43"/>
    </row>
    <row r="3" spans="1:18" s="44" customFormat="1">
      <c r="A3" s="1714" t="str">
        <f>+'MISO Cover'!K4</f>
        <v>For  the 12 Months Ended 12/31/2014</v>
      </c>
      <c r="B3" s="1714"/>
      <c r="C3" s="1714"/>
      <c r="D3" s="1714"/>
      <c r="E3" s="1714"/>
      <c r="F3" s="1714"/>
      <c r="G3" s="1714"/>
      <c r="H3" s="1714"/>
      <c r="I3" s="1714"/>
      <c r="J3" s="1714"/>
      <c r="K3" s="1714"/>
      <c r="L3" s="1714"/>
      <c r="M3" s="1714"/>
      <c r="N3" s="1714"/>
      <c r="O3" s="1714"/>
      <c r="P3" s="1714"/>
      <c r="Q3" s="1714"/>
      <c r="R3" s="43"/>
    </row>
    <row r="4" spans="1:18" s="44" customFormat="1">
      <c r="A4" s="1331"/>
      <c r="B4" s="234"/>
      <c r="C4" s="234"/>
      <c r="D4" s="234"/>
      <c r="E4" s="1332"/>
      <c r="F4" s="1332"/>
      <c r="G4" s="1332"/>
      <c r="H4" s="1332"/>
      <c r="I4" s="1332"/>
      <c r="J4" s="1332"/>
      <c r="K4" s="1332"/>
      <c r="L4" s="1332"/>
      <c r="M4" s="1332"/>
      <c r="R4" s="43"/>
    </row>
    <row r="5" spans="1:18" s="1331" customFormat="1">
      <c r="A5" s="1331" t="s">
        <v>663</v>
      </c>
      <c r="B5" s="1331" t="s">
        <v>261</v>
      </c>
      <c r="C5" s="1331" t="s">
        <v>309</v>
      </c>
      <c r="D5" s="1331" t="s">
        <v>249</v>
      </c>
      <c r="E5" s="1331" t="s">
        <v>262</v>
      </c>
      <c r="F5" s="1331" t="s">
        <v>260</v>
      </c>
      <c r="G5" s="1331" t="s">
        <v>351</v>
      </c>
      <c r="H5" s="1331" t="s">
        <v>263</v>
      </c>
      <c r="I5" s="1331" t="s">
        <v>364</v>
      </c>
      <c r="J5" s="1331" t="s">
        <v>253</v>
      </c>
      <c r="K5" s="1331" t="s">
        <v>254</v>
      </c>
      <c r="L5" s="1331" t="s">
        <v>265</v>
      </c>
      <c r="M5" s="1331" t="s">
        <v>293</v>
      </c>
      <c r="N5" s="1331" t="s">
        <v>294</v>
      </c>
      <c r="O5" s="1331" t="s">
        <v>352</v>
      </c>
      <c r="P5" s="1331" t="s">
        <v>563</v>
      </c>
      <c r="Q5" s="1331" t="s">
        <v>564</v>
      </c>
      <c r="R5" s="1330"/>
    </row>
    <row r="6" spans="1:18" s="44" customFormat="1" ht="13.15" customHeight="1">
      <c r="B6" s="234"/>
      <c r="C6" s="234"/>
      <c r="D6" s="234"/>
      <c r="E6" s="234"/>
      <c r="F6" s="234"/>
      <c r="G6" s="234"/>
      <c r="H6" s="234"/>
      <c r="I6" s="234"/>
      <c r="J6" s="234"/>
      <c r="Q6" s="1745" t="s">
        <v>617</v>
      </c>
      <c r="R6" s="43"/>
    </row>
    <row r="7" spans="1:18" s="1338" customFormat="1">
      <c r="A7" s="1334">
        <v>1</v>
      </c>
      <c r="B7" s="1621" t="s">
        <v>372</v>
      </c>
      <c r="C7" s="1621" t="s">
        <v>631</v>
      </c>
      <c r="D7" s="1601" t="s">
        <v>231</v>
      </c>
      <c r="E7" s="1601" t="s">
        <v>221</v>
      </c>
      <c r="F7" s="1601" t="s">
        <v>222</v>
      </c>
      <c r="G7" s="1601" t="s">
        <v>223</v>
      </c>
      <c r="H7" s="1601" t="s">
        <v>224</v>
      </c>
      <c r="I7" s="1601" t="s">
        <v>220</v>
      </c>
      <c r="J7" s="1601" t="s">
        <v>225</v>
      </c>
      <c r="K7" s="1601" t="s">
        <v>226</v>
      </c>
      <c r="L7" s="1601" t="s">
        <v>227</v>
      </c>
      <c r="M7" s="1601" t="s">
        <v>228</v>
      </c>
      <c r="N7" s="1601" t="s">
        <v>229</v>
      </c>
      <c r="O7" s="1601" t="s">
        <v>230</v>
      </c>
      <c r="P7" s="1601" t="s">
        <v>231</v>
      </c>
      <c r="Q7" s="1746"/>
    </row>
    <row r="8" spans="1:18">
      <c r="A8" s="1339">
        <f>+A7+1</f>
        <v>2</v>
      </c>
    </row>
    <row r="9" spans="1:18">
      <c r="A9" s="1608">
        <f>+A8+0.01</f>
        <v>2.0099999999999998</v>
      </c>
      <c r="B9" s="43" t="s">
        <v>618</v>
      </c>
      <c r="C9" s="1338" t="s">
        <v>278</v>
      </c>
      <c r="D9" s="222">
        <v>426166.71</v>
      </c>
      <c r="E9" s="222">
        <v>443197.26</v>
      </c>
      <c r="F9" s="222">
        <v>448604.59</v>
      </c>
      <c r="G9" s="222">
        <v>453909.59</v>
      </c>
      <c r="H9" s="222">
        <v>436592.93</v>
      </c>
      <c r="I9" s="222">
        <v>435282.95</v>
      </c>
      <c r="J9" s="222">
        <v>435909.82</v>
      </c>
      <c r="K9" s="222">
        <v>412874.7</v>
      </c>
      <c r="L9" s="222">
        <v>411830.46</v>
      </c>
      <c r="M9" s="222">
        <v>397238.72</v>
      </c>
      <c r="N9" s="222">
        <v>374498.14</v>
      </c>
      <c r="O9" s="222">
        <v>392320.25</v>
      </c>
      <c r="P9" s="222">
        <v>391832.35</v>
      </c>
      <c r="Q9" s="80">
        <f t="shared" ref="Q9:Q22" si="0">SUM(D9:P9)/13</f>
        <v>420019.88230769231</v>
      </c>
      <c r="R9" s="555"/>
    </row>
    <row r="10" spans="1:18">
      <c r="A10" s="1608">
        <f t="shared" ref="A10:A24" si="1">+A9+0.01</f>
        <v>2.0199999999999996</v>
      </c>
      <c r="B10" s="43" t="s">
        <v>619</v>
      </c>
      <c r="C10" s="1338" t="s">
        <v>1409</v>
      </c>
      <c r="D10" s="222">
        <v>1765254.98</v>
      </c>
      <c r="E10" s="222">
        <v>1471045.81</v>
      </c>
      <c r="F10" s="222">
        <v>1176836.6399999999</v>
      </c>
      <c r="G10" s="222">
        <v>882627.47</v>
      </c>
      <c r="H10" s="222">
        <v>588418.30000000005</v>
      </c>
      <c r="I10" s="222">
        <v>294209.13</v>
      </c>
      <c r="J10" s="222">
        <v>0</v>
      </c>
      <c r="K10" s="222">
        <v>0</v>
      </c>
      <c r="L10" s="222">
        <v>2747253.34</v>
      </c>
      <c r="M10" s="222">
        <v>2472528.0099999998</v>
      </c>
      <c r="N10" s="222">
        <v>2197802.6800000002</v>
      </c>
      <c r="O10" s="222">
        <v>1923077.35</v>
      </c>
      <c r="P10" s="222">
        <v>1648352.02</v>
      </c>
      <c r="Q10" s="80">
        <f t="shared" si="0"/>
        <v>1320569.6715384612</v>
      </c>
      <c r="R10" s="555"/>
    </row>
    <row r="11" spans="1:18">
      <c r="A11" s="1608">
        <f>+A10+0.01</f>
        <v>2.0299999999999994</v>
      </c>
      <c r="B11" s="43" t="s">
        <v>620</v>
      </c>
      <c r="C11" s="1338" t="s">
        <v>1410</v>
      </c>
      <c r="D11" s="222">
        <v>3071639.05</v>
      </c>
      <c r="E11" s="222">
        <v>3298950.83</v>
      </c>
      <c r="F11" s="222">
        <v>2629725.77</v>
      </c>
      <c r="G11" s="222">
        <v>5040065.67</v>
      </c>
      <c r="H11" s="222">
        <v>4330434.7699999996</v>
      </c>
      <c r="I11" s="222">
        <v>3620803.89</v>
      </c>
      <c r="J11" s="222">
        <v>6076767.21</v>
      </c>
      <c r="K11" s="222">
        <v>5366854.2699999996</v>
      </c>
      <c r="L11" s="222">
        <v>4835341.26</v>
      </c>
      <c r="M11" s="222">
        <v>4126228.33</v>
      </c>
      <c r="N11" s="222">
        <v>3417115.35</v>
      </c>
      <c r="O11" s="222">
        <v>3956950.8</v>
      </c>
      <c r="P11" s="222">
        <v>3709653.78</v>
      </c>
      <c r="Q11" s="80">
        <f t="shared" si="0"/>
        <v>4113886.998461538</v>
      </c>
      <c r="R11" s="555"/>
    </row>
    <row r="12" spans="1:18">
      <c r="A12" s="1608">
        <f t="shared" si="1"/>
        <v>2.0399999999999991</v>
      </c>
      <c r="B12" s="43" t="s">
        <v>621</v>
      </c>
      <c r="C12" s="1338" t="s">
        <v>1411</v>
      </c>
      <c r="D12" s="222">
        <v>0</v>
      </c>
      <c r="E12" s="222">
        <v>0</v>
      </c>
      <c r="F12" s="222">
        <v>0</v>
      </c>
      <c r="G12" s="222">
        <v>0</v>
      </c>
      <c r="H12" s="222">
        <v>226906.67</v>
      </c>
      <c r="I12" s="222">
        <v>198543.34</v>
      </c>
      <c r="J12" s="222">
        <v>170180.01</v>
      </c>
      <c r="K12" s="222">
        <v>141816.68</v>
      </c>
      <c r="L12" s="222">
        <v>113453.35</v>
      </c>
      <c r="M12" s="222">
        <v>85090.02</v>
      </c>
      <c r="N12" s="222">
        <v>56726.69</v>
      </c>
      <c r="O12" s="222">
        <v>28363.360000000001</v>
      </c>
      <c r="P12" s="222">
        <v>0</v>
      </c>
      <c r="Q12" s="80">
        <f t="shared" si="0"/>
        <v>78544.624615384615</v>
      </c>
      <c r="R12" s="555"/>
    </row>
    <row r="13" spans="1:18">
      <c r="A13" s="1608">
        <f t="shared" si="1"/>
        <v>2.0499999999999989</v>
      </c>
      <c r="B13" s="43" t="s">
        <v>622</v>
      </c>
      <c r="C13" s="1338" t="s">
        <v>1412</v>
      </c>
      <c r="D13" s="222">
        <v>1137605.1600000001</v>
      </c>
      <c r="E13" s="222">
        <v>1109249.6800000002</v>
      </c>
      <c r="F13" s="222">
        <v>903422.72000000009</v>
      </c>
      <c r="G13" s="222">
        <v>697595.76</v>
      </c>
      <c r="H13" s="222">
        <v>629012</v>
      </c>
      <c r="I13" s="222">
        <v>957927.53</v>
      </c>
      <c r="J13" s="222">
        <v>1311040.02</v>
      </c>
      <c r="K13" s="222">
        <v>1158886.6400000001</v>
      </c>
      <c r="L13" s="222">
        <v>1006733.26</v>
      </c>
      <c r="M13" s="222">
        <v>854579.88</v>
      </c>
      <c r="N13" s="222">
        <v>702426.49</v>
      </c>
      <c r="O13" s="222">
        <v>550273.10000000009</v>
      </c>
      <c r="P13" s="222">
        <v>398119.71000000008</v>
      </c>
      <c r="Q13" s="80">
        <f t="shared" si="0"/>
        <v>878220.9192307695</v>
      </c>
      <c r="R13" s="555"/>
    </row>
    <row r="14" spans="1:18">
      <c r="A14" s="1608">
        <f>+A13+0.01</f>
        <v>2.0599999999999987</v>
      </c>
      <c r="B14" s="43" t="s">
        <v>623</v>
      </c>
      <c r="C14" s="1338" t="s">
        <v>1413</v>
      </c>
      <c r="D14" s="222">
        <v>69582.13</v>
      </c>
      <c r="E14" s="222">
        <v>57985.1</v>
      </c>
      <c r="F14" s="222">
        <v>46388.07</v>
      </c>
      <c r="G14" s="222">
        <v>34791.040000000001</v>
      </c>
      <c r="H14" s="222">
        <v>23194.01</v>
      </c>
      <c r="I14" s="222">
        <v>11596.98</v>
      </c>
      <c r="J14" s="222">
        <v>0</v>
      </c>
      <c r="K14" s="222">
        <v>126314.85</v>
      </c>
      <c r="L14" s="222">
        <v>114831.67999999999</v>
      </c>
      <c r="M14" s="222">
        <v>103348.51</v>
      </c>
      <c r="N14" s="222">
        <v>91865.34</v>
      </c>
      <c r="O14" s="222">
        <v>80382.17</v>
      </c>
      <c r="P14" s="222">
        <v>68899</v>
      </c>
      <c r="Q14" s="80">
        <f t="shared" si="0"/>
        <v>63782.990769230768</v>
      </c>
      <c r="R14" s="555"/>
    </row>
    <row r="15" spans="1:18">
      <c r="A15" s="1608">
        <f t="shared" si="1"/>
        <v>2.0699999999999985</v>
      </c>
      <c r="B15" s="43" t="s">
        <v>624</v>
      </c>
      <c r="C15" s="1338" t="s">
        <v>1414</v>
      </c>
      <c r="D15" s="222">
        <v>0</v>
      </c>
      <c r="E15" s="222"/>
      <c r="F15" s="222"/>
      <c r="G15" s="222"/>
      <c r="H15" s="222">
        <v>722222.22</v>
      </c>
      <c r="I15" s="222">
        <v>631944.43999999994</v>
      </c>
      <c r="J15" s="222">
        <v>541666.66</v>
      </c>
      <c r="K15" s="222">
        <v>451388.88</v>
      </c>
      <c r="L15" s="222">
        <v>361111.1</v>
      </c>
      <c r="M15" s="222">
        <v>270833.32</v>
      </c>
      <c r="N15" s="222">
        <v>180555.54</v>
      </c>
      <c r="O15" s="222">
        <v>7012.27</v>
      </c>
      <c r="P15" s="222">
        <v>0</v>
      </c>
      <c r="Q15" s="80">
        <f t="shared" si="0"/>
        <v>243594.95615384614</v>
      </c>
      <c r="R15" s="555"/>
    </row>
    <row r="16" spans="1:18">
      <c r="A16" s="1608">
        <f t="shared" si="1"/>
        <v>2.0799999999999983</v>
      </c>
      <c r="B16" s="43" t="s">
        <v>625</v>
      </c>
      <c r="C16" s="1338" t="s">
        <v>1415</v>
      </c>
      <c r="D16" s="222">
        <v>0</v>
      </c>
      <c r="E16" s="222">
        <v>1541391.28</v>
      </c>
      <c r="F16" s="222">
        <v>1401264.8</v>
      </c>
      <c r="G16" s="222">
        <v>1261138.32</v>
      </c>
      <c r="H16" s="222">
        <v>1121011.8400000001</v>
      </c>
      <c r="I16" s="222">
        <v>980885.36</v>
      </c>
      <c r="J16" s="222">
        <v>840758.88</v>
      </c>
      <c r="K16" s="222">
        <v>700632.4</v>
      </c>
      <c r="L16" s="222">
        <v>560505.92000000004</v>
      </c>
      <c r="M16" s="222">
        <v>420379.43999999994</v>
      </c>
      <c r="N16" s="222">
        <v>280252.95999999996</v>
      </c>
      <c r="O16" s="222">
        <v>140126.47999999998</v>
      </c>
      <c r="P16" s="222">
        <v>0</v>
      </c>
      <c r="Q16" s="80">
        <f t="shared" si="0"/>
        <v>711411.36</v>
      </c>
      <c r="R16" s="555"/>
    </row>
    <row r="17" spans="1:18">
      <c r="A17" s="1608">
        <f t="shared" si="1"/>
        <v>2.0899999999999981</v>
      </c>
      <c r="B17" s="43" t="s">
        <v>626</v>
      </c>
      <c r="C17" s="1338" t="s">
        <v>1416</v>
      </c>
      <c r="D17" s="222">
        <v>0.42</v>
      </c>
      <c r="E17" s="222">
        <v>658396.48</v>
      </c>
      <c r="F17" s="222">
        <v>598404.53</v>
      </c>
      <c r="G17" s="222">
        <v>538564.12</v>
      </c>
      <c r="H17" s="222">
        <v>478723.71</v>
      </c>
      <c r="I17" s="222">
        <v>418883.3</v>
      </c>
      <c r="J17" s="222">
        <v>359042.46</v>
      </c>
      <c r="K17" s="222">
        <v>299202.05</v>
      </c>
      <c r="L17" s="222">
        <v>239361.64</v>
      </c>
      <c r="M17" s="222">
        <v>179521.23</v>
      </c>
      <c r="N17" s="222">
        <v>119680.82</v>
      </c>
      <c r="O17" s="222">
        <v>59840.41</v>
      </c>
      <c r="P17" s="222">
        <v>-0.01</v>
      </c>
      <c r="Q17" s="80">
        <f t="shared" si="0"/>
        <v>303817.01230769232</v>
      </c>
      <c r="R17" s="555"/>
    </row>
    <row r="18" spans="1:18">
      <c r="A18" s="1608">
        <f t="shared" si="1"/>
        <v>2.0999999999999979</v>
      </c>
      <c r="B18" s="43" t="s">
        <v>627</v>
      </c>
      <c r="C18" s="1338" t="s">
        <v>1417</v>
      </c>
      <c r="D18" s="222">
        <v>420308.91</v>
      </c>
      <c r="E18" s="222">
        <v>373607.92</v>
      </c>
      <c r="F18" s="222">
        <v>886588.9</v>
      </c>
      <c r="G18" s="222">
        <v>839887.91</v>
      </c>
      <c r="H18" s="222">
        <v>793186.92</v>
      </c>
      <c r="I18" s="222">
        <v>746485.93</v>
      </c>
      <c r="J18" s="222">
        <v>699784.94</v>
      </c>
      <c r="K18" s="222">
        <v>653083.94999999995</v>
      </c>
      <c r="L18" s="222">
        <v>606382.96</v>
      </c>
      <c r="M18" s="222">
        <v>559681.97</v>
      </c>
      <c r="N18" s="222">
        <v>513041.81</v>
      </c>
      <c r="O18" s="222">
        <v>466401.65</v>
      </c>
      <c r="P18" s="222">
        <v>419761.49</v>
      </c>
      <c r="Q18" s="80">
        <f t="shared" si="0"/>
        <v>613708.0969230769</v>
      </c>
      <c r="R18" s="555"/>
    </row>
    <row r="19" spans="1:18">
      <c r="A19" s="1608">
        <f t="shared" si="1"/>
        <v>2.1099999999999977</v>
      </c>
      <c r="B19" s="43" t="s">
        <v>628</v>
      </c>
      <c r="C19" s="1338" t="s">
        <v>1418</v>
      </c>
      <c r="D19" s="222">
        <v>0</v>
      </c>
      <c r="E19" s="222">
        <v>0</v>
      </c>
      <c r="F19" s="222">
        <v>239502.51</v>
      </c>
      <c r="G19" s="222">
        <v>215552.26</v>
      </c>
      <c r="H19" s="222">
        <v>191602.01</v>
      </c>
      <c r="I19" s="222">
        <v>167651.76</v>
      </c>
      <c r="J19" s="222">
        <v>143701.51</v>
      </c>
      <c r="K19" s="222">
        <v>119751.26</v>
      </c>
      <c r="L19" s="222">
        <v>95801.01</v>
      </c>
      <c r="M19" s="222">
        <v>71850.759999999995</v>
      </c>
      <c r="N19" s="222">
        <v>47900.51</v>
      </c>
      <c r="O19" s="222">
        <v>23950.26</v>
      </c>
      <c r="P19" s="222">
        <v>0</v>
      </c>
      <c r="Q19" s="80">
        <f t="shared" si="0"/>
        <v>101327.98846153847</v>
      </c>
    </row>
    <row r="20" spans="1:18">
      <c r="A20" s="1608">
        <f t="shared" si="1"/>
        <v>2.1199999999999974</v>
      </c>
      <c r="B20" s="43" t="s">
        <v>629</v>
      </c>
      <c r="C20" s="1338" t="s">
        <v>1419</v>
      </c>
      <c r="D20" s="222">
        <v>0</v>
      </c>
      <c r="E20" s="222">
        <v>1463333</v>
      </c>
      <c r="F20" s="222">
        <v>731666.5</v>
      </c>
      <c r="G20" s="222">
        <v>0</v>
      </c>
      <c r="H20" s="222">
        <v>1463333</v>
      </c>
      <c r="I20" s="222">
        <v>731666.33</v>
      </c>
      <c r="J20" s="222">
        <v>0</v>
      </c>
      <c r="K20" s="222">
        <v>0</v>
      </c>
      <c r="L20" s="222">
        <v>0</v>
      </c>
      <c r="M20" s="222">
        <v>0</v>
      </c>
      <c r="N20" s="222">
        <v>1741000</v>
      </c>
      <c r="O20" s="222">
        <v>1741000</v>
      </c>
      <c r="P20" s="222">
        <v>0</v>
      </c>
      <c r="Q20" s="80">
        <f t="shared" si="0"/>
        <v>605538.37153846154</v>
      </c>
      <c r="R20" s="555"/>
    </row>
    <row r="21" spans="1:18">
      <c r="A21" s="1608">
        <f t="shared" si="1"/>
        <v>2.1299999999999972</v>
      </c>
      <c r="B21" s="43" t="s">
        <v>1420</v>
      </c>
      <c r="C21" s="1338" t="s">
        <v>1421</v>
      </c>
      <c r="D21" s="222">
        <v>0</v>
      </c>
      <c r="E21" s="222">
        <v>0</v>
      </c>
      <c r="F21" s="222">
        <v>0</v>
      </c>
      <c r="G21" s="222">
        <v>0</v>
      </c>
      <c r="H21" s="222">
        <v>0</v>
      </c>
      <c r="I21" s="222">
        <v>0</v>
      </c>
      <c r="J21" s="222">
        <v>0</v>
      </c>
      <c r="K21" s="222">
        <v>0</v>
      </c>
      <c r="L21" s="222">
        <v>0</v>
      </c>
      <c r="M21" s="222">
        <v>0</v>
      </c>
      <c r="N21" s="222">
        <v>52228.800000000003</v>
      </c>
      <c r="O21" s="222">
        <v>44974.8</v>
      </c>
      <c r="P21" s="222">
        <v>43524</v>
      </c>
      <c r="Q21" s="80">
        <f t="shared" si="0"/>
        <v>10825.2</v>
      </c>
      <c r="R21" s="555"/>
    </row>
    <row r="22" spans="1:18">
      <c r="A22" s="1608">
        <f t="shared" si="1"/>
        <v>2.139999999999997</v>
      </c>
      <c r="B22" s="43" t="s">
        <v>685</v>
      </c>
      <c r="C22" s="1338" t="s">
        <v>1422</v>
      </c>
      <c r="D22" s="222">
        <v>88506.08</v>
      </c>
      <c r="E22" s="222">
        <v>87882.29</v>
      </c>
      <c r="F22" s="222">
        <v>87757.27</v>
      </c>
      <c r="G22" s="222">
        <v>87314.25</v>
      </c>
      <c r="H22" s="222">
        <v>87189.23</v>
      </c>
      <c r="I22" s="222">
        <v>87064.209999999992</v>
      </c>
      <c r="J22" s="222">
        <v>88439.19</v>
      </c>
      <c r="K22" s="222">
        <v>88082.880000000005</v>
      </c>
      <c r="L22" s="222">
        <v>88743.87</v>
      </c>
      <c r="M22" s="222">
        <v>88626.459999999992</v>
      </c>
      <c r="N22" s="222">
        <v>89281.58</v>
      </c>
      <c r="O22" s="222">
        <v>89156.6</v>
      </c>
      <c r="P22" s="222">
        <v>110076.38</v>
      </c>
      <c r="Q22" s="80">
        <f t="shared" si="0"/>
        <v>89855.406923076924</v>
      </c>
      <c r="R22" s="555"/>
    </row>
    <row r="23" spans="1:18" s="1343" customFormat="1">
      <c r="A23" s="1608">
        <f t="shared" si="1"/>
        <v>2.1499999999999968</v>
      </c>
      <c r="B23" s="43" t="s">
        <v>370</v>
      </c>
      <c r="C23" s="1338" t="s">
        <v>1423</v>
      </c>
      <c r="D23" s="208">
        <v>0</v>
      </c>
      <c r="E23" s="208">
        <v>1290176.33</v>
      </c>
      <c r="F23" s="208">
        <v>645088.16</v>
      </c>
      <c r="G23" s="208">
        <v>0</v>
      </c>
      <c r="H23" s="208">
        <v>1320986.26</v>
      </c>
      <c r="I23" s="208">
        <v>663643.56000000006</v>
      </c>
      <c r="J23" s="208">
        <v>6300.859999999986</v>
      </c>
      <c r="K23" s="208">
        <v>1305409.48</v>
      </c>
      <c r="L23" s="208">
        <v>652704.73</v>
      </c>
      <c r="M23" s="208">
        <v>-3.0000000027939677E-2</v>
      </c>
      <c r="N23" s="208">
        <v>1266341.55</v>
      </c>
      <c r="O23" s="208">
        <v>638647.47</v>
      </c>
      <c r="P23" s="208">
        <v>952494.51</v>
      </c>
      <c r="Q23" s="283">
        <f t="shared" ref="Q23:Q26" si="2">SUM(D23:P23)/13</f>
        <v>672445.60615384625</v>
      </c>
      <c r="R23" s="571"/>
    </row>
    <row r="24" spans="1:18">
      <c r="A24" s="1609">
        <f t="shared" si="1"/>
        <v>2.1599999999999966</v>
      </c>
      <c r="B24" s="844"/>
      <c r="C24" s="1444" t="s">
        <v>1507</v>
      </c>
      <c r="D24" s="208">
        <v>0</v>
      </c>
      <c r="E24" s="208">
        <v>0</v>
      </c>
      <c r="F24" s="208">
        <v>0</v>
      </c>
      <c r="G24" s="208">
        <v>0</v>
      </c>
      <c r="H24" s="208">
        <v>0</v>
      </c>
      <c r="I24" s="208">
        <v>0</v>
      </c>
      <c r="J24" s="208">
        <v>0</v>
      </c>
      <c r="K24" s="208">
        <v>0</v>
      </c>
      <c r="L24" s="208">
        <v>0</v>
      </c>
      <c r="M24" s="208">
        <v>0</v>
      </c>
      <c r="N24" s="208">
        <v>0</v>
      </c>
      <c r="O24" s="208">
        <v>0</v>
      </c>
      <c r="P24" s="208">
        <v>0</v>
      </c>
      <c r="Q24" s="283">
        <f t="shared" si="2"/>
        <v>0</v>
      </c>
      <c r="R24" s="555"/>
    </row>
    <row r="25" spans="1:18">
      <c r="A25" s="1609" t="s">
        <v>1498</v>
      </c>
      <c r="B25" s="844"/>
      <c r="C25" s="1444" t="s">
        <v>1507</v>
      </c>
      <c r="D25" s="208">
        <v>0</v>
      </c>
      <c r="E25" s="208">
        <v>0</v>
      </c>
      <c r="F25" s="208">
        <v>0</v>
      </c>
      <c r="G25" s="208">
        <v>0</v>
      </c>
      <c r="H25" s="208">
        <v>0</v>
      </c>
      <c r="I25" s="208">
        <v>0</v>
      </c>
      <c r="J25" s="208">
        <v>0</v>
      </c>
      <c r="K25" s="208">
        <v>0</v>
      </c>
      <c r="L25" s="208">
        <v>0</v>
      </c>
      <c r="M25" s="208">
        <v>0</v>
      </c>
      <c r="N25" s="208">
        <v>0</v>
      </c>
      <c r="O25" s="208">
        <v>0</v>
      </c>
      <c r="P25" s="208">
        <v>0</v>
      </c>
      <c r="Q25" s="283">
        <f t="shared" si="2"/>
        <v>0</v>
      </c>
      <c r="R25" s="555"/>
    </row>
    <row r="26" spans="1:18" s="1343" customFormat="1">
      <c r="A26" s="1609" t="s">
        <v>1500</v>
      </c>
      <c r="B26" s="844"/>
      <c r="C26" s="1444" t="s">
        <v>1507</v>
      </c>
      <c r="D26" s="278">
        <v>0</v>
      </c>
      <c r="E26" s="278">
        <v>0</v>
      </c>
      <c r="F26" s="278">
        <v>0</v>
      </c>
      <c r="G26" s="278">
        <v>0</v>
      </c>
      <c r="H26" s="278">
        <v>0</v>
      </c>
      <c r="I26" s="278">
        <v>0</v>
      </c>
      <c r="J26" s="278">
        <v>0</v>
      </c>
      <c r="K26" s="278">
        <v>0</v>
      </c>
      <c r="L26" s="278">
        <v>0</v>
      </c>
      <c r="M26" s="278">
        <v>0</v>
      </c>
      <c r="N26" s="278">
        <v>0</v>
      </c>
      <c r="O26" s="278">
        <v>0</v>
      </c>
      <c r="P26" s="278">
        <v>0</v>
      </c>
      <c r="Q26" s="598">
        <f t="shared" si="2"/>
        <v>0</v>
      </c>
      <c r="R26" s="571"/>
    </row>
    <row r="27" spans="1:18">
      <c r="A27" s="1339">
        <f>+A8+1</f>
        <v>3</v>
      </c>
      <c r="B27" s="1340" t="s">
        <v>308</v>
      </c>
      <c r="C27" s="1338" t="str">
        <f>+"Sum Line "&amp;A8&amp;" Subparts"</f>
        <v>Sum Line 2 Subparts</v>
      </c>
      <c r="D27" s="1344">
        <f t="shared" ref="D27:Q27" si="3">SUM(D9:D26)</f>
        <v>6979063.4400000004</v>
      </c>
      <c r="E27" s="1344">
        <f t="shared" si="3"/>
        <v>11795215.979999999</v>
      </c>
      <c r="F27" s="1344">
        <f t="shared" si="3"/>
        <v>9795250.4600000009</v>
      </c>
      <c r="G27" s="1344">
        <f t="shared" si="3"/>
        <v>10051446.390000001</v>
      </c>
      <c r="H27" s="1344">
        <f t="shared" si="3"/>
        <v>12412813.869999999</v>
      </c>
      <c r="I27" s="1344">
        <f t="shared" si="3"/>
        <v>9946588.7100000028</v>
      </c>
      <c r="J27" s="1344">
        <f t="shared" si="3"/>
        <v>10673591.560000001</v>
      </c>
      <c r="K27" s="1344">
        <f t="shared" si="3"/>
        <v>10824298.039999999</v>
      </c>
      <c r="L27" s="1344">
        <f t="shared" si="3"/>
        <v>11834054.579999998</v>
      </c>
      <c r="M27" s="1344">
        <f t="shared" si="3"/>
        <v>9629906.620000001</v>
      </c>
      <c r="N27" s="1344">
        <f t="shared" si="3"/>
        <v>11130718.260000002</v>
      </c>
      <c r="O27" s="1344">
        <f t="shared" si="3"/>
        <v>10142476.970000003</v>
      </c>
      <c r="P27" s="1344">
        <f t="shared" si="3"/>
        <v>7742713.2300000004</v>
      </c>
      <c r="Q27" s="1345">
        <f t="shared" si="3"/>
        <v>10227549.085384615</v>
      </c>
    </row>
    <row r="28" spans="1:18">
      <c r="A28" s="1339"/>
      <c r="C28" s="1338"/>
      <c r="D28" s="1344" t="s">
        <v>1088</v>
      </c>
      <c r="E28" s="1338"/>
      <c r="F28" s="1338"/>
      <c r="G28" s="1338"/>
      <c r="H28" s="1338"/>
      <c r="I28" s="1338"/>
      <c r="J28" s="1338"/>
      <c r="K28" s="1338"/>
      <c r="L28" s="1338"/>
      <c r="M28" s="1338"/>
      <c r="N28" s="1338"/>
      <c r="O28" s="1338"/>
      <c r="P28" s="1344" t="s">
        <v>1089</v>
      </c>
      <c r="Q28" s="1345"/>
    </row>
    <row r="29" spans="1:18" s="1343" customFormat="1">
      <c r="A29" s="1339">
        <f>+A27+1</f>
        <v>4</v>
      </c>
      <c r="B29" s="1346"/>
      <c r="D29" s="1340"/>
      <c r="E29" s="1340"/>
      <c r="F29" s="1340"/>
      <c r="G29" s="1340"/>
      <c r="H29" s="1340"/>
      <c r="I29" s="1340"/>
      <c r="J29" s="1340"/>
      <c r="K29" s="1340"/>
      <c r="L29" s="1340"/>
      <c r="M29" s="1340"/>
      <c r="N29" s="1340"/>
      <c r="O29" s="1340"/>
      <c r="P29" s="1340"/>
      <c r="Q29" s="283"/>
      <c r="R29" s="571"/>
    </row>
    <row r="30" spans="1:18" ht="15">
      <c r="A30" s="1339">
        <f>+A29+1</f>
        <v>5</v>
      </c>
      <c r="B30" s="1008"/>
      <c r="C30" s="1008"/>
      <c r="D30" s="1744" t="s">
        <v>617</v>
      </c>
      <c r="E30" s="1347" t="s">
        <v>1214</v>
      </c>
      <c r="F30" s="1347" t="s">
        <v>770</v>
      </c>
      <c r="G30" s="1347" t="s">
        <v>771</v>
      </c>
      <c r="H30" s="1347" t="s">
        <v>1215</v>
      </c>
      <c r="I30" s="1348"/>
      <c r="J30" s="1348"/>
      <c r="K30" s="1348"/>
      <c r="L30" s="1349"/>
      <c r="M30" s="1349"/>
      <c r="N30" s="1349"/>
      <c r="O30" s="1349"/>
      <c r="P30" s="1349"/>
    </row>
    <row r="31" spans="1:18" ht="27.6" customHeight="1">
      <c r="A31" s="1339">
        <f>+A30+1</f>
        <v>6</v>
      </c>
      <c r="B31" s="1008" t="str">
        <f>+B7</f>
        <v>Account</v>
      </c>
      <c r="C31" s="1008" t="str">
        <f>+C7</f>
        <v>Account Name</v>
      </c>
      <c r="D31" s="1744"/>
      <c r="E31" s="1335" t="s">
        <v>350</v>
      </c>
      <c r="F31" s="541" t="s">
        <v>331</v>
      </c>
      <c r="G31" s="1335" t="s">
        <v>354</v>
      </c>
      <c r="H31" s="1335" t="s">
        <v>339</v>
      </c>
      <c r="I31" s="1348"/>
      <c r="P31" s="1338"/>
      <c r="R31" s="1340"/>
    </row>
    <row r="32" spans="1:18">
      <c r="A32" s="1339">
        <f>+A31+1</f>
        <v>7</v>
      </c>
      <c r="B32" s="1338"/>
      <c r="C32" s="1338"/>
      <c r="D32" s="1338"/>
      <c r="E32" s="1338"/>
      <c r="F32" s="1338"/>
      <c r="G32" s="1338"/>
      <c r="H32" s="1338"/>
    </row>
    <row r="33" spans="1:19">
      <c r="A33" s="1341">
        <f>+A32+0.01</f>
        <v>7.01</v>
      </c>
      <c r="B33" s="1342" t="str">
        <f t="shared" ref="B33:C47" si="4">+B9</f>
        <v>165000</v>
      </c>
      <c r="C33" s="1338" t="str">
        <f t="shared" si="4"/>
        <v>Prepayments</v>
      </c>
      <c r="D33" s="1351">
        <f t="shared" ref="D33:D50" si="5">+Q9</f>
        <v>420019.88230769231</v>
      </c>
      <c r="E33" s="1338"/>
      <c r="F33" s="927"/>
      <c r="G33" s="1350"/>
      <c r="H33" s="1351">
        <f>+D33</f>
        <v>420019.88230769231</v>
      </c>
      <c r="I33" s="1588"/>
      <c r="P33" s="1338"/>
      <c r="R33" s="1340"/>
    </row>
    <row r="34" spans="1:19">
      <c r="A34" s="1341">
        <f t="shared" ref="A34:A48" si="6">+A33+0.01</f>
        <v>7.02</v>
      </c>
      <c r="B34" s="1342" t="str">
        <f t="shared" si="4"/>
        <v>165004</v>
      </c>
      <c r="C34" s="1338" t="str">
        <f t="shared" si="4"/>
        <v>Pp Taxes-Regulatory Commis.</v>
      </c>
      <c r="D34" s="1351">
        <f t="shared" si="5"/>
        <v>1320569.6715384612</v>
      </c>
      <c r="E34" s="1351">
        <f>+D34</f>
        <v>1320569.6715384612</v>
      </c>
      <c r="F34" s="1338"/>
      <c r="G34" s="1350"/>
      <c r="H34" s="1338"/>
      <c r="I34" s="1588"/>
      <c r="P34" s="1338"/>
      <c r="R34" s="1340"/>
    </row>
    <row r="35" spans="1:19">
      <c r="A35" s="1608">
        <f>+A34+0.01</f>
        <v>7.0299999999999994</v>
      </c>
      <c r="B35" s="1612" t="str">
        <f t="shared" si="4"/>
        <v>165100</v>
      </c>
      <c r="C35" s="1610" t="str">
        <f t="shared" si="4"/>
        <v>Prepaid Insurance</v>
      </c>
      <c r="D35" s="1351">
        <f t="shared" si="5"/>
        <v>4113886.998461538</v>
      </c>
      <c r="E35" s="1338"/>
      <c r="F35" s="1351"/>
      <c r="G35" s="1350">
        <f>+D35</f>
        <v>4113886.998461538</v>
      </c>
      <c r="H35" s="1338"/>
      <c r="I35" s="1588"/>
      <c r="P35" s="1338"/>
      <c r="R35" s="1340"/>
    </row>
    <row r="36" spans="1:19">
      <c r="A36" s="1608">
        <f t="shared" si="6"/>
        <v>7.0399999999999991</v>
      </c>
      <c r="B36" s="1612" t="str">
        <f t="shared" si="4"/>
        <v>165101</v>
      </c>
      <c r="C36" s="1610" t="str">
        <f t="shared" si="4"/>
        <v>Pp Taxes - Franchise - Ar</v>
      </c>
      <c r="D36" s="1351">
        <f t="shared" si="5"/>
        <v>78544.624615384615</v>
      </c>
      <c r="E36" s="1351">
        <f>+D36</f>
        <v>78544.624615384615</v>
      </c>
      <c r="F36" s="1338"/>
      <c r="G36" s="1350"/>
      <c r="H36" s="1338"/>
      <c r="I36" s="1588"/>
      <c r="P36" s="1338"/>
      <c r="R36" s="1340"/>
    </row>
    <row r="37" spans="1:19">
      <c r="A37" s="1608">
        <f t="shared" si="6"/>
        <v>7.0499999999999989</v>
      </c>
      <c r="B37" s="1612" t="str">
        <f t="shared" si="4"/>
        <v>165143</v>
      </c>
      <c r="C37" s="1610" t="str">
        <f t="shared" si="4"/>
        <v>Ano#1 Shutdown  Costs</v>
      </c>
      <c r="D37" s="1351">
        <f t="shared" si="5"/>
        <v>878220.9192307695</v>
      </c>
      <c r="E37" s="1351">
        <f>+D37</f>
        <v>878220.9192307695</v>
      </c>
      <c r="F37" s="1338"/>
      <c r="G37" s="1350"/>
      <c r="H37" s="1338"/>
      <c r="I37" s="1588"/>
      <c r="P37" s="1338"/>
      <c r="R37" s="1340"/>
    </row>
    <row r="38" spans="1:19">
      <c r="A38" s="1608">
        <f>+A37+0.01</f>
        <v>7.0599999999999987</v>
      </c>
      <c r="B38" s="1612" t="str">
        <f t="shared" si="4"/>
        <v>165400</v>
      </c>
      <c r="C38" s="1610" t="str">
        <f t="shared" si="4"/>
        <v>Prepaid Ins Directors&amp;Officers</v>
      </c>
      <c r="D38" s="1351">
        <f t="shared" si="5"/>
        <v>63782.990769230768</v>
      </c>
      <c r="F38" s="1338"/>
      <c r="G38" s="1350"/>
      <c r="H38" s="1351">
        <f>+D38</f>
        <v>63782.990769230768</v>
      </c>
      <c r="I38" s="1588"/>
      <c r="P38" s="1338"/>
      <c r="R38" s="1340"/>
    </row>
    <row r="39" spans="1:19">
      <c r="A39" s="1608">
        <f t="shared" si="6"/>
        <v>7.0699999999999985</v>
      </c>
      <c r="B39" s="1612" t="str">
        <f t="shared" si="4"/>
        <v>165403</v>
      </c>
      <c r="C39" s="1610" t="str">
        <f t="shared" si="4"/>
        <v>Pp Taxes Franchise-La</v>
      </c>
      <c r="D39" s="1351">
        <f t="shared" si="5"/>
        <v>243594.95615384614</v>
      </c>
      <c r="E39" s="1351">
        <f t="shared" ref="E39:E42" si="7">+D39</f>
        <v>243594.95615384614</v>
      </c>
      <c r="F39" s="1338"/>
      <c r="G39" s="1350"/>
      <c r="H39" s="1338"/>
      <c r="I39" s="1588"/>
      <c r="P39" s="1338"/>
      <c r="R39" s="1340"/>
    </row>
    <row r="40" spans="1:19">
      <c r="A40" s="1608">
        <f t="shared" si="6"/>
        <v>7.0799999999999983</v>
      </c>
      <c r="B40" s="1612" t="str">
        <f t="shared" si="4"/>
        <v>165506</v>
      </c>
      <c r="C40" s="1610" t="str">
        <f t="shared" si="4"/>
        <v>Prepaid Dues - INPO</v>
      </c>
      <c r="D40" s="1351">
        <f t="shared" si="5"/>
        <v>711411.36</v>
      </c>
      <c r="E40" s="1351">
        <f t="shared" si="7"/>
        <v>711411.36</v>
      </c>
      <c r="F40" s="1338"/>
      <c r="G40" s="1350"/>
      <c r="H40" s="1338"/>
      <c r="I40" s="1588"/>
      <c r="P40" s="1338"/>
      <c r="R40" s="1340"/>
    </row>
    <row r="41" spans="1:19">
      <c r="A41" s="1608">
        <f t="shared" si="6"/>
        <v>7.0899999999999981</v>
      </c>
      <c r="B41" s="1612" t="str">
        <f t="shared" si="4"/>
        <v>165507</v>
      </c>
      <c r="C41" s="1610" t="str">
        <f t="shared" si="4"/>
        <v>Prepaid Dues - Nuc Energy Inst</v>
      </c>
      <c r="D41" s="1351">
        <f t="shared" si="5"/>
        <v>303817.01230769232</v>
      </c>
      <c r="E41" s="1351">
        <f t="shared" si="7"/>
        <v>303817.01230769232</v>
      </c>
      <c r="F41" s="927"/>
      <c r="G41" s="1350"/>
      <c r="H41" s="1338"/>
      <c r="I41" s="1588"/>
      <c r="P41" s="1338"/>
      <c r="R41" s="1340"/>
    </row>
    <row r="42" spans="1:19">
      <c r="A42" s="1608">
        <f t="shared" si="6"/>
        <v>7.0999999999999979</v>
      </c>
      <c r="B42" s="1612" t="str">
        <f t="shared" si="4"/>
        <v>165508</v>
      </c>
      <c r="C42" s="1610" t="str">
        <f t="shared" si="4"/>
        <v>Prepaid Fees - FEMA</v>
      </c>
      <c r="D42" s="1351">
        <f t="shared" si="5"/>
        <v>613708.0969230769</v>
      </c>
      <c r="E42" s="1351">
        <f t="shared" si="7"/>
        <v>613708.0969230769</v>
      </c>
      <c r="F42" s="1338"/>
      <c r="G42" s="1350"/>
      <c r="H42" s="1338"/>
      <c r="I42" s="1588"/>
      <c r="P42" s="1338"/>
      <c r="R42" s="1340"/>
    </row>
    <row r="43" spans="1:19" ht="15">
      <c r="A43" s="1608">
        <f t="shared" si="6"/>
        <v>7.1099999999999977</v>
      </c>
      <c r="B43" s="1612" t="str">
        <f t="shared" si="4"/>
        <v>165510</v>
      </c>
      <c r="C43" s="1610" t="str">
        <f t="shared" si="4"/>
        <v>Prepaid Dues to EEI</v>
      </c>
      <c r="D43" s="1351">
        <f t="shared" si="5"/>
        <v>101327.98846153847</v>
      </c>
      <c r="E43" s="1338"/>
      <c r="F43" s="1351"/>
      <c r="G43" s="1589"/>
      <c r="H43" s="1611">
        <f>+D43</f>
        <v>101327.98846153847</v>
      </c>
      <c r="I43" s="1588"/>
      <c r="P43" s="1338"/>
      <c r="R43" s="1340"/>
    </row>
    <row r="44" spans="1:19">
      <c r="A44" s="1608">
        <f t="shared" si="6"/>
        <v>7.1199999999999974</v>
      </c>
      <c r="B44" s="1612" t="str">
        <f t="shared" si="4"/>
        <v>165525</v>
      </c>
      <c r="C44" s="1610" t="str">
        <f t="shared" si="4"/>
        <v>Prepaid NRC Dues</v>
      </c>
      <c r="D44" s="1351">
        <f t="shared" si="5"/>
        <v>605538.37153846154</v>
      </c>
      <c r="E44" s="1351">
        <f>+D44</f>
        <v>605538.37153846154</v>
      </c>
      <c r="F44" s="1338"/>
      <c r="G44" s="1350"/>
      <c r="H44" s="1610"/>
      <c r="P44" s="1338"/>
      <c r="R44" s="1340"/>
    </row>
    <row r="45" spans="1:19" ht="15">
      <c r="A45" s="1608">
        <f t="shared" si="6"/>
        <v>7.1299999999999972</v>
      </c>
      <c r="B45" s="1612" t="str">
        <f t="shared" si="4"/>
        <v>165603</v>
      </c>
      <c r="C45" s="1610" t="str">
        <f t="shared" si="4"/>
        <v>PPD IQNavigator, Inc</v>
      </c>
      <c r="D45" s="1632">
        <f t="shared" si="5"/>
        <v>10825.2</v>
      </c>
      <c r="E45" s="1592"/>
      <c r="F45" s="1593"/>
      <c r="G45" s="1589"/>
      <c r="H45" s="1611">
        <f>+D45</f>
        <v>10825.2</v>
      </c>
      <c r="P45" s="1338"/>
      <c r="R45" s="1340"/>
      <c r="S45" s="1340" t="s">
        <v>1683</v>
      </c>
    </row>
    <row r="46" spans="1:19">
      <c r="A46" s="1608">
        <f t="shared" si="6"/>
        <v>7.139999999999997</v>
      </c>
      <c r="B46" s="1612" t="str">
        <f t="shared" si="4"/>
        <v>165RNT</v>
      </c>
      <c r="C46" s="1610" t="str">
        <f t="shared" si="4"/>
        <v>Prepaid Rent Expense</v>
      </c>
      <c r="D46" s="1351">
        <f t="shared" si="5"/>
        <v>89855.406923076924</v>
      </c>
      <c r="E46" s="1351">
        <f>+D46</f>
        <v>89855.406923076924</v>
      </c>
      <c r="F46" s="1338"/>
      <c r="G46" s="1350"/>
      <c r="H46" s="1338"/>
      <c r="P46" s="1338"/>
      <c r="R46" s="1340"/>
    </row>
    <row r="47" spans="1:19">
      <c r="A47" s="1608">
        <f t="shared" si="6"/>
        <v>7.1499999999999968</v>
      </c>
      <c r="B47" s="1612" t="str">
        <f t="shared" si="4"/>
        <v>165SAI</v>
      </c>
      <c r="C47" s="1610" t="str">
        <f t="shared" si="4"/>
        <v>PrePaid Designated Servic-SAIC</v>
      </c>
      <c r="D47" s="1351">
        <f t="shared" si="5"/>
        <v>672445.60615384625</v>
      </c>
      <c r="E47" s="1351"/>
      <c r="F47" s="1338"/>
      <c r="G47" s="1350"/>
      <c r="H47" s="1351">
        <f>+D47</f>
        <v>672445.60615384625</v>
      </c>
      <c r="P47" s="1338"/>
      <c r="R47" s="1340"/>
    </row>
    <row r="48" spans="1:19">
      <c r="A48" s="1609">
        <f t="shared" si="6"/>
        <v>7.1599999999999966</v>
      </c>
      <c r="B48" s="1613"/>
      <c r="C48" s="1610" t="str">
        <f>+C24</f>
        <v>Additional  Items As Applicable</v>
      </c>
      <c r="D48" s="1351">
        <f t="shared" si="5"/>
        <v>0</v>
      </c>
      <c r="E48" s="1442"/>
      <c r="F48" s="1444"/>
      <c r="G48" s="1445"/>
      <c r="H48" s="1444"/>
      <c r="P48" s="1338"/>
      <c r="R48" s="1340"/>
    </row>
    <row r="49" spans="1:18">
      <c r="A49" s="1505" t="s">
        <v>1497</v>
      </c>
      <c r="B49" s="1443"/>
      <c r="C49" s="1338" t="str">
        <f t="shared" ref="C49:C50" si="8">+C25</f>
        <v>Additional  Items As Applicable</v>
      </c>
      <c r="D49" s="1351">
        <f t="shared" si="5"/>
        <v>0</v>
      </c>
      <c r="E49" s="1442"/>
      <c r="F49" s="1444"/>
      <c r="G49" s="1445"/>
      <c r="H49" s="1444"/>
      <c r="P49" s="1338"/>
      <c r="R49" s="1340"/>
    </row>
    <row r="50" spans="1:18">
      <c r="A50" s="1505" t="s">
        <v>1501</v>
      </c>
      <c r="B50" s="1446"/>
      <c r="C50" s="1584" t="str">
        <f t="shared" si="8"/>
        <v>Additional  Items As Applicable</v>
      </c>
      <c r="D50" s="1585">
        <f t="shared" si="5"/>
        <v>0</v>
      </c>
      <c r="E50" s="1448"/>
      <c r="F50" s="1449"/>
      <c r="G50" s="1450"/>
      <c r="H50" s="1447"/>
      <c r="P50" s="1338"/>
      <c r="R50" s="1340"/>
    </row>
    <row r="51" spans="1:18">
      <c r="A51" s="1339">
        <f>+A32+1</f>
        <v>8</v>
      </c>
      <c r="B51" s="1342" t="str">
        <f>+B27</f>
        <v>Total</v>
      </c>
      <c r="C51" s="1338" t="str">
        <f>+"Sum Line "&amp;A32&amp;" Subparts"</f>
        <v>Sum Line 7 Subparts</v>
      </c>
      <c r="D51" s="1350">
        <f>SUM(D33:D50)</f>
        <v>10227549.085384615</v>
      </c>
      <c r="E51" s="1351">
        <f>SUM(E33:E50)</f>
        <v>4845260.4192307694</v>
      </c>
      <c r="F51" s="1351">
        <f>SUM(F33:F50)</f>
        <v>0</v>
      </c>
      <c r="G51" s="1351">
        <f>SUM(G33:G50)</f>
        <v>4113886.998461538</v>
      </c>
      <c r="H51" s="1351">
        <f>SUM(H33:H50)</f>
        <v>1268401.6676923078</v>
      </c>
      <c r="I51" s="1338"/>
      <c r="J51" s="1338"/>
      <c r="K51" s="1338"/>
      <c r="L51" s="1338"/>
      <c r="M51" s="1338"/>
      <c r="N51" s="1338"/>
      <c r="O51" s="1338"/>
      <c r="P51" s="1338"/>
      <c r="Q51" s="1338"/>
      <c r="R51" s="1340"/>
    </row>
    <row r="52" spans="1:18">
      <c r="A52" s="1339"/>
      <c r="B52" s="1338"/>
      <c r="C52" s="1338"/>
      <c r="D52" s="1338"/>
      <c r="E52" s="1338"/>
      <c r="F52" s="1338"/>
      <c r="G52" s="1338"/>
      <c r="H52" s="1338"/>
      <c r="I52" s="1338"/>
      <c r="J52" s="1338"/>
      <c r="K52" s="1338"/>
      <c r="L52" s="1338"/>
      <c r="M52" s="1338"/>
      <c r="N52" s="1338"/>
      <c r="O52" s="1338"/>
      <c r="P52" s="1338"/>
      <c r="Q52" s="1338"/>
    </row>
    <row r="53" spans="1:18">
      <c r="A53" s="1339" t="s">
        <v>746</v>
      </c>
      <c r="B53" s="1338"/>
      <c r="C53" s="1338"/>
      <c r="D53" s="1338"/>
      <c r="E53" s="1338"/>
      <c r="F53" s="1338"/>
      <c r="G53" s="1338"/>
      <c r="H53" s="1338"/>
      <c r="I53" s="1338"/>
      <c r="J53" s="1338"/>
      <c r="K53" s="1338"/>
      <c r="L53" s="1338"/>
      <c r="M53" s="1338"/>
      <c r="N53" s="1338"/>
      <c r="O53" s="1338"/>
      <c r="P53" s="1338"/>
      <c r="Q53" s="1338"/>
    </row>
    <row r="54" spans="1:18" ht="12.75" customHeight="1">
      <c r="A54" s="1347" t="s">
        <v>367</v>
      </c>
      <c r="B54" s="1715" t="s">
        <v>1727</v>
      </c>
      <c r="C54" s="1715"/>
      <c r="D54" s="1715"/>
      <c r="E54" s="1715"/>
      <c r="F54" s="1715"/>
      <c r="G54" s="1715"/>
      <c r="H54" s="1715"/>
      <c r="I54" s="1715"/>
      <c r="J54" s="1715"/>
      <c r="K54" s="1715"/>
      <c r="L54" s="1715"/>
      <c r="M54" s="1715"/>
      <c r="N54" s="1715"/>
      <c r="O54" s="1715"/>
      <c r="P54" s="1715"/>
      <c r="Q54" s="1715"/>
    </row>
    <row r="55" spans="1:18" ht="12.75" customHeight="1">
      <c r="A55" s="1347" t="s">
        <v>769</v>
      </c>
      <c r="B55" s="1715" t="s">
        <v>1210</v>
      </c>
      <c r="C55" s="1715"/>
      <c r="D55" s="1715"/>
      <c r="E55" s="1715"/>
      <c r="F55" s="1715"/>
      <c r="G55" s="1715"/>
      <c r="H55" s="1715"/>
      <c r="I55" s="1715"/>
      <c r="J55" s="1715"/>
      <c r="K55" s="1715"/>
      <c r="L55" s="1715"/>
      <c r="M55" s="1715"/>
      <c r="N55" s="1715"/>
      <c r="O55" s="1715"/>
      <c r="P55" s="1715"/>
      <c r="Q55" s="1715"/>
    </row>
    <row r="56" spans="1:18" ht="13.15" customHeight="1">
      <c r="A56" s="1352" t="s">
        <v>770</v>
      </c>
      <c r="B56" s="1715" t="s">
        <v>1216</v>
      </c>
      <c r="C56" s="1715"/>
      <c r="D56" s="1715"/>
      <c r="E56" s="1715"/>
      <c r="F56" s="1715"/>
      <c r="G56" s="1715"/>
      <c r="H56" s="1715"/>
      <c r="I56" s="1715"/>
      <c r="J56" s="1715"/>
      <c r="K56" s="1715"/>
      <c r="L56" s="1715"/>
      <c r="M56" s="1715"/>
      <c r="N56" s="1715"/>
      <c r="O56" s="1715"/>
      <c r="P56" s="1715"/>
      <c r="Q56" s="1715"/>
    </row>
    <row r="57" spans="1:18" ht="13.15" customHeight="1">
      <c r="A57" s="1352" t="s">
        <v>771</v>
      </c>
      <c r="B57" s="1715" t="s">
        <v>1211</v>
      </c>
      <c r="C57" s="1715"/>
      <c r="D57" s="1715"/>
      <c r="E57" s="1715"/>
      <c r="F57" s="1715"/>
      <c r="G57" s="1715"/>
      <c r="H57" s="1715"/>
      <c r="I57" s="1715"/>
      <c r="J57" s="1715"/>
      <c r="K57" s="1715"/>
      <c r="L57" s="1715"/>
      <c r="M57" s="1715"/>
      <c r="N57" s="1715"/>
      <c r="O57" s="1715"/>
      <c r="P57" s="1715"/>
      <c r="Q57" s="1715"/>
    </row>
    <row r="58" spans="1:18" ht="13.15" customHeight="1">
      <c r="A58" s="1352" t="s">
        <v>772</v>
      </c>
      <c r="B58" s="1747" t="s">
        <v>1213</v>
      </c>
      <c r="C58" s="1747"/>
      <c r="D58" s="1747"/>
      <c r="E58" s="1747"/>
      <c r="F58" s="1747"/>
      <c r="G58" s="1747"/>
      <c r="H58" s="1747"/>
      <c r="I58" s="1747"/>
      <c r="J58" s="1747"/>
      <c r="K58" s="1747"/>
      <c r="L58" s="1747"/>
      <c r="M58" s="1747"/>
      <c r="N58" s="1747"/>
      <c r="O58" s="1747"/>
      <c r="P58" s="1747"/>
      <c r="Q58" s="1747"/>
    </row>
    <row r="59" spans="1:18" ht="14.45" customHeight="1">
      <c r="A59" s="1352" t="s">
        <v>1201</v>
      </c>
      <c r="B59" s="1743" t="s">
        <v>1212</v>
      </c>
      <c r="C59" s="1743"/>
      <c r="D59" s="1743"/>
      <c r="E59" s="1743"/>
      <c r="F59" s="1743"/>
      <c r="G59" s="1743"/>
      <c r="H59" s="1743"/>
      <c r="I59" s="1743"/>
      <c r="J59" s="1743"/>
      <c r="K59" s="1743"/>
      <c r="L59" s="1743"/>
      <c r="M59" s="1743"/>
      <c r="N59" s="1743"/>
      <c r="O59" s="1743"/>
      <c r="P59" s="1743"/>
      <c r="Q59" s="1743"/>
      <c r="R59" s="1340"/>
    </row>
    <row r="60" spans="1:18">
      <c r="A60" s="1353"/>
      <c r="R60" s="1340"/>
    </row>
  </sheetData>
  <mergeCells count="11">
    <mergeCell ref="B59:Q59"/>
    <mergeCell ref="D30:D31"/>
    <mergeCell ref="A1:Q1"/>
    <mergeCell ref="A3:Q3"/>
    <mergeCell ref="Q6:Q7"/>
    <mergeCell ref="A2:Q2"/>
    <mergeCell ref="B54:Q54"/>
    <mergeCell ref="B55:Q55"/>
    <mergeCell ref="B56:Q56"/>
    <mergeCell ref="B57:Q57"/>
    <mergeCell ref="B58:Q58"/>
  </mergeCells>
  <printOptions horizontalCentered="1"/>
  <pageMargins left="0.7" right="0.7" top="0.7" bottom="0.7" header="0.3" footer="0.5"/>
  <pageSetup scale="54" orientation="landscape" r:id="rId1"/>
  <headerFooter>
    <oddFooter>&amp;CPage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pane="topRight" activeCell="C8" sqref="C8:O14"/>
    </sheetView>
  </sheetViews>
  <sheetFormatPr defaultColWidth="9.140625" defaultRowHeight="12.75"/>
  <cols>
    <col min="1" max="1" width="3" style="849" bestFit="1" customWidth="1"/>
    <col min="2" max="2" width="17.7109375" style="849" customWidth="1"/>
    <col min="3" max="15" width="10.28515625" style="849" bestFit="1" customWidth="1"/>
    <col min="16" max="16" width="10.42578125" style="830" bestFit="1" customWidth="1"/>
    <col min="17" max="16384" width="9.140625" style="849"/>
  </cols>
  <sheetData>
    <row r="1" spans="1:16">
      <c r="A1" s="1749" t="str">
        <f>+'MISO Cover'!C6</f>
        <v>Entergy Arkansas, Inc.</v>
      </c>
      <c r="B1" s="1749"/>
      <c r="C1" s="1749"/>
      <c r="D1" s="1749"/>
      <c r="E1" s="1749"/>
      <c r="F1" s="1749"/>
      <c r="G1" s="1749"/>
      <c r="H1" s="1749"/>
      <c r="I1" s="1749"/>
      <c r="J1" s="1749"/>
      <c r="K1" s="1749"/>
      <c r="L1" s="1749"/>
      <c r="M1" s="1749"/>
      <c r="N1" s="1749"/>
      <c r="O1" s="1749"/>
      <c r="P1" s="1749"/>
    </row>
    <row r="2" spans="1:16">
      <c r="A2" s="1750" t="s">
        <v>1455</v>
      </c>
      <c r="B2" s="1750"/>
      <c r="C2" s="1750"/>
      <c r="D2" s="1750"/>
      <c r="E2" s="1750"/>
      <c r="F2" s="1750"/>
      <c r="G2" s="1750"/>
      <c r="H2" s="1750"/>
      <c r="I2" s="1750"/>
      <c r="J2" s="1750"/>
      <c r="K2" s="1750"/>
      <c r="L2" s="1750"/>
      <c r="M2" s="1750"/>
      <c r="N2" s="1750"/>
      <c r="O2" s="1750"/>
      <c r="P2" s="1750"/>
    </row>
    <row r="3" spans="1:16">
      <c r="A3" s="1749" t="str">
        <f>+'MISO Cover'!K4</f>
        <v>For  the 12 Months Ended 12/31/2014</v>
      </c>
      <c r="B3" s="1749"/>
      <c r="C3" s="1749"/>
      <c r="D3" s="1749"/>
      <c r="E3" s="1749"/>
      <c r="F3" s="1749"/>
      <c r="G3" s="1749"/>
      <c r="H3" s="1749"/>
      <c r="I3" s="1749"/>
      <c r="J3" s="1749"/>
      <c r="K3" s="1749"/>
      <c r="L3" s="1749"/>
      <c r="M3" s="1749"/>
      <c r="N3" s="1749"/>
      <c r="O3" s="1749"/>
      <c r="P3" s="1749"/>
    </row>
    <row r="4" spans="1:16">
      <c r="B4" s="1748"/>
      <c r="C4" s="1748"/>
      <c r="D4" s="1748"/>
      <c r="E4" s="1748"/>
      <c r="F4" s="1748"/>
      <c r="G4" s="1748"/>
      <c r="H4" s="1748"/>
      <c r="I4" s="1748"/>
      <c r="J4" s="1748"/>
      <c r="K4" s="1748"/>
      <c r="L4" s="1748"/>
      <c r="M4" s="1748"/>
      <c r="N4" s="1748"/>
      <c r="O4" s="1748"/>
    </row>
    <row r="5" spans="1:16" s="850" customFormat="1">
      <c r="A5" s="850" t="s">
        <v>663</v>
      </c>
      <c r="B5" s="636" t="s">
        <v>261</v>
      </c>
      <c r="C5" s="636" t="s">
        <v>309</v>
      </c>
      <c r="D5" s="636" t="s">
        <v>249</v>
      </c>
      <c r="E5" s="636" t="s">
        <v>262</v>
      </c>
      <c r="F5" s="636" t="s">
        <v>260</v>
      </c>
      <c r="G5" s="636" t="s">
        <v>351</v>
      </c>
      <c r="H5" s="636" t="s">
        <v>263</v>
      </c>
      <c r="I5" s="636" t="s">
        <v>364</v>
      </c>
      <c r="J5" s="636" t="s">
        <v>253</v>
      </c>
      <c r="K5" s="636" t="s">
        <v>254</v>
      </c>
      <c r="L5" s="636" t="s">
        <v>265</v>
      </c>
      <c r="M5" s="636" t="s">
        <v>293</v>
      </c>
      <c r="N5" s="636" t="s">
        <v>294</v>
      </c>
      <c r="O5" s="636" t="s">
        <v>352</v>
      </c>
      <c r="P5" s="851" t="s">
        <v>563</v>
      </c>
    </row>
    <row r="6" spans="1:16">
      <c r="B6" s="177"/>
      <c r="C6" s="574"/>
      <c r="D6" s="574"/>
      <c r="E6" s="574"/>
      <c r="F6" s="574"/>
      <c r="G6" s="574"/>
      <c r="H6" s="574"/>
      <c r="I6" s="574"/>
      <c r="J6" s="852"/>
      <c r="K6" s="852"/>
      <c r="L6" s="852"/>
      <c r="M6" s="852"/>
      <c r="N6" s="852"/>
      <c r="O6" s="852"/>
      <c r="P6" s="830" t="s">
        <v>941</v>
      </c>
    </row>
    <row r="7" spans="1:16">
      <c r="A7" s="850">
        <v>1</v>
      </c>
      <c r="B7" s="177"/>
      <c r="C7" s="1601" t="s">
        <v>231</v>
      </c>
      <c r="D7" s="1601" t="s">
        <v>221</v>
      </c>
      <c r="E7" s="1601" t="s">
        <v>222</v>
      </c>
      <c r="F7" s="1601" t="s">
        <v>223</v>
      </c>
      <c r="G7" s="1601" t="s">
        <v>224</v>
      </c>
      <c r="H7" s="1601" t="s">
        <v>220</v>
      </c>
      <c r="I7" s="1601" t="s">
        <v>225</v>
      </c>
      <c r="J7" s="1601" t="s">
        <v>226</v>
      </c>
      <c r="K7" s="1601" t="s">
        <v>227</v>
      </c>
      <c r="L7" s="1601" t="s">
        <v>228</v>
      </c>
      <c r="M7" s="1601" t="s">
        <v>229</v>
      </c>
      <c r="N7" s="1601" t="s">
        <v>230</v>
      </c>
      <c r="O7" s="1601" t="s">
        <v>231</v>
      </c>
      <c r="P7" s="1602" t="s">
        <v>336</v>
      </c>
    </row>
    <row r="8" spans="1:16">
      <c r="A8" s="850">
        <f>+A7+1</f>
        <v>2</v>
      </c>
      <c r="B8" s="178" t="s">
        <v>393</v>
      </c>
      <c r="C8" s="1504">
        <v>56045.949999999983</v>
      </c>
      <c r="D8" s="1504">
        <v>56045.949999999983</v>
      </c>
      <c r="E8" s="1504">
        <v>56045.949999999983</v>
      </c>
      <c r="F8" s="1504">
        <v>56045.949999999983</v>
      </c>
      <c r="G8" s="1504">
        <v>56045.949999999983</v>
      </c>
      <c r="H8" s="1504">
        <v>56045.949999999983</v>
      </c>
      <c r="I8" s="1504">
        <v>56045.949999999983</v>
      </c>
      <c r="J8" s="1504">
        <v>56045.949999999983</v>
      </c>
      <c r="K8" s="1504">
        <v>56045.949999999983</v>
      </c>
      <c r="L8" s="1504">
        <v>56045.949999999983</v>
      </c>
      <c r="M8" s="1504">
        <v>56045.949999999983</v>
      </c>
      <c r="N8" s="1504">
        <v>56045.949999999983</v>
      </c>
      <c r="O8" s="1504">
        <v>56045.949999999983</v>
      </c>
      <c r="P8" s="830">
        <f>+SUM(C8:O8)/13</f>
        <v>56045.949999999961</v>
      </c>
    </row>
    <row r="9" spans="1:16">
      <c r="A9" s="850">
        <f t="shared" ref="A9:A15" si="0">+A8+1</f>
        <v>3</v>
      </c>
      <c r="B9" s="178" t="s">
        <v>394</v>
      </c>
      <c r="C9" s="1504">
        <v>0</v>
      </c>
      <c r="D9" s="1504">
        <v>0</v>
      </c>
      <c r="E9" s="1504">
        <v>0</v>
      </c>
      <c r="F9" s="1504">
        <v>0</v>
      </c>
      <c r="G9" s="1504">
        <v>0</v>
      </c>
      <c r="H9" s="1504">
        <v>0</v>
      </c>
      <c r="I9" s="1504">
        <v>0</v>
      </c>
      <c r="J9" s="1504">
        <v>0</v>
      </c>
      <c r="K9" s="1504">
        <v>0</v>
      </c>
      <c r="L9" s="1504">
        <v>0</v>
      </c>
      <c r="M9" s="1504">
        <v>0</v>
      </c>
      <c r="N9" s="1504">
        <v>0</v>
      </c>
      <c r="O9" s="1504">
        <v>0</v>
      </c>
      <c r="P9" s="830">
        <f t="shared" ref="P9:P14" si="1">+SUM(C9:O9)/13</f>
        <v>0</v>
      </c>
    </row>
    <row r="10" spans="1:16">
      <c r="A10" s="850">
        <f t="shared" si="0"/>
        <v>4</v>
      </c>
      <c r="B10" s="178" t="s">
        <v>395</v>
      </c>
      <c r="C10" s="1504">
        <v>77641.88</v>
      </c>
      <c r="D10" s="1504">
        <v>77641.88</v>
      </c>
      <c r="E10" s="1504">
        <v>77641.88</v>
      </c>
      <c r="F10" s="1504">
        <v>77641.88</v>
      </c>
      <c r="G10" s="1504">
        <v>77641.88</v>
      </c>
      <c r="H10" s="1504">
        <v>77641.88</v>
      </c>
      <c r="I10" s="1504">
        <v>77641.88</v>
      </c>
      <c r="J10" s="1504">
        <v>77641.88</v>
      </c>
      <c r="K10" s="1504">
        <v>77641.88</v>
      </c>
      <c r="L10" s="1504">
        <v>77641.88</v>
      </c>
      <c r="M10" s="1504">
        <v>77641.88</v>
      </c>
      <c r="N10" s="1504">
        <v>77641.88</v>
      </c>
      <c r="O10" s="1504">
        <v>77641.88</v>
      </c>
      <c r="P10" s="830">
        <f t="shared" si="1"/>
        <v>77641.88</v>
      </c>
    </row>
    <row r="11" spans="1:16">
      <c r="A11" s="850">
        <f t="shared" si="0"/>
        <v>5</v>
      </c>
      <c r="B11" s="177" t="s">
        <v>331</v>
      </c>
      <c r="C11" s="1504">
        <v>558404.42000000004</v>
      </c>
      <c r="D11" s="1504">
        <v>558404.42000000004</v>
      </c>
      <c r="E11" s="1504">
        <v>558404.42000000004</v>
      </c>
      <c r="F11" s="1504">
        <v>558404.42000000004</v>
      </c>
      <c r="G11" s="1504">
        <v>558404.42000000004</v>
      </c>
      <c r="H11" s="1504">
        <v>558404.42000000004</v>
      </c>
      <c r="I11" s="1504">
        <v>558304.42000000004</v>
      </c>
      <c r="J11" s="1504">
        <v>558304.42000000004</v>
      </c>
      <c r="K11" s="1504">
        <v>558304.42000000004</v>
      </c>
      <c r="L11" s="1504">
        <v>532590.64</v>
      </c>
      <c r="M11" s="1504">
        <v>532590.64</v>
      </c>
      <c r="N11" s="1504">
        <v>532590.64</v>
      </c>
      <c r="O11" s="1504">
        <v>532590.64</v>
      </c>
      <c r="P11" s="1641">
        <f t="shared" si="1"/>
        <v>550438.64153846144</v>
      </c>
    </row>
    <row r="12" spans="1:16">
      <c r="A12" s="850">
        <f t="shared" si="0"/>
        <v>6</v>
      </c>
      <c r="B12" s="177" t="s">
        <v>214</v>
      </c>
      <c r="C12" s="1504">
        <v>70091.19</v>
      </c>
      <c r="D12" s="1504">
        <v>70091.19</v>
      </c>
      <c r="E12" s="1504">
        <v>70091.19</v>
      </c>
      <c r="F12" s="1504">
        <v>70091.19</v>
      </c>
      <c r="G12" s="1504">
        <v>70091.19</v>
      </c>
      <c r="H12" s="1504">
        <v>70091.19</v>
      </c>
      <c r="I12" s="1504">
        <v>70091.19</v>
      </c>
      <c r="J12" s="1504">
        <v>70091.19</v>
      </c>
      <c r="K12" s="1504">
        <v>70091.19</v>
      </c>
      <c r="L12" s="1504">
        <v>70091.19</v>
      </c>
      <c r="M12" s="1504">
        <v>70091.19</v>
      </c>
      <c r="N12" s="1504">
        <v>70091.19</v>
      </c>
      <c r="O12" s="1504">
        <v>70091.19</v>
      </c>
      <c r="P12" s="830">
        <f t="shared" si="1"/>
        <v>70091.189999999973</v>
      </c>
    </row>
    <row r="13" spans="1:16">
      <c r="A13" s="850">
        <f t="shared" si="0"/>
        <v>7</v>
      </c>
      <c r="B13" s="177" t="s">
        <v>396</v>
      </c>
      <c r="C13" s="1504">
        <v>0</v>
      </c>
      <c r="D13" s="1504">
        <v>0</v>
      </c>
      <c r="E13" s="1504">
        <v>0</v>
      </c>
      <c r="F13" s="1504">
        <v>0</v>
      </c>
      <c r="G13" s="1504">
        <v>0</v>
      </c>
      <c r="H13" s="1504">
        <v>0</v>
      </c>
      <c r="I13" s="1504">
        <v>0</v>
      </c>
      <c r="J13" s="1504">
        <v>0</v>
      </c>
      <c r="K13" s="1504">
        <v>0</v>
      </c>
      <c r="L13" s="1504">
        <v>0</v>
      </c>
      <c r="M13" s="1504">
        <v>0</v>
      </c>
      <c r="N13" s="1504">
        <v>0</v>
      </c>
      <c r="O13" s="1504">
        <v>0</v>
      </c>
      <c r="P13" s="830">
        <f t="shared" si="1"/>
        <v>0</v>
      </c>
    </row>
    <row r="14" spans="1:16">
      <c r="A14" s="850">
        <f t="shared" si="0"/>
        <v>8</v>
      </c>
      <c r="B14" s="177" t="s">
        <v>397</v>
      </c>
      <c r="C14" s="1599">
        <v>324584.77000000008</v>
      </c>
      <c r="D14" s="1599">
        <v>324584.77000000008</v>
      </c>
      <c r="E14" s="1599">
        <v>324584.77000000008</v>
      </c>
      <c r="F14" s="1599">
        <v>324584.77000000008</v>
      </c>
      <c r="G14" s="1599">
        <v>324584.77000000008</v>
      </c>
      <c r="H14" s="1599">
        <v>229011.24000000008</v>
      </c>
      <c r="I14" s="1599">
        <v>229011.24000000008</v>
      </c>
      <c r="J14" s="1599">
        <v>229011.24000000008</v>
      </c>
      <c r="K14" s="1599">
        <v>229011.24000000008</v>
      </c>
      <c r="L14" s="1599">
        <v>229011.24000000008</v>
      </c>
      <c r="M14" s="1599">
        <v>229011.24000000008</v>
      </c>
      <c r="N14" s="1599">
        <v>229011.24000000008</v>
      </c>
      <c r="O14" s="1599">
        <v>229011.24000000008</v>
      </c>
      <c r="P14" s="1600">
        <f t="shared" si="1"/>
        <v>265770.2900000001</v>
      </c>
    </row>
    <row r="15" spans="1:16">
      <c r="A15" s="850">
        <f t="shared" si="0"/>
        <v>9</v>
      </c>
      <c r="B15" s="177" t="s">
        <v>915</v>
      </c>
      <c r="C15" s="575">
        <f>SUM(C8:C14)</f>
        <v>1086768.21</v>
      </c>
      <c r="D15" s="575">
        <f t="shared" ref="D15:O15" si="2">SUM(D8:D14)</f>
        <v>1086768.21</v>
      </c>
      <c r="E15" s="575">
        <f t="shared" si="2"/>
        <v>1086768.21</v>
      </c>
      <c r="F15" s="575">
        <f t="shared" si="2"/>
        <v>1086768.21</v>
      </c>
      <c r="G15" s="575">
        <f t="shared" si="2"/>
        <v>1086768.21</v>
      </c>
      <c r="H15" s="575">
        <f t="shared" si="2"/>
        <v>991194.68</v>
      </c>
      <c r="I15" s="575">
        <f t="shared" si="2"/>
        <v>991094.68</v>
      </c>
      <c r="J15" s="575">
        <f t="shared" si="2"/>
        <v>991094.68</v>
      </c>
      <c r="K15" s="575">
        <f t="shared" si="2"/>
        <v>991094.68</v>
      </c>
      <c r="L15" s="575">
        <f t="shared" si="2"/>
        <v>965380.9</v>
      </c>
      <c r="M15" s="575">
        <f t="shared" si="2"/>
        <v>965380.9</v>
      </c>
      <c r="N15" s="575">
        <f t="shared" si="2"/>
        <v>965380.9</v>
      </c>
      <c r="O15" s="575">
        <f t="shared" si="2"/>
        <v>965380.9</v>
      </c>
      <c r="P15" s="830">
        <f>SUM(P8:P14)</f>
        <v>1019987.9515384615</v>
      </c>
    </row>
    <row r="16" spans="1:16">
      <c r="A16" s="850"/>
      <c r="B16" s="177"/>
      <c r="C16" s="1009" t="s">
        <v>367</v>
      </c>
      <c r="D16" s="575"/>
      <c r="E16" s="575"/>
      <c r="F16" s="575"/>
      <c r="G16" s="575"/>
      <c r="H16" s="575"/>
      <c r="I16" s="575"/>
      <c r="J16" s="853"/>
      <c r="K16" s="853"/>
      <c r="L16" s="853"/>
      <c r="M16" s="853"/>
      <c r="N16" s="853"/>
      <c r="O16" s="1009" t="s">
        <v>367</v>
      </c>
    </row>
    <row r="17" spans="1:9">
      <c r="A17" s="177" t="s">
        <v>398</v>
      </c>
      <c r="C17" s="177"/>
      <c r="D17" s="177"/>
      <c r="E17" s="177"/>
      <c r="F17" s="177"/>
      <c r="G17" s="177"/>
      <c r="H17" s="177"/>
      <c r="I17" s="177"/>
    </row>
    <row r="18" spans="1:9">
      <c r="A18" s="854" t="s">
        <v>367</v>
      </c>
      <c r="B18" s="178" t="s">
        <v>1034</v>
      </c>
      <c r="C18" s="177"/>
      <c r="D18" s="177"/>
      <c r="E18" s="177"/>
      <c r="F18" s="177"/>
      <c r="G18" s="177"/>
      <c r="H18" s="177"/>
      <c r="I18" s="177"/>
    </row>
  </sheetData>
  <mergeCells count="4">
    <mergeCell ref="B4:O4"/>
    <mergeCell ref="A1:P1"/>
    <mergeCell ref="A3:P3"/>
    <mergeCell ref="A2:P2"/>
  </mergeCells>
  <phoneticPr fontId="103" type="noConversion"/>
  <printOptions horizontalCentered="1"/>
  <pageMargins left="0.7" right="0.7" top="0.7" bottom="0.7" header="0.3" footer="0.5"/>
  <pageSetup scale="74" orientation="landscape" r:id="rId1"/>
  <headerFooter>
    <oddFooter>&amp;CPage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topLeftCell="A31" zoomScaleNormal="100" workbookViewId="0">
      <selection activeCell="E63" sqref="E63:E64"/>
    </sheetView>
  </sheetViews>
  <sheetFormatPr defaultColWidth="8.85546875" defaultRowHeight="12.75"/>
  <cols>
    <col min="1" max="1" width="4.42578125" style="777" customWidth="1"/>
    <col min="2" max="2" width="55.140625" style="174" customWidth="1"/>
    <col min="3" max="4" width="14.85546875" style="174" bestFit="1" customWidth="1"/>
    <col min="5" max="5" width="16" style="174" customWidth="1"/>
    <col min="6" max="7" width="8.85546875" style="174"/>
    <col min="8" max="8" width="10.85546875" style="174" bestFit="1" customWidth="1"/>
    <col min="9" max="16384" width="8.85546875" style="174"/>
  </cols>
  <sheetData>
    <row r="1" spans="1:8">
      <c r="A1" s="1752" t="str">
        <f>+'MISO Cover'!C6</f>
        <v>Entergy Arkansas, Inc.</v>
      </c>
      <c r="B1" s="1752"/>
      <c r="C1" s="1752"/>
      <c r="D1" s="1752"/>
      <c r="E1" s="1752"/>
      <c r="F1" s="904"/>
      <c r="H1" s="905"/>
    </row>
    <row r="2" spans="1:8">
      <c r="A2" s="1753" t="s">
        <v>1511</v>
      </c>
      <c r="B2" s="1753"/>
      <c r="C2" s="1753"/>
      <c r="D2" s="1753"/>
      <c r="E2" s="1753"/>
      <c r="F2" s="650"/>
    </row>
    <row r="3" spans="1:8">
      <c r="A3" s="1752" t="str">
        <f>+'MISO Cover'!K4</f>
        <v>For  the 12 Months Ended 12/31/2014</v>
      </c>
      <c r="B3" s="1752"/>
      <c r="C3" s="1752"/>
      <c r="D3" s="1752"/>
      <c r="E3" s="1752"/>
      <c r="F3" s="906"/>
    </row>
    <row r="4" spans="1:8">
      <c r="A4" s="893"/>
    </row>
    <row r="5" spans="1:8">
      <c r="A5" s="774"/>
      <c r="B5" s="907"/>
      <c r="E5" s="821" t="s">
        <v>1150</v>
      </c>
    </row>
    <row r="6" spans="1:8">
      <c r="A6" s="775" t="s">
        <v>663</v>
      </c>
      <c r="B6" s="894" t="s">
        <v>261</v>
      </c>
      <c r="C6" s="895" t="s">
        <v>309</v>
      </c>
      <c r="D6" s="895" t="s">
        <v>249</v>
      </c>
      <c r="E6" s="895" t="s">
        <v>1397</v>
      </c>
    </row>
    <row r="7" spans="1:8">
      <c r="A7" s="960">
        <v>1</v>
      </c>
      <c r="B7" s="1616" t="s">
        <v>372</v>
      </c>
      <c r="C7" s="1616" t="s">
        <v>1394</v>
      </c>
      <c r="D7" s="1616" t="s">
        <v>1345</v>
      </c>
      <c r="E7" s="1616" t="s">
        <v>944</v>
      </c>
      <c r="H7" s="908"/>
    </row>
    <row r="8" spans="1:8" s="176" customFormat="1">
      <c r="A8" s="961">
        <f>+A7+0.01</f>
        <v>1.01</v>
      </c>
      <c r="B8" s="651" t="s">
        <v>376</v>
      </c>
      <c r="C8" s="1047">
        <v>0</v>
      </c>
      <c r="D8" s="1047">
        <v>0</v>
      </c>
      <c r="E8" s="1109">
        <f>+C8+D8</f>
        <v>0</v>
      </c>
      <c r="F8" s="654"/>
      <c r="H8" s="686"/>
    </row>
    <row r="9" spans="1:8" s="1364" customFormat="1">
      <c r="A9" s="961">
        <f t="shared" ref="A9:A26" si="0">+A8+0.01</f>
        <v>1.02</v>
      </c>
      <c r="B9" s="651" t="s">
        <v>1483</v>
      </c>
      <c r="C9" s="1047">
        <v>0</v>
      </c>
      <c r="D9" s="1047">
        <v>0</v>
      </c>
      <c r="E9" s="1109">
        <f t="shared" ref="E9:E15" si="1">+C9+D9</f>
        <v>0</v>
      </c>
      <c r="F9" s="654"/>
      <c r="H9" s="686"/>
    </row>
    <row r="10" spans="1:8" s="1364" customFormat="1">
      <c r="A10" s="961">
        <f t="shared" si="0"/>
        <v>1.03</v>
      </c>
      <c r="B10" s="651" t="s">
        <v>1472</v>
      </c>
      <c r="C10" s="1047">
        <v>0</v>
      </c>
      <c r="D10" s="1047">
        <v>0</v>
      </c>
      <c r="E10" s="1109">
        <f t="shared" si="1"/>
        <v>0</v>
      </c>
      <c r="F10" s="654"/>
      <c r="H10" s="686"/>
    </row>
    <row r="11" spans="1:8" s="1364" customFormat="1">
      <c r="A11" s="961">
        <f t="shared" si="0"/>
        <v>1.04</v>
      </c>
      <c r="B11" s="651" t="s">
        <v>1474</v>
      </c>
      <c r="C11" s="1047">
        <v>0</v>
      </c>
      <c r="D11" s="1047">
        <v>0</v>
      </c>
      <c r="E11" s="1109">
        <f t="shared" si="1"/>
        <v>0</v>
      </c>
      <c r="F11" s="654"/>
      <c r="H11" s="686"/>
    </row>
    <row r="12" spans="1:8" s="1364" customFormat="1">
      <c r="A12" s="961">
        <f t="shared" si="0"/>
        <v>1.05</v>
      </c>
      <c r="B12" s="651" t="s">
        <v>1473</v>
      </c>
      <c r="C12" s="1047">
        <v>0</v>
      </c>
      <c r="D12" s="1047">
        <v>0</v>
      </c>
      <c r="E12" s="1109">
        <f t="shared" si="1"/>
        <v>0</v>
      </c>
      <c r="F12" s="654"/>
      <c r="H12" s="686"/>
    </row>
    <row r="13" spans="1:8" s="1364" customFormat="1">
      <c r="A13" s="961">
        <f t="shared" si="0"/>
        <v>1.06</v>
      </c>
      <c r="B13" s="651" t="s">
        <v>1484</v>
      </c>
      <c r="C13" s="1047">
        <v>0</v>
      </c>
      <c r="D13" s="1047">
        <v>0</v>
      </c>
      <c r="E13" s="1109">
        <f t="shared" si="1"/>
        <v>0</v>
      </c>
      <c r="F13" s="654"/>
      <c r="H13" s="686"/>
    </row>
    <row r="14" spans="1:8" s="175" customFormat="1">
      <c r="A14" s="961">
        <f t="shared" si="0"/>
        <v>1.07</v>
      </c>
      <c r="B14" s="651" t="s">
        <v>1475</v>
      </c>
      <c r="C14" s="1047">
        <v>0</v>
      </c>
      <c r="D14" s="1047">
        <v>0</v>
      </c>
      <c r="E14" s="1109">
        <f t="shared" si="1"/>
        <v>0</v>
      </c>
      <c r="F14" s="652"/>
      <c r="G14" s="1364"/>
    </row>
    <row r="15" spans="1:8" s="175" customFormat="1">
      <c r="A15" s="961">
        <f t="shared" si="0"/>
        <v>1.08</v>
      </c>
      <c r="B15" s="651" t="s">
        <v>1476</v>
      </c>
      <c r="C15" s="1047">
        <v>0</v>
      </c>
      <c r="D15" s="1047">
        <v>0</v>
      </c>
      <c r="E15" s="1109">
        <f t="shared" si="1"/>
        <v>0</v>
      </c>
      <c r="F15" s="652"/>
      <c r="G15" s="1364"/>
    </row>
    <row r="16" spans="1:8" s="175" customFormat="1">
      <c r="A16" s="961">
        <f t="shared" si="0"/>
        <v>1.0900000000000001</v>
      </c>
      <c r="B16" s="651" t="s">
        <v>1478</v>
      </c>
      <c r="C16" s="1047">
        <v>2317959.5400000005</v>
      </c>
      <c r="D16" s="1047">
        <v>285875.21000000002</v>
      </c>
      <c r="E16" s="1109">
        <f t="shared" ref="E16:E38" si="2">+C16+D16</f>
        <v>2603834.7500000005</v>
      </c>
      <c r="F16" s="652"/>
      <c r="G16" s="1364"/>
      <c r="H16" s="174"/>
    </row>
    <row r="17" spans="1:8" s="175" customFormat="1">
      <c r="A17" s="961">
        <f t="shared" si="0"/>
        <v>1.1000000000000001</v>
      </c>
      <c r="B17" s="651" t="s">
        <v>1477</v>
      </c>
      <c r="C17" s="1047">
        <v>0</v>
      </c>
      <c r="D17" s="1047">
        <v>0</v>
      </c>
      <c r="E17" s="1109">
        <f t="shared" si="2"/>
        <v>0</v>
      </c>
      <c r="F17" s="652"/>
      <c r="G17" s="1364"/>
      <c r="H17" s="174"/>
    </row>
    <row r="18" spans="1:8" s="175" customFormat="1">
      <c r="A18" s="961">
        <f t="shared" si="0"/>
        <v>1.1100000000000001</v>
      </c>
      <c r="B18" s="651" t="s">
        <v>377</v>
      </c>
      <c r="C18" s="1047">
        <v>0</v>
      </c>
      <c r="D18" s="1047">
        <v>0</v>
      </c>
      <c r="E18" s="1109">
        <f t="shared" si="2"/>
        <v>0</v>
      </c>
      <c r="F18" s="652"/>
      <c r="G18" s="1364"/>
    </row>
    <row r="19" spans="1:8" s="175" customFormat="1">
      <c r="A19" s="961">
        <f t="shared" si="0"/>
        <v>1.1200000000000001</v>
      </c>
      <c r="B19" s="651" t="s">
        <v>1479</v>
      </c>
      <c r="C19" s="1047">
        <v>0</v>
      </c>
      <c r="D19" s="1047">
        <v>0</v>
      </c>
      <c r="E19" s="1109">
        <f t="shared" si="2"/>
        <v>0</v>
      </c>
      <c r="F19" s="652"/>
      <c r="G19" s="1364"/>
    </row>
    <row r="20" spans="1:8" s="175" customFormat="1">
      <c r="A20" s="961">
        <f t="shared" si="0"/>
        <v>1.1300000000000001</v>
      </c>
      <c r="B20" s="651" t="s">
        <v>1480</v>
      </c>
      <c r="C20" s="1047">
        <v>0</v>
      </c>
      <c r="D20" s="1047">
        <v>0</v>
      </c>
      <c r="E20" s="1109">
        <f t="shared" si="2"/>
        <v>0</v>
      </c>
      <c r="F20" s="652"/>
      <c r="G20" s="1364"/>
    </row>
    <row r="21" spans="1:8" s="175" customFormat="1">
      <c r="A21" s="961">
        <f t="shared" si="0"/>
        <v>1.1400000000000001</v>
      </c>
      <c r="B21" s="651" t="s">
        <v>1489</v>
      </c>
      <c r="C21" s="1047">
        <v>0</v>
      </c>
      <c r="D21" s="1047">
        <v>0</v>
      </c>
      <c r="E21" s="1109">
        <f t="shared" si="2"/>
        <v>0</v>
      </c>
      <c r="F21" s="652"/>
      <c r="G21" s="1364"/>
    </row>
    <row r="22" spans="1:8" s="175" customFormat="1">
      <c r="A22" s="961">
        <f t="shared" si="0"/>
        <v>1.1500000000000001</v>
      </c>
      <c r="B22" s="651" t="s">
        <v>378</v>
      </c>
      <c r="C22" s="1047">
        <v>0</v>
      </c>
      <c r="D22" s="1047">
        <v>0</v>
      </c>
      <c r="E22" s="1109">
        <f t="shared" si="2"/>
        <v>0</v>
      </c>
      <c r="F22" s="652"/>
      <c r="G22" s="1364"/>
    </row>
    <row r="23" spans="1:8" s="175" customFormat="1">
      <c r="A23" s="961">
        <f t="shared" si="0"/>
        <v>1.1600000000000001</v>
      </c>
      <c r="B23" s="651" t="s">
        <v>1487</v>
      </c>
      <c r="C23" s="1047">
        <v>0</v>
      </c>
      <c r="D23" s="1047">
        <v>0</v>
      </c>
      <c r="E23" s="1109">
        <f t="shared" ref="E23" si="3">+C23+D23</f>
        <v>0</v>
      </c>
      <c r="F23" s="652"/>
      <c r="G23" s="1364"/>
    </row>
    <row r="24" spans="1:8" s="175" customFormat="1">
      <c r="A24" s="961">
        <f t="shared" si="0"/>
        <v>1.1700000000000002</v>
      </c>
      <c r="B24" s="651" t="s">
        <v>1488</v>
      </c>
      <c r="C24" s="1047">
        <v>0</v>
      </c>
      <c r="D24" s="1047">
        <v>0</v>
      </c>
      <c r="E24" s="1109">
        <f t="shared" si="2"/>
        <v>0</v>
      </c>
      <c r="F24" s="652"/>
      <c r="G24" s="1364"/>
    </row>
    <row r="25" spans="1:8" s="175" customFormat="1">
      <c r="A25" s="961">
        <f t="shared" si="0"/>
        <v>1.1800000000000002</v>
      </c>
      <c r="B25" s="651" t="s">
        <v>1485</v>
      </c>
      <c r="C25" s="1047">
        <v>0</v>
      </c>
      <c r="D25" s="1047">
        <v>0</v>
      </c>
      <c r="E25" s="1109">
        <f t="shared" si="2"/>
        <v>0</v>
      </c>
      <c r="F25" s="652"/>
      <c r="G25" s="1364"/>
    </row>
    <row r="26" spans="1:8" s="175" customFormat="1">
      <c r="A26" s="961">
        <f t="shared" si="0"/>
        <v>1.1900000000000002</v>
      </c>
      <c r="B26" s="651" t="s">
        <v>381</v>
      </c>
      <c r="C26" s="1047">
        <v>0</v>
      </c>
      <c r="D26" s="1047">
        <v>0</v>
      </c>
      <c r="E26" s="1109">
        <f t="shared" si="2"/>
        <v>0</v>
      </c>
      <c r="F26" s="652"/>
      <c r="G26" s="1364"/>
    </row>
    <row r="27" spans="1:8" s="175" customFormat="1">
      <c r="A27" s="961">
        <f t="shared" ref="A27:A36" si="4">+A26+0.01</f>
        <v>1.2000000000000002</v>
      </c>
      <c r="B27" s="651" t="s">
        <v>382</v>
      </c>
      <c r="C27" s="1047">
        <v>0</v>
      </c>
      <c r="D27" s="1047">
        <v>0</v>
      </c>
      <c r="E27" s="1109">
        <f t="shared" si="2"/>
        <v>0</v>
      </c>
      <c r="F27" s="652"/>
      <c r="G27" s="1364"/>
    </row>
    <row r="28" spans="1:8" s="175" customFormat="1">
      <c r="A28" s="961">
        <f t="shared" si="4"/>
        <v>1.2100000000000002</v>
      </c>
      <c r="B28" s="651" t="s">
        <v>383</v>
      </c>
      <c r="C28" s="1047">
        <v>0</v>
      </c>
      <c r="D28" s="1047">
        <v>0</v>
      </c>
      <c r="E28" s="1109">
        <f t="shared" si="2"/>
        <v>0</v>
      </c>
      <c r="F28" s="652"/>
      <c r="G28" s="1364"/>
    </row>
    <row r="29" spans="1:8" s="175" customFormat="1">
      <c r="A29" s="961">
        <f t="shared" si="4"/>
        <v>1.2200000000000002</v>
      </c>
      <c r="B29" s="651" t="s">
        <v>384</v>
      </c>
      <c r="C29" s="1047">
        <v>0</v>
      </c>
      <c r="D29" s="1047">
        <v>0</v>
      </c>
      <c r="E29" s="1109">
        <f t="shared" si="2"/>
        <v>0</v>
      </c>
      <c r="F29" s="652"/>
      <c r="G29" s="1364"/>
    </row>
    <row r="30" spans="1:8" s="175" customFormat="1">
      <c r="A30" s="961">
        <f t="shared" si="4"/>
        <v>1.2300000000000002</v>
      </c>
      <c r="B30" s="651" t="s">
        <v>385</v>
      </c>
      <c r="C30" s="1047">
        <v>0</v>
      </c>
      <c r="D30" s="1047">
        <v>0</v>
      </c>
      <c r="E30" s="1109">
        <f t="shared" si="2"/>
        <v>0</v>
      </c>
      <c r="F30" s="652"/>
      <c r="G30" s="1364"/>
    </row>
    <row r="31" spans="1:8" s="175" customFormat="1">
      <c r="A31" s="961">
        <f t="shared" si="4"/>
        <v>1.2400000000000002</v>
      </c>
      <c r="B31" s="651" t="s">
        <v>386</v>
      </c>
      <c r="C31" s="1047">
        <v>0</v>
      </c>
      <c r="D31" s="1047">
        <v>0</v>
      </c>
      <c r="E31" s="1109">
        <f t="shared" si="2"/>
        <v>0</v>
      </c>
      <c r="F31" s="652"/>
      <c r="G31" s="1364"/>
    </row>
    <row r="32" spans="1:8" s="175" customFormat="1">
      <c r="A32" s="961">
        <f t="shared" si="4"/>
        <v>1.2500000000000002</v>
      </c>
      <c r="B32" s="651" t="s">
        <v>731</v>
      </c>
      <c r="C32" s="1047">
        <v>0</v>
      </c>
      <c r="D32" s="1047">
        <v>0</v>
      </c>
      <c r="E32" s="1109">
        <f t="shared" si="2"/>
        <v>0</v>
      </c>
      <c r="F32" s="652"/>
    </row>
    <row r="33" spans="1:8" s="175" customFormat="1">
      <c r="A33" s="961">
        <f t="shared" si="4"/>
        <v>1.2600000000000002</v>
      </c>
      <c r="B33" s="651" t="s">
        <v>387</v>
      </c>
      <c r="C33" s="1047">
        <v>0</v>
      </c>
      <c r="D33" s="1047">
        <v>0</v>
      </c>
      <c r="E33" s="1109">
        <f t="shared" si="2"/>
        <v>0</v>
      </c>
      <c r="F33" s="652"/>
      <c r="H33" s="188"/>
    </row>
    <row r="34" spans="1:8" s="175" customFormat="1">
      <c r="A34" s="961">
        <f t="shared" si="4"/>
        <v>1.2700000000000002</v>
      </c>
      <c r="B34" s="651" t="s">
        <v>732</v>
      </c>
      <c r="C34" s="1047">
        <v>0</v>
      </c>
      <c r="D34" s="1047">
        <v>0</v>
      </c>
      <c r="E34" s="1109">
        <f t="shared" si="2"/>
        <v>0</v>
      </c>
      <c r="F34" s="652"/>
      <c r="H34" s="189"/>
    </row>
    <row r="35" spans="1:8" s="175" customFormat="1">
      <c r="A35" s="961">
        <f t="shared" si="4"/>
        <v>1.2800000000000002</v>
      </c>
      <c r="B35" s="651" t="s">
        <v>388</v>
      </c>
      <c r="C35" s="1047">
        <v>0</v>
      </c>
      <c r="D35" s="1047">
        <v>0</v>
      </c>
      <c r="E35" s="1109">
        <f t="shared" si="2"/>
        <v>0</v>
      </c>
      <c r="F35" s="652"/>
      <c r="H35" s="189"/>
    </row>
    <row r="36" spans="1:8" s="175" customFormat="1">
      <c r="A36" s="1451">
        <f t="shared" si="4"/>
        <v>1.2900000000000003</v>
      </c>
      <c r="B36" s="1452" t="s">
        <v>1507</v>
      </c>
      <c r="C36" s="1047">
        <v>0</v>
      </c>
      <c r="D36" s="1047">
        <v>0</v>
      </c>
      <c r="E36" s="1109">
        <f t="shared" si="2"/>
        <v>0</v>
      </c>
      <c r="F36" s="652"/>
      <c r="H36" s="189"/>
    </row>
    <row r="37" spans="1:8" s="175" customFormat="1">
      <c r="A37" s="1451" t="s">
        <v>1498</v>
      </c>
      <c r="B37" s="1452" t="s">
        <v>1507</v>
      </c>
      <c r="C37" s="1047">
        <v>0</v>
      </c>
      <c r="D37" s="1047">
        <v>0</v>
      </c>
      <c r="E37" s="1109">
        <f t="shared" si="2"/>
        <v>0</v>
      </c>
      <c r="F37" s="652"/>
      <c r="H37" s="189"/>
    </row>
    <row r="38" spans="1:8" s="175" customFormat="1">
      <c r="A38" s="1451" t="s">
        <v>1502</v>
      </c>
      <c r="B38" s="1453" t="s">
        <v>1507</v>
      </c>
      <c r="C38" s="1047">
        <v>0</v>
      </c>
      <c r="D38" s="1047">
        <v>0</v>
      </c>
      <c r="E38" s="1109">
        <f t="shared" si="2"/>
        <v>0</v>
      </c>
      <c r="F38" s="652"/>
    </row>
    <row r="39" spans="1:8" s="175" customFormat="1" ht="13.5" thickBot="1">
      <c r="A39" s="960">
        <f>+A7+1</f>
        <v>2</v>
      </c>
      <c r="B39" s="686" t="str">
        <f>+"Total Line "&amp;A7&amp;" Subparts"</f>
        <v>Total Line 1 Subparts</v>
      </c>
      <c r="C39" s="1108">
        <f>SUM(C8:C38)</f>
        <v>2317959.5400000005</v>
      </c>
      <c r="D39" s="1108">
        <f>SUM(D8:D38)</f>
        <v>285875.21000000002</v>
      </c>
      <c r="E39" s="1108">
        <f>SUM(E8:E38)</f>
        <v>2603834.7500000005</v>
      </c>
      <c r="F39" s="652"/>
    </row>
    <row r="40" spans="1:8" s="175" customFormat="1" ht="13.5" thickTop="1">
      <c r="A40" s="960">
        <f>+A39+1</f>
        <v>3</v>
      </c>
      <c r="B40" s="651"/>
      <c r="C40" s="1045"/>
      <c r="D40" s="1045"/>
      <c r="E40" s="1045"/>
      <c r="F40" s="652"/>
    </row>
    <row r="41" spans="1:8" s="647" customFormat="1">
      <c r="A41" s="990">
        <f t="shared" ref="A41:A46" si="5">A40+1</f>
        <v>4</v>
      </c>
      <c r="B41" s="896" t="s">
        <v>1041</v>
      </c>
      <c r="C41" s="912"/>
      <c r="D41" s="912"/>
      <c r="E41" s="912"/>
      <c r="F41" s="897"/>
      <c r="G41" s="175"/>
    </row>
    <row r="42" spans="1:8" s="647" customFormat="1">
      <c r="A42" s="990">
        <f t="shared" si="5"/>
        <v>5</v>
      </c>
      <c r="B42" s="898" t="s">
        <v>1149</v>
      </c>
      <c r="C42" s="912">
        <f>+C9+C10+C11+C12</f>
        <v>0</v>
      </c>
      <c r="D42" s="912">
        <f>+D9+D10+D11+D12</f>
        <v>0</v>
      </c>
      <c r="E42" s="912">
        <f>+E9+E10+E11+E12</f>
        <v>0</v>
      </c>
      <c r="F42" s="912"/>
      <c r="G42" s="912"/>
    </row>
    <row r="43" spans="1:8" s="647" customFormat="1" ht="15">
      <c r="A43" s="990">
        <f t="shared" si="5"/>
        <v>6</v>
      </c>
      <c r="B43" s="1105" t="s">
        <v>975</v>
      </c>
      <c r="C43" s="1106">
        <f>+C13+C14</f>
        <v>0</v>
      </c>
      <c r="D43" s="1106">
        <f>+D13+D14</f>
        <v>0</v>
      </c>
      <c r="E43" s="1106">
        <f>+E13+E14</f>
        <v>0</v>
      </c>
      <c r="F43" s="719"/>
    </row>
    <row r="44" spans="1:8" s="647" customFormat="1">
      <c r="A44" s="990">
        <f t="shared" si="5"/>
        <v>7</v>
      </c>
      <c r="B44" s="1107" t="str">
        <f>+"Total Account 561 Lines "&amp;A42&amp;" + "&amp;A43</f>
        <v>Total Account 561 Lines 5 + 6</v>
      </c>
      <c r="C44" s="912">
        <f>+C42+C43</f>
        <v>0</v>
      </c>
      <c r="D44" s="912">
        <f>+D42+D43</f>
        <v>0</v>
      </c>
      <c r="E44" s="912">
        <f>+E42+E43</f>
        <v>0</v>
      </c>
      <c r="F44" s="912"/>
    </row>
    <row r="45" spans="1:8" s="647" customFormat="1">
      <c r="A45" s="990">
        <f t="shared" si="5"/>
        <v>8</v>
      </c>
      <c r="B45" s="1244" t="s">
        <v>1355</v>
      </c>
      <c r="C45" s="1106">
        <f>+SUM(C8:C24)-C14</f>
        <v>2317959.5400000005</v>
      </c>
      <c r="D45" s="1106">
        <f>+SUM(D8:D24)-D14</f>
        <v>285875.21000000002</v>
      </c>
      <c r="E45" s="1106">
        <f>+SUM(E8:E24)-E14</f>
        <v>2603834.7500000005</v>
      </c>
      <c r="F45" s="935"/>
    </row>
    <row r="46" spans="1:8" s="647" customFormat="1">
      <c r="A46" s="990">
        <f t="shared" si="5"/>
        <v>9</v>
      </c>
      <c r="B46" s="896" t="str">
        <f>+"Total Transmission O&amp;M  (Line "&amp;A44&amp;" + Line "&amp;A45&amp;")"</f>
        <v>Total Transmission O&amp;M  (Line 7 + Line 8)</v>
      </c>
      <c r="C46" s="912">
        <f>+C44+C45</f>
        <v>2317959.5400000005</v>
      </c>
      <c r="D46" s="912">
        <f>+D44+D45</f>
        <v>285875.21000000002</v>
      </c>
      <c r="E46" s="912">
        <f>+E44+E45</f>
        <v>2603834.7500000005</v>
      </c>
      <c r="F46" s="912"/>
    </row>
    <row r="47" spans="1:8" s="175" customFormat="1">
      <c r="A47" s="990">
        <f>+A46+1</f>
        <v>10</v>
      </c>
      <c r="B47" s="651"/>
      <c r="C47" s="1045"/>
      <c r="D47" s="1045"/>
      <c r="E47" s="1045"/>
      <c r="F47" s="297"/>
      <c r="G47" s="652"/>
    </row>
    <row r="48" spans="1:8" s="175" customFormat="1">
      <c r="A48" s="990">
        <f>+A47+1</f>
        <v>11</v>
      </c>
      <c r="B48" s="896" t="s">
        <v>245</v>
      </c>
      <c r="C48" s="912"/>
      <c r="D48" s="912"/>
      <c r="E48" s="912"/>
      <c r="F48" s="652"/>
    </row>
    <row r="49" spans="1:7" s="175" customFormat="1">
      <c r="A49" s="990">
        <f>+A48+1</f>
        <v>12</v>
      </c>
      <c r="B49" s="898" t="s">
        <v>1173</v>
      </c>
      <c r="C49" s="912"/>
      <c r="D49" s="912"/>
      <c r="E49" s="912"/>
      <c r="F49" s="652"/>
    </row>
    <row r="50" spans="1:7" s="175" customFormat="1">
      <c r="A50" s="990">
        <f>+A49+1</f>
        <v>13</v>
      </c>
      <c r="B50" s="1410" t="s">
        <v>1486</v>
      </c>
      <c r="C50" s="914"/>
      <c r="D50" s="914"/>
      <c r="E50" s="914"/>
      <c r="F50" s="652"/>
    </row>
    <row r="51" spans="1:7" s="175" customFormat="1">
      <c r="A51" s="960">
        <f t="shared" ref="A51:A65" si="6">+A50+1</f>
        <v>14</v>
      </c>
      <c r="B51" s="898" t="s">
        <v>1171</v>
      </c>
      <c r="C51" s="914"/>
      <c r="D51" s="914"/>
      <c r="E51" s="914"/>
      <c r="F51" s="652"/>
    </row>
    <row r="52" spans="1:7" s="175" customFormat="1">
      <c r="A52" s="960">
        <f t="shared" si="6"/>
        <v>15</v>
      </c>
      <c r="B52" s="898" t="s">
        <v>1165</v>
      </c>
      <c r="C52" s="912"/>
      <c r="D52" s="912"/>
      <c r="E52" s="912"/>
      <c r="F52" s="652"/>
    </row>
    <row r="53" spans="1:7" s="175" customFormat="1">
      <c r="A53" s="960">
        <f t="shared" si="6"/>
        <v>16</v>
      </c>
      <c r="B53" s="898" t="s">
        <v>1164</v>
      </c>
      <c r="C53" s="912">
        <f>+SUM(C8:C24)</f>
        <v>2317959.5400000005</v>
      </c>
      <c r="D53" s="912">
        <f>+SUM(D8:D24)</f>
        <v>285875.21000000002</v>
      </c>
      <c r="E53" s="912">
        <f>+SUM(E8:E24)</f>
        <v>2603834.7500000005</v>
      </c>
      <c r="F53" s="652"/>
    </row>
    <row r="54" spans="1:7" s="175" customFormat="1">
      <c r="A54" s="960">
        <f t="shared" si="6"/>
        <v>17</v>
      </c>
      <c r="B54" s="898" t="s">
        <v>1166</v>
      </c>
      <c r="C54" s="912"/>
      <c r="D54" s="912"/>
      <c r="E54" s="912"/>
      <c r="F54" s="652"/>
    </row>
    <row r="55" spans="1:7" s="175" customFormat="1">
      <c r="A55" s="960">
        <f t="shared" si="6"/>
        <v>18</v>
      </c>
      <c r="B55" s="898" t="s">
        <v>1167</v>
      </c>
      <c r="C55" s="912"/>
      <c r="D55" s="912"/>
      <c r="E55" s="912"/>
      <c r="F55" s="652"/>
    </row>
    <row r="56" spans="1:7" s="175" customFormat="1">
      <c r="A56" s="960">
        <f t="shared" si="6"/>
        <v>19</v>
      </c>
      <c r="B56" s="898" t="s">
        <v>1168</v>
      </c>
      <c r="C56" s="912"/>
      <c r="D56" s="912"/>
      <c r="E56" s="912"/>
      <c r="F56" s="652"/>
    </row>
    <row r="57" spans="1:7" s="175" customFormat="1">
      <c r="A57" s="960">
        <f t="shared" si="6"/>
        <v>20</v>
      </c>
      <c r="B57" s="898" t="s">
        <v>1169</v>
      </c>
      <c r="C57" s="912"/>
      <c r="D57" s="912"/>
      <c r="E57" s="912"/>
      <c r="F57" s="652"/>
    </row>
    <row r="58" spans="1:7" s="175" customFormat="1">
      <c r="A58" s="960">
        <f t="shared" si="6"/>
        <v>21</v>
      </c>
      <c r="B58" s="898" t="s">
        <v>1170</v>
      </c>
      <c r="C58" s="1046">
        <f>+SUM(C25:C38)</f>
        <v>0</v>
      </c>
      <c r="D58" s="1046">
        <f>+SUM(D25:D38)</f>
        <v>0</v>
      </c>
      <c r="E58" s="1046">
        <f>+SUM(E25:E38)</f>
        <v>0</v>
      </c>
      <c r="F58" s="652"/>
    </row>
    <row r="59" spans="1:7" s="175" customFormat="1" ht="13.5" thickBot="1">
      <c r="A59" s="960">
        <f t="shared" si="6"/>
        <v>22</v>
      </c>
      <c r="B59" s="896" t="str">
        <f>+"Total Lines ("&amp;A49&amp;" to "&amp;A58&amp;")"</f>
        <v>Total Lines (12 to 21)</v>
      </c>
      <c r="C59" s="913">
        <f>SUM(C49:C58)</f>
        <v>2317959.5400000005</v>
      </c>
      <c r="D59" s="913">
        <f>SUM(D49:D58)</f>
        <v>285875.21000000002</v>
      </c>
      <c r="E59" s="913">
        <f>SUM(E49:E58)</f>
        <v>2603834.7500000005</v>
      </c>
      <c r="F59" s="652"/>
    </row>
    <row r="60" spans="1:7" s="175" customFormat="1" ht="13.5" thickTop="1">
      <c r="A60" s="960">
        <f t="shared" si="6"/>
        <v>23</v>
      </c>
      <c r="B60" s="896"/>
      <c r="C60" s="912"/>
      <c r="D60" s="912"/>
      <c r="E60" s="912"/>
      <c r="F60" s="652"/>
    </row>
    <row r="61" spans="1:7" s="1130" customFormat="1">
      <c r="A61" s="1033">
        <f t="shared" si="6"/>
        <v>24</v>
      </c>
      <c r="B61" s="1133" t="str">
        <f>+"Payroll O&amp;M Excl A&amp;G  Sum (Ln "&amp;A49&amp;" To Ln "&amp;A57&amp;")"</f>
        <v>Payroll O&amp;M Excl A&amp;G  Sum (Ln 12 To Ln 20)</v>
      </c>
      <c r="C61" s="1135"/>
      <c r="D61" s="1135">
        <f>+SUM(D49:D57)</f>
        <v>285875.21000000002</v>
      </c>
      <c r="E61" s="1135"/>
      <c r="F61" s="1135"/>
      <c r="G61" s="1135"/>
    </row>
    <row r="62" spans="1:7" s="175" customFormat="1">
      <c r="A62" s="960">
        <f t="shared" si="6"/>
        <v>25</v>
      </c>
      <c r="B62" s="896"/>
      <c r="C62" s="912"/>
      <c r="D62" s="912"/>
      <c r="E62" s="912"/>
      <c r="F62" s="652"/>
    </row>
    <row r="63" spans="1:7" s="175" customFormat="1">
      <c r="A63" s="960">
        <f t="shared" si="6"/>
        <v>26</v>
      </c>
      <c r="B63" s="896" t="s">
        <v>1229</v>
      </c>
      <c r="C63" s="297"/>
      <c r="D63" s="297"/>
      <c r="E63" s="1047">
        <v>29122139</v>
      </c>
      <c r="F63" s="652"/>
    </row>
    <row r="64" spans="1:7" s="175" customFormat="1">
      <c r="A64" s="960">
        <f t="shared" si="6"/>
        <v>27</v>
      </c>
      <c r="B64" s="896" t="s">
        <v>1230</v>
      </c>
      <c r="C64" s="297"/>
      <c r="D64" s="297"/>
      <c r="E64" s="1048">
        <v>23057124</v>
      </c>
      <c r="F64" s="652"/>
    </row>
    <row r="65" spans="1:6" s="175" customFormat="1">
      <c r="A65" s="960">
        <f t="shared" si="6"/>
        <v>28</v>
      </c>
      <c r="B65" s="896" t="str">
        <f>+"Account 924 without Storm Damage Accrual  (Ln "&amp;A63&amp;" Less Ln "&amp;A64&amp;")"</f>
        <v>Account 924 without Storm Damage Accrual  (Ln 26 Less Ln 27)</v>
      </c>
      <c r="C65" s="297"/>
      <c r="D65" s="297"/>
      <c r="E65" s="1109">
        <f>+E63-E64</f>
        <v>6065015</v>
      </c>
      <c r="F65" s="652"/>
    </row>
    <row r="66" spans="1:6" s="175" customFormat="1">
      <c r="A66" s="1031"/>
      <c r="B66" s="651"/>
      <c r="C66" s="297"/>
      <c r="D66" s="297"/>
      <c r="E66" s="297"/>
      <c r="F66" s="652"/>
    </row>
    <row r="67" spans="1:6" s="175" customFormat="1">
      <c r="A67" s="686" t="s">
        <v>746</v>
      </c>
      <c r="C67" s="297"/>
      <c r="D67" s="297"/>
      <c r="E67" s="297"/>
      <c r="F67" s="652"/>
    </row>
    <row r="68" spans="1:6" s="175" customFormat="1" ht="180" customHeight="1">
      <c r="A68" s="778" t="s">
        <v>367</v>
      </c>
      <c r="B68" s="1751" t="s">
        <v>1726</v>
      </c>
      <c r="C68" s="1751"/>
      <c r="D68" s="1751"/>
      <c r="E68" s="1751"/>
      <c r="F68" s="652"/>
    </row>
    <row r="69" spans="1:6" s="175" customFormat="1">
      <c r="A69" s="776"/>
      <c r="B69" s="174"/>
      <c r="C69" s="174"/>
      <c r="D69" s="174"/>
      <c r="E69" s="174"/>
    </row>
    <row r="70" spans="1:6" s="175" customFormat="1">
      <c r="A70" s="776"/>
      <c r="B70" s="174"/>
      <c r="C70" s="174"/>
      <c r="D70" s="174"/>
      <c r="E70" s="174"/>
    </row>
    <row r="71" spans="1:6" s="175" customFormat="1">
      <c r="A71" s="776"/>
      <c r="B71" s="174"/>
      <c r="C71" s="174"/>
      <c r="D71" s="174"/>
      <c r="E71" s="174"/>
    </row>
    <row r="72" spans="1:6" s="175" customFormat="1">
      <c r="A72" s="776"/>
      <c r="B72" s="174"/>
      <c r="C72" s="174"/>
      <c r="D72" s="174"/>
      <c r="E72" s="174"/>
    </row>
    <row r="73" spans="1:6" s="175" customFormat="1">
      <c r="A73" s="776"/>
      <c r="B73" s="174"/>
      <c r="C73" s="174"/>
      <c r="D73" s="174"/>
      <c r="E73" s="174"/>
    </row>
    <row r="74" spans="1:6" s="175" customFormat="1">
      <c r="A74" s="777"/>
      <c r="B74" s="174"/>
      <c r="C74" s="174"/>
      <c r="D74" s="174"/>
      <c r="E74" s="174"/>
    </row>
    <row r="75" spans="1:6" s="175" customFormat="1">
      <c r="A75" s="777"/>
      <c r="B75" s="174"/>
      <c r="C75" s="174"/>
      <c r="D75" s="174"/>
      <c r="E75" s="174"/>
    </row>
    <row r="76" spans="1:6" s="175" customFormat="1">
      <c r="A76" s="777"/>
      <c r="B76" s="174"/>
      <c r="C76" s="174"/>
      <c r="D76" s="174"/>
      <c r="E76" s="174"/>
    </row>
    <row r="77" spans="1:6" s="175" customFormat="1">
      <c r="A77" s="777"/>
      <c r="B77" s="174"/>
      <c r="C77" s="174"/>
      <c r="D77" s="174"/>
      <c r="E77" s="174"/>
    </row>
    <row r="78" spans="1:6" s="175" customFormat="1">
      <c r="A78" s="777"/>
      <c r="B78" s="174"/>
      <c r="C78" s="174"/>
      <c r="D78" s="174"/>
      <c r="E78" s="174"/>
    </row>
    <row r="79" spans="1:6" s="175" customFormat="1">
      <c r="A79" s="777"/>
      <c r="B79" s="174"/>
      <c r="C79" s="174"/>
      <c r="D79" s="174"/>
      <c r="E79" s="174"/>
      <c r="F79" s="899"/>
    </row>
    <row r="80" spans="1:6" s="175" customFormat="1">
      <c r="A80" s="777"/>
      <c r="B80" s="174"/>
      <c r="C80" s="174"/>
      <c r="D80" s="174"/>
      <c r="E80" s="174"/>
      <c r="F80" s="174"/>
    </row>
    <row r="81" spans="1:6" s="175" customFormat="1">
      <c r="A81" s="777"/>
      <c r="B81" s="174"/>
      <c r="C81" s="174"/>
      <c r="D81" s="174"/>
      <c r="E81" s="174"/>
      <c r="F81" s="174"/>
    </row>
  </sheetData>
  <mergeCells count="4">
    <mergeCell ref="B68:E68"/>
    <mergeCell ref="A1:E1"/>
    <mergeCell ref="A2:E2"/>
    <mergeCell ref="A3:E3"/>
  </mergeCells>
  <printOptions horizontalCentered="1"/>
  <pageMargins left="0.7" right="0.7" top="0.7" bottom="0.7" header="0.3" footer="0.5"/>
  <pageSetup scale="64" orientation="portrait" r:id="rId1"/>
  <headerFooter>
    <oddFooter>&amp;CPage &amp;P of &amp;N&amp;R&amp;A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sqref="A1:E1"/>
    </sheetView>
  </sheetViews>
  <sheetFormatPr defaultColWidth="22.42578125" defaultRowHeight="12.75"/>
  <cols>
    <col min="1" max="1" width="6.140625" style="211" bestFit="1" customWidth="1"/>
    <col min="2" max="2" width="26.28515625" bestFit="1" customWidth="1"/>
    <col min="3" max="5" width="15.5703125" customWidth="1"/>
  </cols>
  <sheetData>
    <row r="1" spans="1:8" s="227" customFormat="1">
      <c r="A1" s="1754" t="str">
        <f>+'MISO Cover'!C6</f>
        <v>Entergy Arkansas, Inc.</v>
      </c>
      <c r="B1" s="1754"/>
      <c r="C1" s="1754"/>
      <c r="D1" s="1754"/>
      <c r="E1" s="1754"/>
    </row>
    <row r="2" spans="1:8" ht="15">
      <c r="A2" s="1755" t="s">
        <v>1180</v>
      </c>
      <c r="B2" s="1755"/>
      <c r="C2" s="1755"/>
      <c r="D2" s="1755"/>
      <c r="E2" s="1755"/>
      <c r="F2" s="190"/>
      <c r="G2" s="190"/>
      <c r="H2" s="190"/>
    </row>
    <row r="3" spans="1:8" s="227" customFormat="1" ht="15">
      <c r="A3" s="1723" t="str">
        <f>+'MISO Cover'!K4</f>
        <v>For  the 12 Months Ended 12/31/2014</v>
      </c>
      <c r="B3" s="1723"/>
      <c r="C3" s="1723"/>
      <c r="D3" s="1723"/>
      <c r="E3" s="1723"/>
      <c r="F3" s="228"/>
      <c r="G3" s="228"/>
      <c r="H3" s="228"/>
    </row>
    <row r="4" spans="1:8" s="227" customFormat="1" ht="15">
      <c r="A4" s="723"/>
      <c r="B4" s="722"/>
      <c r="C4" s="722"/>
      <c r="D4" s="722"/>
      <c r="E4" s="722"/>
      <c r="F4" s="228"/>
      <c r="G4" s="228"/>
      <c r="H4" s="228"/>
    </row>
    <row r="5" spans="1:8" ht="15">
      <c r="A5" s="211" t="s">
        <v>663</v>
      </c>
      <c r="B5" s="528" t="s">
        <v>261</v>
      </c>
      <c r="C5" s="528" t="s">
        <v>309</v>
      </c>
      <c r="D5" s="528" t="s">
        <v>249</v>
      </c>
      <c r="E5" s="528" t="s">
        <v>262</v>
      </c>
      <c r="F5" s="191"/>
      <c r="G5" s="191"/>
      <c r="H5" s="191"/>
    </row>
    <row r="6" spans="1:8" ht="15">
      <c r="A6" s="1290">
        <v>1</v>
      </c>
      <c r="B6" s="1257" t="s">
        <v>307</v>
      </c>
      <c r="C6" s="688" t="s">
        <v>1264</v>
      </c>
      <c r="D6" s="688" t="s">
        <v>1277</v>
      </c>
      <c r="E6" s="688" t="s">
        <v>1278</v>
      </c>
      <c r="F6" s="532"/>
      <c r="G6" s="191"/>
      <c r="H6" s="191"/>
    </row>
    <row r="7" spans="1:8" ht="15">
      <c r="A7" s="1454">
        <f>+A6+0.1</f>
        <v>1.1000000000000001</v>
      </c>
      <c r="B7" s="1444" t="s">
        <v>1507</v>
      </c>
      <c r="C7" s="1455">
        <v>0</v>
      </c>
      <c r="D7" s="1455"/>
      <c r="E7" s="1455"/>
      <c r="F7" s="1412"/>
      <c r="G7" s="191"/>
      <c r="H7" s="191"/>
    </row>
    <row r="8" spans="1:8" ht="15">
      <c r="A8" s="1454" t="s">
        <v>1498</v>
      </c>
      <c r="B8" s="1444" t="s">
        <v>1507</v>
      </c>
      <c r="C8" s="1455">
        <v>0</v>
      </c>
      <c r="D8" s="1455"/>
      <c r="E8" s="1455"/>
      <c r="F8" s="1412"/>
      <c r="G8" s="191"/>
      <c r="H8" s="191"/>
    </row>
    <row r="9" spans="1:8" ht="15">
      <c r="A9" s="1454" t="s">
        <v>1502</v>
      </c>
      <c r="B9" s="1444" t="s">
        <v>1507</v>
      </c>
      <c r="C9" s="1456">
        <v>0</v>
      </c>
      <c r="D9" s="1455"/>
      <c r="E9" s="1455"/>
      <c r="F9" s="1288"/>
      <c r="G9" s="191"/>
      <c r="H9" s="191"/>
    </row>
    <row r="10" spans="1:8">
      <c r="A10" s="1291">
        <f>+A6+1</f>
        <v>2</v>
      </c>
      <c r="B10" s="1257" t="str">
        <f>+"Total  Sum of Line "&amp;A6&amp;" Subparts"</f>
        <v>Total  Sum of Line 1 Subparts</v>
      </c>
      <c r="C10" s="865">
        <f>SUM(C7:C9)</f>
        <v>0</v>
      </c>
      <c r="D10" s="44"/>
      <c r="E10" s="44"/>
    </row>
    <row r="11" spans="1:8">
      <c r="A11" s="1291"/>
      <c r="B11" s="1257"/>
      <c r="C11" s="44"/>
      <c r="D11" s="44"/>
      <c r="E11" s="44"/>
    </row>
    <row r="12" spans="1:8">
      <c r="A12" s="1256"/>
      <c r="B12" s="43"/>
      <c r="C12" s="44"/>
      <c r="D12" s="44"/>
      <c r="E12" s="44"/>
    </row>
    <row r="13" spans="1:8">
      <c r="A13" s="44" t="s">
        <v>746</v>
      </c>
      <c r="C13" s="44"/>
      <c r="D13" s="44"/>
      <c r="E13" s="44"/>
    </row>
    <row r="14" spans="1:8" s="724" customFormat="1" ht="40.15" customHeight="1">
      <c r="A14" s="1258" t="s">
        <v>367</v>
      </c>
      <c r="B14" s="1708" t="s">
        <v>1523</v>
      </c>
      <c r="C14" s="1708"/>
      <c r="D14" s="1708"/>
      <c r="E14" s="1708"/>
      <c r="F14" s="188"/>
    </row>
    <row r="15" spans="1:8" s="724" customFormat="1" ht="27" customHeight="1">
      <c r="A15" s="1258" t="s">
        <v>769</v>
      </c>
      <c r="B15" s="1708" t="s">
        <v>1263</v>
      </c>
      <c r="C15" s="1708"/>
      <c r="D15" s="1708"/>
      <c r="E15" s="1708"/>
      <c r="F15" s="188"/>
    </row>
    <row r="16" spans="1:8">
      <c r="A16" s="1258"/>
      <c r="B16" s="43"/>
      <c r="C16" s="43"/>
      <c r="D16" s="43"/>
      <c r="E16" s="43"/>
    </row>
    <row r="17" spans="1:5">
      <c r="A17" s="1256"/>
      <c r="B17" s="43"/>
      <c r="C17" s="43"/>
      <c r="D17" s="43"/>
      <c r="E17" s="43"/>
    </row>
    <row r="18" spans="1:5">
      <c r="A18" s="1256"/>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103" type="noConversion"/>
  <printOptions horizontalCentered="1"/>
  <pageMargins left="0.7" right="0.7" top="0.7" bottom="0.7" header="0.3" footer="0.5"/>
  <pageSetup orientation="portrait" r:id="rId1"/>
  <headerFooter>
    <oddFooter>&amp;CPage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sqref="A1:C18"/>
    </sheetView>
  </sheetViews>
  <sheetFormatPr defaultColWidth="9.140625" defaultRowHeight="12.75"/>
  <cols>
    <col min="1" max="1" width="4.28515625" style="855" bestFit="1" customWidth="1"/>
    <col min="2" max="2" width="66.85546875" style="855" customWidth="1"/>
    <col min="3" max="3" width="17.85546875" style="855" customWidth="1"/>
    <col min="4" max="4" width="11.5703125" style="855" bestFit="1" customWidth="1"/>
    <col min="5" max="16384" width="9.140625" style="855"/>
  </cols>
  <sheetData>
    <row r="1" spans="1:11">
      <c r="A1" s="1758" t="str">
        <f>+'MISO Cover'!C6</f>
        <v>Entergy Arkansas, Inc.</v>
      </c>
      <c r="B1" s="1758"/>
      <c r="C1" s="1758"/>
      <c r="D1" s="857"/>
    </row>
    <row r="2" spans="1:11">
      <c r="A2" s="1760" t="s">
        <v>1235</v>
      </c>
      <c r="B2" s="1760"/>
      <c r="C2" s="1760"/>
      <c r="D2" s="857"/>
    </row>
    <row r="3" spans="1:11">
      <c r="A3" s="1761" t="str">
        <f>+'MISO Cover'!K4</f>
        <v>For  the 12 Months Ended 12/31/2014</v>
      </c>
      <c r="B3" s="1761"/>
      <c r="C3" s="1761"/>
      <c r="D3" s="858"/>
    </row>
    <row r="4" spans="1:11">
      <c r="B4" s="859"/>
      <c r="C4" s="859"/>
      <c r="D4" s="859"/>
    </row>
    <row r="5" spans="1:11">
      <c r="B5" s="819"/>
      <c r="C5" s="819"/>
      <c r="D5" s="819"/>
    </row>
    <row r="6" spans="1:11" s="856" customFormat="1" ht="15">
      <c r="A6" s="556" t="s">
        <v>663</v>
      </c>
      <c r="B6" s="576" t="s">
        <v>261</v>
      </c>
      <c r="C6" s="576" t="s">
        <v>309</v>
      </c>
      <c r="D6" s="576"/>
    </row>
    <row r="7" spans="1:11" ht="15">
      <c r="A7" s="556"/>
      <c r="B7" s="1759"/>
      <c r="C7" s="1759"/>
    </row>
    <row r="8" spans="1:11" s="556" customFormat="1" ht="15">
      <c r="A8" s="978"/>
      <c r="B8" s="1529" t="s">
        <v>307</v>
      </c>
      <c r="C8" s="1530" t="s">
        <v>343</v>
      </c>
    </row>
    <row r="9" spans="1:11">
      <c r="A9" s="978">
        <v>1</v>
      </c>
      <c r="B9" s="979" t="s">
        <v>1279</v>
      </c>
      <c r="C9" s="1235">
        <v>0</v>
      </c>
      <c r="D9" s="1055"/>
    </row>
    <row r="10" spans="1:11">
      <c r="A10" s="978">
        <f>+A9+1</f>
        <v>2</v>
      </c>
      <c r="B10" s="979" t="s">
        <v>1361</v>
      </c>
      <c r="C10" s="1237">
        <v>0</v>
      </c>
      <c r="D10" s="1145"/>
    </row>
    <row r="11" spans="1:11">
      <c r="A11" s="978">
        <f>+A10+1</f>
        <v>3</v>
      </c>
      <c r="B11" s="979" t="s">
        <v>1362</v>
      </c>
      <c r="C11" s="1255">
        <f>+C9-C10</f>
        <v>0</v>
      </c>
      <c r="E11" s="1145" t="s">
        <v>1408</v>
      </c>
    </row>
    <row r="12" spans="1:11">
      <c r="A12" s="978"/>
      <c r="B12" s="979"/>
      <c r="C12" s="790"/>
    </row>
    <row r="13" spans="1:11">
      <c r="A13" s="978"/>
      <c r="B13" s="979"/>
      <c r="C13" s="790"/>
    </row>
    <row r="14" spans="1:11" s="980" customFormat="1">
      <c r="A14" s="980" t="s">
        <v>746</v>
      </c>
    </row>
    <row r="15" spans="1:11" s="980" customFormat="1" ht="44.45" customHeight="1">
      <c r="A15" s="981" t="s">
        <v>367</v>
      </c>
      <c r="B15" s="1757" t="s">
        <v>1729</v>
      </c>
      <c r="C15" s="1756"/>
    </row>
    <row r="16" spans="1:11" s="980" customFormat="1" ht="27" customHeight="1">
      <c r="A16" s="981" t="s">
        <v>769</v>
      </c>
      <c r="B16" s="1756" t="str">
        <f>+"See Appendix A Note "&amp;'Appendix A'!A307&amp;".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1756"/>
      <c r="D16" s="1236"/>
      <c r="E16" s="1236"/>
      <c r="F16" s="1236"/>
      <c r="G16" s="1236"/>
      <c r="H16" s="1236"/>
      <c r="I16" s="1236"/>
      <c r="J16" s="1236"/>
      <c r="K16" s="1236"/>
    </row>
  </sheetData>
  <mergeCells count="6">
    <mergeCell ref="B16:C16"/>
    <mergeCell ref="B15:C15"/>
    <mergeCell ref="A1:C1"/>
    <mergeCell ref="B7:C7"/>
    <mergeCell ref="A2:C2"/>
    <mergeCell ref="A3:C3"/>
  </mergeCells>
  <phoneticPr fontId="103" type="noConversion"/>
  <printOptions horizontalCentered="1"/>
  <pageMargins left="0.7" right="0.7" top="0.7" bottom="0.7" header="0.3" footer="0.5"/>
  <pageSetup orientation="portrait" r:id="rId1"/>
  <headerFooter>
    <oddFooter>&amp;CPage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1"/>
  <sheetViews>
    <sheetView topLeftCell="A7" zoomScaleNormal="100" workbookViewId="0">
      <selection activeCell="C38" sqref="C38"/>
    </sheetView>
  </sheetViews>
  <sheetFormatPr defaultColWidth="8.85546875" defaultRowHeight="14.25"/>
  <cols>
    <col min="1" max="1" width="4.85546875" style="229" customWidth="1"/>
    <col min="2" max="2" width="51.140625" style="229" customWidth="1"/>
    <col min="3" max="3" width="13.28515625" style="229" customWidth="1"/>
    <col min="4" max="4" width="13.28515625" style="548" customWidth="1"/>
    <col min="5" max="5" width="17.7109375" style="548" customWidth="1"/>
    <col min="6" max="7" width="13.28515625" style="548" customWidth="1"/>
    <col min="8" max="8" width="12.42578125" style="233" customWidth="1"/>
    <col min="9" max="16384" width="8.85546875" style="229"/>
  </cols>
  <sheetData>
    <row r="1" spans="1:9">
      <c r="A1" s="1728" t="str">
        <f>+'MISO Cover'!C6</f>
        <v>Entergy Arkansas, Inc.</v>
      </c>
      <c r="B1" s="1728"/>
      <c r="C1" s="1728"/>
      <c r="D1" s="1728"/>
      <c r="E1" s="1728"/>
      <c r="F1" s="1728"/>
      <c r="G1" s="1728"/>
      <c r="H1" s="1728"/>
      <c r="I1" s="862"/>
    </row>
    <row r="2" spans="1:9" s="230" customFormat="1">
      <c r="A2" s="1729" t="s">
        <v>1140</v>
      </c>
      <c r="B2" s="1729"/>
      <c r="C2" s="1729"/>
      <c r="D2" s="1729"/>
      <c r="E2" s="1729"/>
      <c r="F2" s="1729"/>
      <c r="G2" s="1729"/>
      <c r="H2" s="1729"/>
      <c r="I2" s="179"/>
    </row>
    <row r="3" spans="1:9" s="230" customFormat="1">
      <c r="A3" s="1729" t="str">
        <f>+'MISO Cover'!K4</f>
        <v>For  the 12 Months Ended 12/31/2014</v>
      </c>
      <c r="B3" s="1729"/>
      <c r="C3" s="1729"/>
      <c r="D3" s="1729"/>
      <c r="E3" s="1729"/>
      <c r="F3" s="1729"/>
      <c r="G3" s="1729"/>
      <c r="H3" s="1729"/>
      <c r="I3" s="179"/>
    </row>
    <row r="4" spans="1:9" s="230" customFormat="1">
      <c r="A4" s="733"/>
      <c r="B4" s="733"/>
      <c r="C4" s="733"/>
      <c r="D4" s="733"/>
      <c r="E4" s="733"/>
      <c r="F4" s="733"/>
      <c r="G4" s="733"/>
      <c r="H4" s="733"/>
      <c r="I4" s="179"/>
    </row>
    <row r="5" spans="1:9" s="230" customFormat="1">
      <c r="A5" s="546" t="s">
        <v>663</v>
      </c>
      <c r="B5" s="546" t="s">
        <v>261</v>
      </c>
      <c r="C5" s="546" t="s">
        <v>309</v>
      </c>
      <c r="D5" s="626" t="s">
        <v>249</v>
      </c>
      <c r="E5" s="626" t="s">
        <v>262</v>
      </c>
      <c r="F5" s="529" t="s">
        <v>260</v>
      </c>
      <c r="G5" s="529" t="s">
        <v>351</v>
      </c>
      <c r="H5" s="550" t="s">
        <v>263</v>
      </c>
      <c r="I5" s="179"/>
    </row>
    <row r="6" spans="1:9">
      <c r="A6" s="610"/>
      <c r="B6" s="578"/>
      <c r="C6" s="578"/>
      <c r="D6" s="627"/>
      <c r="E6" s="624"/>
      <c r="F6" s="624"/>
      <c r="G6" s="624"/>
      <c r="H6" s="578"/>
      <c r="I6" s="605"/>
    </row>
    <row r="7" spans="1:9" ht="21.6" customHeight="1">
      <c r="A7" s="920">
        <v>1</v>
      </c>
      <c r="B7" s="1622" t="s">
        <v>200</v>
      </c>
      <c r="C7" s="1261" t="s">
        <v>343</v>
      </c>
      <c r="D7" s="1623" t="s">
        <v>1206</v>
      </c>
      <c r="E7" s="1623" t="s">
        <v>1208</v>
      </c>
      <c r="F7" s="1619" t="s">
        <v>1207</v>
      </c>
      <c r="G7" s="1619" t="s">
        <v>1209</v>
      </c>
      <c r="H7" s="1261" t="s">
        <v>335</v>
      </c>
      <c r="I7" s="605"/>
    </row>
    <row r="8" spans="1:9">
      <c r="A8" s="921">
        <f>+A7+0.01</f>
        <v>1.01</v>
      </c>
      <c r="B8" s="1405" t="s">
        <v>606</v>
      </c>
      <c r="C8" s="1440">
        <v>-24616373</v>
      </c>
      <c r="D8" s="1319">
        <f>+C8</f>
        <v>-24616373</v>
      </c>
      <c r="E8" s="1320"/>
      <c r="F8" s="1320"/>
      <c r="G8" s="1320"/>
      <c r="H8" s="1464" t="s">
        <v>1736</v>
      </c>
      <c r="I8" s="1321"/>
    </row>
    <row r="9" spans="1:9">
      <c r="A9" s="921">
        <f t="shared" ref="A9:A33" si="0">+A8+0.01</f>
        <v>1.02</v>
      </c>
      <c r="B9" s="1406" t="s">
        <v>201</v>
      </c>
      <c r="C9" s="1440">
        <v>3434698</v>
      </c>
      <c r="D9" s="1322"/>
      <c r="E9" s="1320"/>
      <c r="F9" s="1320"/>
      <c r="G9" s="1320">
        <f>+C9</f>
        <v>3434698</v>
      </c>
      <c r="H9" s="1461" t="s">
        <v>1737</v>
      </c>
      <c r="I9" s="1321"/>
    </row>
    <row r="10" spans="1:9">
      <c r="A10" s="921">
        <f t="shared" si="0"/>
        <v>1.03</v>
      </c>
      <c r="B10" s="1406" t="s">
        <v>202</v>
      </c>
      <c r="C10" s="1440">
        <v>23863</v>
      </c>
      <c r="D10" s="1322"/>
      <c r="E10" s="1320"/>
      <c r="F10" s="1320"/>
      <c r="G10" s="1320">
        <f>+C10</f>
        <v>23863</v>
      </c>
      <c r="H10" s="1461" t="s">
        <v>1738</v>
      </c>
      <c r="I10" s="1321"/>
    </row>
    <row r="11" spans="1:9">
      <c r="A11" s="921">
        <f t="shared" si="0"/>
        <v>1.04</v>
      </c>
      <c r="B11" s="1406" t="s">
        <v>209</v>
      </c>
      <c r="C11" s="1440">
        <v>15131</v>
      </c>
      <c r="D11" s="1322"/>
      <c r="E11" s="1320"/>
      <c r="F11" s="1320">
        <f>+C11</f>
        <v>15131</v>
      </c>
      <c r="G11" s="1320"/>
      <c r="H11" s="1461" t="s">
        <v>1739</v>
      </c>
      <c r="I11" s="1321"/>
    </row>
    <row r="12" spans="1:9">
      <c r="A12" s="921">
        <f t="shared" si="0"/>
        <v>1.05</v>
      </c>
      <c r="B12" s="1405" t="s">
        <v>607</v>
      </c>
      <c r="C12" s="1440">
        <v>-2462265</v>
      </c>
      <c r="D12" s="1319">
        <f>+C12</f>
        <v>-2462265</v>
      </c>
      <c r="E12" s="1320"/>
      <c r="F12" s="1320"/>
      <c r="G12" s="1320"/>
      <c r="H12" s="1464" t="s">
        <v>1740</v>
      </c>
      <c r="I12" s="1321"/>
    </row>
    <row r="13" spans="1:9" s="231" customFormat="1">
      <c r="A13" s="921">
        <f t="shared" si="0"/>
        <v>1.06</v>
      </c>
      <c r="B13" s="1406" t="s">
        <v>203</v>
      </c>
      <c r="C13" s="1440">
        <v>94214</v>
      </c>
      <c r="D13" s="1322"/>
      <c r="E13" s="1320"/>
      <c r="F13" s="1320"/>
      <c r="G13" s="1320">
        <f>+C13</f>
        <v>94214</v>
      </c>
      <c r="H13" s="1461" t="s">
        <v>1741</v>
      </c>
      <c r="I13" s="1323"/>
    </row>
    <row r="14" spans="1:9" s="231" customFormat="1">
      <c r="A14" s="921">
        <f t="shared" si="0"/>
        <v>1.07</v>
      </c>
      <c r="B14" s="1406" t="s">
        <v>210</v>
      </c>
      <c r="C14" s="1440">
        <v>1181345</v>
      </c>
      <c r="D14" s="1322"/>
      <c r="E14" s="1320"/>
      <c r="F14" s="1320">
        <f>+C14</f>
        <v>1181345</v>
      </c>
      <c r="G14" s="1320"/>
      <c r="H14" s="1461" t="s">
        <v>1742</v>
      </c>
      <c r="I14" s="1323"/>
    </row>
    <row r="15" spans="1:9">
      <c r="A15" s="921">
        <f t="shared" si="0"/>
        <v>1.08</v>
      </c>
      <c r="B15" s="1406" t="s">
        <v>211</v>
      </c>
      <c r="C15" s="1440">
        <v>3413707</v>
      </c>
      <c r="D15" s="1319">
        <f>+C15</f>
        <v>3413707</v>
      </c>
      <c r="E15" s="1320"/>
      <c r="F15" s="1320"/>
      <c r="G15" s="1320"/>
      <c r="H15" s="1461" t="s">
        <v>1743</v>
      </c>
      <c r="I15" s="1321"/>
    </row>
    <row r="16" spans="1:9">
      <c r="A16" s="921">
        <f t="shared" si="0"/>
        <v>1.0900000000000001</v>
      </c>
      <c r="B16" s="1406" t="s">
        <v>205</v>
      </c>
      <c r="C16" s="1440">
        <v>0</v>
      </c>
      <c r="D16" s="1319">
        <f>+C16</f>
        <v>0</v>
      </c>
      <c r="E16" s="1320"/>
      <c r="F16" s="1320"/>
      <c r="G16" s="1320"/>
      <c r="H16" s="1461" t="s">
        <v>1744</v>
      </c>
      <c r="I16" s="1321"/>
    </row>
    <row r="17" spans="1:15">
      <c r="A17" s="921">
        <f t="shared" si="0"/>
        <v>1.1000000000000001</v>
      </c>
      <c r="B17" s="1406" t="s">
        <v>204</v>
      </c>
      <c r="C17" s="1440">
        <v>15251</v>
      </c>
      <c r="D17" s="1319">
        <f>+C17</f>
        <v>15251</v>
      </c>
      <c r="E17" s="1320"/>
      <c r="F17" s="1320"/>
      <c r="G17" s="1320"/>
      <c r="H17" s="1461" t="s">
        <v>1745</v>
      </c>
      <c r="I17" s="1321"/>
    </row>
    <row r="18" spans="1:15">
      <c r="A18" s="921">
        <f t="shared" si="0"/>
        <v>1.1100000000000001</v>
      </c>
      <c r="B18" s="1406" t="s">
        <v>212</v>
      </c>
      <c r="C18" s="1440">
        <v>0</v>
      </c>
      <c r="D18" s="1294">
        <f>+C18</f>
        <v>0</v>
      </c>
      <c r="E18" s="1324"/>
      <c r="F18" s="1324"/>
      <c r="G18" s="1320"/>
      <c r="H18" s="1461" t="s">
        <v>1746</v>
      </c>
      <c r="I18" s="1321"/>
    </row>
    <row r="19" spans="1:15">
      <c r="A19" s="921">
        <f t="shared" si="0"/>
        <v>1.1200000000000001</v>
      </c>
      <c r="B19" s="1406" t="s">
        <v>206</v>
      </c>
      <c r="C19" s="1440">
        <v>0</v>
      </c>
      <c r="D19" s="1319">
        <f>+C19</f>
        <v>0</v>
      </c>
      <c r="E19" s="1320"/>
      <c r="F19" s="1320"/>
      <c r="G19" s="1320"/>
      <c r="H19" s="1461" t="s">
        <v>1747</v>
      </c>
      <c r="I19" s="1321"/>
    </row>
    <row r="20" spans="1:15">
      <c r="A20" s="921">
        <f t="shared" si="0"/>
        <v>1.1300000000000001</v>
      </c>
      <c r="B20" s="1406" t="s">
        <v>615</v>
      </c>
      <c r="C20" s="1440">
        <v>33823771</v>
      </c>
      <c r="D20" s="1322"/>
      <c r="E20" s="1320"/>
      <c r="F20" s="1320">
        <f>+C20</f>
        <v>33823771</v>
      </c>
      <c r="G20" s="1320"/>
      <c r="H20" s="1461" t="s">
        <v>1748</v>
      </c>
      <c r="I20" s="1321"/>
    </row>
    <row r="21" spans="1:15">
      <c r="A21" s="921">
        <f t="shared" si="0"/>
        <v>1.1400000000000001</v>
      </c>
      <c r="B21" s="1406" t="s">
        <v>207</v>
      </c>
      <c r="C21" s="1440">
        <v>39039335</v>
      </c>
      <c r="D21" s="1319">
        <f>+C21</f>
        <v>39039335</v>
      </c>
      <c r="E21" s="1320"/>
      <c r="F21" s="1320"/>
      <c r="G21" s="1320"/>
      <c r="H21" s="1461" t="s">
        <v>1749</v>
      </c>
      <c r="I21" s="1321"/>
    </row>
    <row r="22" spans="1:15">
      <c r="A22" s="921">
        <f t="shared" si="0"/>
        <v>1.1500000000000001</v>
      </c>
      <c r="B22" s="1406" t="s">
        <v>208</v>
      </c>
      <c r="C22" s="1440">
        <v>17282</v>
      </c>
      <c r="D22" s="1322"/>
      <c r="E22" s="1320"/>
      <c r="F22" s="1320">
        <f>+C22</f>
        <v>17282</v>
      </c>
      <c r="G22" s="1320"/>
      <c r="H22" s="1461" t="s">
        <v>1750</v>
      </c>
      <c r="I22" s="1321"/>
    </row>
    <row r="23" spans="1:15">
      <c r="A23" s="921">
        <f t="shared" si="0"/>
        <v>1.1600000000000001</v>
      </c>
      <c r="B23" s="1406" t="s">
        <v>213</v>
      </c>
      <c r="C23" s="1440">
        <v>0</v>
      </c>
      <c r="D23" s="1322">
        <f>+C23</f>
        <v>0</v>
      </c>
      <c r="E23" s="1320"/>
      <c r="F23" s="1320"/>
      <c r="G23" s="1320"/>
      <c r="H23" s="1461" t="s">
        <v>1751</v>
      </c>
      <c r="I23" s="1321"/>
    </row>
    <row r="24" spans="1:15">
      <c r="A24" s="921">
        <f t="shared" si="0"/>
        <v>1.1700000000000002</v>
      </c>
      <c r="B24" s="1406" t="s">
        <v>1406</v>
      </c>
      <c r="C24" s="1440">
        <v>599</v>
      </c>
      <c r="D24" s="1322">
        <f>+C24</f>
        <v>599</v>
      </c>
      <c r="E24" s="1320"/>
      <c r="F24" s="1320"/>
      <c r="G24" s="1320"/>
      <c r="H24" s="1461" t="s">
        <v>1752</v>
      </c>
      <c r="I24" s="1321"/>
    </row>
    <row r="25" spans="1:15">
      <c r="A25" s="921">
        <f t="shared" si="0"/>
        <v>1.1800000000000002</v>
      </c>
      <c r="B25" s="1407" t="str">
        <f>+"Entergy Services, Inc. 408110 Employment Taxes  (Ln "&amp;A$38&amp;")"</f>
        <v>Entergy Services, Inc. 408110 Employment Taxes  (Ln 4)</v>
      </c>
      <c r="C25" s="1440">
        <v>9368798.4000000022</v>
      </c>
      <c r="D25" s="1322"/>
      <c r="E25" s="1320"/>
      <c r="F25" s="1320"/>
      <c r="G25" s="1320">
        <f>+C25</f>
        <v>9368798.4000000022</v>
      </c>
      <c r="H25" s="1461" t="s">
        <v>1753</v>
      </c>
      <c r="I25" s="1321"/>
      <c r="J25" s="770"/>
      <c r="K25" s="770"/>
      <c r="L25" s="770"/>
      <c r="M25" s="770"/>
      <c r="N25" s="770"/>
      <c r="O25" s="771"/>
    </row>
    <row r="26" spans="1:15">
      <c r="A26" s="921">
        <f t="shared" si="0"/>
        <v>1.1900000000000002</v>
      </c>
      <c r="B26" s="1406" t="str">
        <f>+"Entergy Services, Inc. 408122 Excise Tax- State  (Ln "&amp;A$38&amp;")"</f>
        <v>Entergy Services, Inc. 408122 Excise Tax- State  (Ln 4)</v>
      </c>
      <c r="C26" s="1440">
        <v>71.56</v>
      </c>
      <c r="D26" s="1322"/>
      <c r="E26" s="1320"/>
      <c r="F26" s="1320">
        <f>+C26</f>
        <v>71.56</v>
      </c>
      <c r="G26" s="1320"/>
      <c r="H26" s="1461" t="s">
        <v>1753</v>
      </c>
      <c r="I26" s="1321"/>
    </row>
    <row r="27" spans="1:15">
      <c r="A27" s="921">
        <f t="shared" si="0"/>
        <v>1.2000000000000002</v>
      </c>
      <c r="B27" s="1406" t="str">
        <f>+"Entergy Services, Inc. 408123 Excise Tax Federal  (Ln "&amp;A$38&amp;")"</f>
        <v>Entergy Services, Inc. 408123 Excise Tax Federal  (Ln 4)</v>
      </c>
      <c r="C27" s="1440">
        <v>126.99000000000001</v>
      </c>
      <c r="D27" s="1322"/>
      <c r="E27" s="1320"/>
      <c r="F27" s="1320">
        <f>+C27</f>
        <v>126.99000000000001</v>
      </c>
      <c r="G27" s="1320"/>
      <c r="H27" s="1461" t="s">
        <v>1753</v>
      </c>
      <c r="I27" s="1321"/>
    </row>
    <row r="28" spans="1:15">
      <c r="A28" s="921">
        <f t="shared" si="0"/>
        <v>1.2100000000000002</v>
      </c>
      <c r="B28" s="1406" t="str">
        <f>+"Entergy Services, Inc. 408142 Ad Valorem  (Ln "&amp;A$38&amp;")"</f>
        <v>Entergy Services, Inc. 408142 Ad Valorem  (Ln 4)</v>
      </c>
      <c r="C28" s="1440">
        <v>764956.38000000012</v>
      </c>
      <c r="D28" s="1322"/>
      <c r="E28" s="1320"/>
      <c r="F28" s="1320">
        <f>+C28</f>
        <v>764956.38000000012</v>
      </c>
      <c r="G28" s="1320"/>
      <c r="H28" s="1461" t="s">
        <v>1753</v>
      </c>
      <c r="I28" s="1321"/>
    </row>
    <row r="29" spans="1:15">
      <c r="A29" s="921">
        <f t="shared" si="0"/>
        <v>1.2200000000000002</v>
      </c>
      <c r="B29" s="1406" t="str">
        <f>+"Entergy Services, Inc. 408152 Franchise Tax State  (Ln "&amp;A$38&amp;")"</f>
        <v>Entergy Services, Inc. 408152 Franchise Tax State  (Ln 4)</v>
      </c>
      <c r="C29" s="1440">
        <v>77088.91</v>
      </c>
      <c r="D29" s="1322"/>
      <c r="E29" s="1320"/>
      <c r="F29" s="1320">
        <f>+C29</f>
        <v>77088.91</v>
      </c>
      <c r="G29" s="1320"/>
      <c r="H29" s="1461" t="s">
        <v>1753</v>
      </c>
      <c r="I29" s="1325"/>
    </row>
    <row r="30" spans="1:15" ht="15">
      <c r="A30" s="921">
        <f t="shared" si="0"/>
        <v>1.2300000000000002</v>
      </c>
      <c r="B30" s="1406" t="str">
        <f>+"Entergy Services, Inc. 408165 City Occupation Tax  (Ln "&amp;A$38&amp;")"</f>
        <v>Entergy Services, Inc. 408165 City Occupation Tax  (Ln 4)</v>
      </c>
      <c r="C30" s="1440">
        <v>367.87999999999994</v>
      </c>
      <c r="D30" s="1294">
        <f>+C30</f>
        <v>367.87999999999994</v>
      </c>
      <c r="E30" s="1324"/>
      <c r="G30" s="1320"/>
      <c r="H30" s="1461" t="s">
        <v>1753</v>
      </c>
      <c r="J30" s="1531" t="s">
        <v>1292</v>
      </c>
      <c r="K30" s="1062"/>
      <c r="L30" s="1062"/>
      <c r="M30" s="1062"/>
      <c r="N30" s="1062"/>
    </row>
    <row r="31" spans="1:15" ht="15">
      <c r="A31" s="921">
        <f t="shared" si="0"/>
        <v>1.2400000000000002</v>
      </c>
      <c r="B31" s="1406" t="s">
        <v>1407</v>
      </c>
      <c r="C31" s="1440">
        <v>-9.06</v>
      </c>
      <c r="D31" s="1324"/>
      <c r="E31" s="1324"/>
      <c r="F31" s="1324">
        <f>+C31</f>
        <v>-9.06</v>
      </c>
      <c r="G31" s="1320"/>
      <c r="H31" s="1461" t="s">
        <v>1753</v>
      </c>
      <c r="I31" s="1325"/>
      <c r="J31" s="1062"/>
      <c r="K31" s="1062"/>
      <c r="L31" s="1062"/>
      <c r="M31" s="1062"/>
      <c r="N31" s="1062"/>
    </row>
    <row r="32" spans="1:15" ht="15">
      <c r="A32" s="921">
        <f t="shared" si="0"/>
        <v>1.2500000000000002</v>
      </c>
      <c r="B32" s="1406" t="s">
        <v>1057</v>
      </c>
      <c r="C32" s="1440">
        <v>-1822139.73</v>
      </c>
      <c r="D32" s="1294">
        <f>+C32</f>
        <v>-1822139.73</v>
      </c>
      <c r="E32" s="1324"/>
      <c r="F32" s="1324"/>
      <c r="G32" s="1320"/>
      <c r="H32" s="1464" t="s">
        <v>1754</v>
      </c>
      <c r="I32" s="1325"/>
      <c r="J32" s="1062"/>
      <c r="K32" s="1062"/>
      <c r="L32" s="1062"/>
      <c r="M32" s="1062"/>
      <c r="N32" s="1062"/>
    </row>
    <row r="33" spans="1:14" ht="15">
      <c r="A33" s="1457">
        <f t="shared" si="0"/>
        <v>1.2600000000000002</v>
      </c>
      <c r="B33" s="1458" t="s">
        <v>1507</v>
      </c>
      <c r="C33" s="1459">
        <v>0</v>
      </c>
      <c r="D33" s="1460"/>
      <c r="E33" s="1460"/>
      <c r="F33" s="1460"/>
      <c r="G33" s="1460"/>
      <c r="H33" s="1461"/>
      <c r="I33" s="1325"/>
      <c r="J33" s="1062"/>
      <c r="K33" s="1062"/>
      <c r="L33" s="1062"/>
      <c r="M33" s="1062"/>
      <c r="N33" s="1062"/>
    </row>
    <row r="34" spans="1:14" ht="15">
      <c r="A34" s="1457" t="s">
        <v>1498</v>
      </c>
      <c r="B34" s="1458" t="s">
        <v>1507</v>
      </c>
      <c r="C34" s="1459">
        <v>0</v>
      </c>
      <c r="D34" s="1460"/>
      <c r="E34" s="1460"/>
      <c r="F34" s="1460"/>
      <c r="G34" s="1460"/>
      <c r="H34" s="1461"/>
      <c r="I34" s="1325"/>
      <c r="J34" s="1062"/>
      <c r="K34" s="1062"/>
      <c r="L34" s="1062"/>
      <c r="M34" s="1062"/>
      <c r="N34" s="1062"/>
    </row>
    <row r="35" spans="1:14" ht="16.5">
      <c r="A35" s="1457" t="s">
        <v>1502</v>
      </c>
      <c r="B35" s="1458" t="s">
        <v>1507</v>
      </c>
      <c r="C35" s="1391">
        <v>0</v>
      </c>
      <c r="D35" s="1462"/>
      <c r="E35" s="1463"/>
      <c r="F35" s="1463"/>
      <c r="G35" s="1463"/>
      <c r="H35" s="1464"/>
      <c r="I35" s="1321"/>
    </row>
    <row r="36" spans="1:14" ht="15" thickBot="1">
      <c r="A36" s="922">
        <f>+A7+1</f>
        <v>2</v>
      </c>
      <c r="B36" s="232" t="str">
        <f>+"Sum Line "&amp;A7&amp;" Subparts"</f>
        <v>Sum Line 1 Subparts</v>
      </c>
      <c r="C36" s="691">
        <f>+SUM(C8:C35)</f>
        <v>62369819.330000013</v>
      </c>
      <c r="D36" s="691">
        <f>+SUM(D8:D35)</f>
        <v>13568482.15</v>
      </c>
      <c r="E36" s="691">
        <f>+SUM(E8:E35)</f>
        <v>0</v>
      </c>
      <c r="F36" s="691">
        <f>+SUM(F8:F35)</f>
        <v>35879763.780000001</v>
      </c>
      <c r="G36" s="691">
        <f>+SUM(G8:G35)</f>
        <v>12921573.400000002</v>
      </c>
      <c r="H36" s="554" t="s">
        <v>908</v>
      </c>
      <c r="I36" s="605"/>
    </row>
    <row r="37" spans="1:14" ht="15" thickTop="1">
      <c r="A37" s="1010">
        <f>+A36+1</f>
        <v>3</v>
      </c>
      <c r="B37" s="232"/>
      <c r="C37" s="551"/>
      <c r="D37" s="551"/>
      <c r="E37" s="629"/>
      <c r="F37" s="629"/>
      <c r="G37" s="629"/>
      <c r="H37" s="554"/>
      <c r="I37" s="605"/>
    </row>
    <row r="38" spans="1:14">
      <c r="A38" s="1010">
        <f>+A37+1</f>
        <v>4</v>
      </c>
      <c r="B38" s="925" t="s">
        <v>1205</v>
      </c>
      <c r="C38" s="1440">
        <v>10211401</v>
      </c>
      <c r="D38" s="926"/>
      <c r="E38" s="926"/>
      <c r="F38" s="926"/>
      <c r="G38" s="926"/>
      <c r="H38" s="1461" t="s">
        <v>1755</v>
      </c>
      <c r="I38" s="552"/>
    </row>
    <row r="39" spans="1:14">
      <c r="A39" s="1010"/>
      <c r="B39" s="925"/>
      <c r="C39" s="926"/>
      <c r="D39" s="926"/>
      <c r="E39" s="926"/>
      <c r="F39" s="926"/>
      <c r="G39" s="926"/>
      <c r="H39" s="926"/>
      <c r="I39" s="552"/>
    </row>
    <row r="40" spans="1:14" s="182" customFormat="1" ht="12.75">
      <c r="A40" s="878" t="s">
        <v>1027</v>
      </c>
      <c r="B40" s="183"/>
      <c r="C40" s="183"/>
      <c r="D40" s="80"/>
      <c r="E40" s="625"/>
      <c r="F40" s="625"/>
      <c r="G40" s="625"/>
      <c r="H40" s="923"/>
      <c r="I40" s="552"/>
    </row>
    <row r="41" spans="1:14" s="552" customFormat="1" ht="55.15" customHeight="1">
      <c r="A41" s="924" t="s">
        <v>367</v>
      </c>
      <c r="B41" s="1762" t="s">
        <v>1198</v>
      </c>
      <c r="C41" s="1762"/>
      <c r="D41" s="1762"/>
      <c r="E41" s="1762"/>
      <c r="F41" s="1762"/>
      <c r="G41" s="1762"/>
      <c r="H41" s="1762"/>
    </row>
    <row r="42" spans="1:14" s="552" customFormat="1" ht="27" customHeight="1">
      <c r="A42" s="924" t="s">
        <v>769</v>
      </c>
      <c r="B42" s="1762" t="s">
        <v>1293</v>
      </c>
      <c r="C42" s="1762"/>
      <c r="D42" s="1762"/>
      <c r="E42" s="1762"/>
      <c r="F42" s="1762"/>
      <c r="G42" s="1762"/>
      <c r="H42" s="1762"/>
    </row>
    <row r="43" spans="1:14" s="552" customFormat="1" ht="13.15" customHeight="1">
      <c r="A43" s="924" t="s">
        <v>770</v>
      </c>
      <c r="B43" s="1762" t="s">
        <v>1199</v>
      </c>
      <c r="C43" s="1762"/>
      <c r="D43" s="1762"/>
      <c r="E43" s="1762"/>
      <c r="F43" s="1762"/>
      <c r="G43" s="1762"/>
      <c r="H43" s="1762"/>
    </row>
    <row r="44" spans="1:14" s="552" customFormat="1" ht="12.75">
      <c r="A44" s="924" t="s">
        <v>771</v>
      </c>
      <c r="B44" s="1708" t="s">
        <v>1217</v>
      </c>
      <c r="C44" s="1708"/>
      <c r="D44" s="1708"/>
      <c r="E44" s="1708"/>
      <c r="F44" s="1708"/>
      <c r="G44" s="1708"/>
      <c r="H44" s="1708"/>
    </row>
    <row r="45" spans="1:14" s="1642" customFormat="1" ht="12.75">
      <c r="A45" s="924" t="s">
        <v>772</v>
      </c>
      <c r="B45" s="1762" t="s">
        <v>1200</v>
      </c>
      <c r="C45" s="1762"/>
      <c r="D45" s="1762"/>
      <c r="E45" s="1762"/>
      <c r="F45" s="1762"/>
      <c r="G45" s="1762"/>
      <c r="H45" s="1762"/>
    </row>
    <row r="46" spans="1:14" s="1642" customFormat="1" ht="28.15" customHeight="1">
      <c r="A46" s="924" t="s">
        <v>1201</v>
      </c>
      <c r="B46" s="1708" t="s">
        <v>1202</v>
      </c>
      <c r="C46" s="1708"/>
      <c r="D46" s="1708"/>
      <c r="E46" s="1708"/>
      <c r="F46" s="1708"/>
      <c r="G46" s="1708"/>
      <c r="H46" s="1708"/>
    </row>
    <row r="47" spans="1:14" s="1642" customFormat="1" ht="28.15" customHeight="1">
      <c r="A47" s="924" t="s">
        <v>1203</v>
      </c>
      <c r="B47" s="1708" t="s">
        <v>1204</v>
      </c>
      <c r="C47" s="1708"/>
      <c r="D47" s="1708"/>
      <c r="E47" s="1708"/>
      <c r="F47" s="1708"/>
      <c r="G47" s="1708"/>
      <c r="H47" s="1708"/>
    </row>
    <row r="48" spans="1:14">
      <c r="A48" s="1355"/>
      <c r="B48" s="1355"/>
      <c r="C48" s="1355"/>
      <c r="D48" s="1356"/>
      <c r="E48" s="1357"/>
      <c r="F48" s="1357"/>
      <c r="G48" s="1357"/>
      <c r="H48" s="1358"/>
      <c r="I48" s="605"/>
    </row>
    <row r="49" spans="1:8">
      <c r="A49" s="1355"/>
      <c r="B49" s="1355"/>
      <c r="C49" s="1355"/>
      <c r="D49" s="1356"/>
      <c r="E49" s="1357"/>
      <c r="F49" s="1357"/>
      <c r="G49" s="1357"/>
      <c r="H49" s="1358"/>
    </row>
    <row r="50" spans="1:8">
      <c r="A50" s="1355"/>
      <c r="B50" s="1359"/>
      <c r="C50" s="1359"/>
      <c r="D50" s="1357"/>
      <c r="E50" s="1357"/>
      <c r="F50" s="1357"/>
      <c r="G50" s="1357"/>
      <c r="H50" s="1358"/>
    </row>
    <row r="51" spans="1:8">
      <c r="A51" s="1355"/>
      <c r="B51" s="1359"/>
      <c r="C51" s="1359"/>
      <c r="D51" s="1357"/>
      <c r="E51" s="1357"/>
      <c r="F51" s="1357"/>
      <c r="G51" s="1357"/>
      <c r="H51" s="1358"/>
    </row>
  </sheetData>
  <mergeCells count="10">
    <mergeCell ref="A1:H1"/>
    <mergeCell ref="A3:H3"/>
    <mergeCell ref="A2:H2"/>
    <mergeCell ref="B46:H46"/>
    <mergeCell ref="B44:H44"/>
    <mergeCell ref="B47:H47"/>
    <mergeCell ref="B41:H41"/>
    <mergeCell ref="B42:H42"/>
    <mergeCell ref="B43:H43"/>
    <mergeCell ref="B45:H45"/>
  </mergeCells>
  <phoneticPr fontId="103" type="noConversion"/>
  <printOptions horizontalCentered="1"/>
  <pageMargins left="0.7" right="0.7" top="0.7" bottom="0.7" header="0.3" footer="0.5"/>
  <pageSetup scale="66" orientation="landscape" r:id="rId1"/>
  <headerFooter>
    <oddFooter>&amp;CPage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topLeftCell="C1" zoomScaleNormal="100" zoomScaleSheetLayoutView="100" workbookViewId="0">
      <selection activeCell="D7" sqref="D7:Q54"/>
    </sheetView>
  </sheetViews>
  <sheetFormatPr defaultColWidth="9.140625" defaultRowHeight="12.75"/>
  <cols>
    <col min="1" max="1" width="4.42578125" style="741" customWidth="1"/>
    <col min="2" max="2" width="49.140625" style="44" customWidth="1"/>
    <col min="3" max="3" width="28.5703125" style="44" customWidth="1"/>
    <col min="4" max="4" width="14" style="43" customWidth="1"/>
    <col min="5" max="15" width="14.28515625" style="43" customWidth="1"/>
    <col min="16" max="16" width="14" style="44" bestFit="1" customWidth="1"/>
    <col min="17" max="17" width="14.140625" style="270" bestFit="1" customWidth="1"/>
    <col min="18" max="16384" width="9.140625" style="44"/>
  </cols>
  <sheetData>
    <row r="1" spans="1:19">
      <c r="A1" s="1714" t="str">
        <f>+'MISO Cover'!C6</f>
        <v>Entergy Arkansas, Inc.</v>
      </c>
      <c r="B1" s="1714"/>
      <c r="C1" s="1714"/>
      <c r="D1" s="195"/>
      <c r="E1" s="195"/>
      <c r="F1" s="195"/>
      <c r="G1" s="195"/>
      <c r="H1" s="195"/>
      <c r="I1" s="195"/>
      <c r="J1" s="195"/>
      <c r="K1" s="195"/>
      <c r="L1" s="195"/>
      <c r="M1" s="195"/>
      <c r="N1" s="195"/>
      <c r="O1" s="195"/>
      <c r="P1" s="195"/>
      <c r="Q1" s="243"/>
    </row>
    <row r="2" spans="1:19" s="43" customFormat="1">
      <c r="A2" s="1706" t="s">
        <v>1146</v>
      </c>
      <c r="B2" s="1706"/>
      <c r="C2" s="1706"/>
      <c r="D2" s="184"/>
      <c r="E2" s="184"/>
      <c r="F2" s="184"/>
      <c r="G2" s="184"/>
      <c r="H2" s="184"/>
      <c r="I2" s="184"/>
      <c r="J2" s="184"/>
      <c r="K2" s="184"/>
      <c r="L2" s="184"/>
      <c r="M2" s="184"/>
      <c r="N2" s="184"/>
      <c r="O2" s="184"/>
      <c r="P2" s="184"/>
      <c r="Q2" s="186"/>
    </row>
    <row r="3" spans="1:19">
      <c r="A3" s="1727" t="str">
        <f>+'MISO Cover'!K4</f>
        <v>For  the 12 Months Ended 12/31/2014</v>
      </c>
      <c r="B3" s="1727"/>
      <c r="C3" s="1727"/>
      <c r="D3" s="1030"/>
      <c r="E3" s="1030"/>
      <c r="F3" s="1030"/>
      <c r="G3" s="1030"/>
      <c r="H3" s="1030"/>
      <c r="I3" s="1030"/>
      <c r="J3" s="1030"/>
      <c r="K3" s="1030"/>
      <c r="L3" s="1030"/>
      <c r="M3" s="1030"/>
      <c r="N3" s="1030"/>
      <c r="O3" s="1030"/>
      <c r="P3" s="1030"/>
      <c r="Q3" s="1429"/>
    </row>
    <row r="4" spans="1:19">
      <c r="B4" s="813"/>
      <c r="C4" s="813"/>
      <c r="D4" s="813"/>
      <c r="E4" s="813"/>
      <c r="F4" s="726"/>
      <c r="G4" s="813"/>
      <c r="H4" s="813"/>
      <c r="I4" s="813"/>
      <c r="J4" s="813"/>
      <c r="K4" s="813"/>
      <c r="L4" s="813"/>
      <c r="M4" s="813"/>
      <c r="N4" s="813"/>
      <c r="O4" s="813"/>
      <c r="R4" s="510"/>
    </row>
    <row r="5" spans="1:19" s="812" customFormat="1" ht="12.75" customHeight="1">
      <c r="A5" s="741" t="s">
        <v>663</v>
      </c>
      <c r="B5" s="812" t="s">
        <v>261</v>
      </c>
      <c r="C5" s="812" t="s">
        <v>309</v>
      </c>
      <c r="D5" s="809" t="s">
        <v>249</v>
      </c>
      <c r="E5" s="727" t="s">
        <v>262</v>
      </c>
      <c r="F5" s="727" t="s">
        <v>260</v>
      </c>
      <c r="G5" s="727" t="s">
        <v>351</v>
      </c>
      <c r="H5" s="727" t="s">
        <v>263</v>
      </c>
      <c r="I5" s="727" t="s">
        <v>364</v>
      </c>
      <c r="J5" s="727" t="s">
        <v>253</v>
      </c>
      <c r="K5" s="727" t="s">
        <v>1028</v>
      </c>
      <c r="L5" s="727" t="s">
        <v>265</v>
      </c>
      <c r="M5" s="727" t="s">
        <v>293</v>
      </c>
      <c r="N5" s="727" t="s">
        <v>294</v>
      </c>
      <c r="O5" s="727" t="s">
        <v>905</v>
      </c>
      <c r="P5" s="727" t="s">
        <v>563</v>
      </c>
      <c r="Q5" s="1430" t="s">
        <v>564</v>
      </c>
    </row>
    <row r="6" spans="1:19">
      <c r="B6" s="587" t="s">
        <v>307</v>
      </c>
      <c r="C6" s="587" t="s">
        <v>335</v>
      </c>
      <c r="D6" s="755" t="s">
        <v>231</v>
      </c>
      <c r="E6" s="755" t="s">
        <v>221</v>
      </c>
      <c r="F6" s="755" t="s">
        <v>222</v>
      </c>
      <c r="G6" s="755" t="s">
        <v>223</v>
      </c>
      <c r="H6" s="755" t="s">
        <v>224</v>
      </c>
      <c r="I6" s="755" t="s">
        <v>220</v>
      </c>
      <c r="J6" s="755" t="s">
        <v>225</v>
      </c>
      <c r="K6" s="755" t="s">
        <v>226</v>
      </c>
      <c r="L6" s="755" t="s">
        <v>227</v>
      </c>
      <c r="M6" s="755" t="s">
        <v>228</v>
      </c>
      <c r="N6" s="755" t="s">
        <v>229</v>
      </c>
      <c r="O6" s="755" t="s">
        <v>230</v>
      </c>
      <c r="P6" s="755" t="s">
        <v>231</v>
      </c>
      <c r="Q6" s="1431" t="s">
        <v>1090</v>
      </c>
    </row>
    <row r="7" spans="1:19">
      <c r="A7" s="741">
        <v>1</v>
      </c>
      <c r="B7" s="781" t="s">
        <v>255</v>
      </c>
    </row>
    <row r="8" spans="1:19">
      <c r="A8" s="741">
        <f>+A7+1</f>
        <v>2</v>
      </c>
      <c r="B8" s="44" t="s">
        <v>1045</v>
      </c>
      <c r="C8" s="43" t="s">
        <v>1142</v>
      </c>
      <c r="D8" s="222">
        <v>1600000000</v>
      </c>
      <c r="E8" s="222">
        <v>1600000000</v>
      </c>
      <c r="F8" s="222">
        <v>1600000000</v>
      </c>
      <c r="G8" s="222">
        <v>1975000000</v>
      </c>
      <c r="H8" s="222">
        <v>1860000000</v>
      </c>
      <c r="I8" s="222">
        <v>1860000000</v>
      </c>
      <c r="J8" s="222">
        <v>1860000000</v>
      </c>
      <c r="K8" s="222">
        <v>1860000000</v>
      </c>
      <c r="L8" s="222">
        <v>1860000000</v>
      </c>
      <c r="M8" s="222">
        <v>1860000000</v>
      </c>
      <c r="N8" s="222">
        <v>1860000000</v>
      </c>
      <c r="O8" s="222">
        <v>1860000000</v>
      </c>
      <c r="P8" s="222">
        <v>2110000000</v>
      </c>
      <c r="Q8" s="80">
        <f>SUM(D8:P8)/13</f>
        <v>1828076923.0769231</v>
      </c>
    </row>
    <row r="9" spans="1:19">
      <c r="A9" s="741">
        <f t="shared" ref="A9:A48" si="0">+A8+1</f>
        <v>3</v>
      </c>
      <c r="B9" s="741" t="s">
        <v>1117</v>
      </c>
      <c r="C9" s="43" t="s">
        <v>1143</v>
      </c>
      <c r="D9" s="222">
        <v>0</v>
      </c>
      <c r="E9" s="222">
        <v>0</v>
      </c>
      <c r="F9" s="222">
        <v>0</v>
      </c>
      <c r="G9" s="222">
        <v>0</v>
      </c>
      <c r="H9" s="222">
        <v>0</v>
      </c>
      <c r="I9" s="222">
        <v>0</v>
      </c>
      <c r="J9" s="222">
        <v>0</v>
      </c>
      <c r="K9" s="222">
        <v>0</v>
      </c>
      <c r="L9" s="222">
        <v>0</v>
      </c>
      <c r="M9" s="222">
        <v>0</v>
      </c>
      <c r="N9" s="222">
        <v>0</v>
      </c>
      <c r="O9" s="222">
        <v>0</v>
      </c>
      <c r="P9" s="222">
        <v>0</v>
      </c>
      <c r="Q9" s="80">
        <f t="shared" ref="Q9:Q11" si="1">SUM(D9:P9)/13</f>
        <v>0</v>
      </c>
    </row>
    <row r="10" spans="1:19" s="188" customFormat="1" ht="25.5">
      <c r="A10" s="787">
        <f t="shared" si="0"/>
        <v>4</v>
      </c>
      <c r="B10" s="789" t="s">
        <v>1054</v>
      </c>
      <c r="C10" s="904" t="s">
        <v>1144</v>
      </c>
      <c r="D10" s="222">
        <v>0</v>
      </c>
      <c r="E10" s="222">
        <v>0</v>
      </c>
      <c r="F10" s="222">
        <v>0</v>
      </c>
      <c r="G10" s="222">
        <v>0</v>
      </c>
      <c r="H10" s="222">
        <v>0</v>
      </c>
      <c r="I10" s="222">
        <v>0</v>
      </c>
      <c r="J10" s="222">
        <v>0</v>
      </c>
      <c r="K10" s="222">
        <v>0</v>
      </c>
      <c r="L10" s="222">
        <v>0</v>
      </c>
      <c r="M10" s="222">
        <v>0</v>
      </c>
      <c r="N10" s="222">
        <v>0</v>
      </c>
      <c r="O10" s="222">
        <v>0</v>
      </c>
      <c r="P10" s="222">
        <v>0</v>
      </c>
      <c r="Q10" s="80">
        <f t="shared" si="1"/>
        <v>0</v>
      </c>
      <c r="S10" s="44"/>
    </row>
    <row r="11" spans="1:19">
      <c r="A11" s="741">
        <f t="shared" si="0"/>
        <v>5</v>
      </c>
      <c r="B11" s="44" t="s">
        <v>1046</v>
      </c>
      <c r="C11" s="45" t="s">
        <v>1145</v>
      </c>
      <c r="D11" s="222">
        <v>533054842</v>
      </c>
      <c r="E11" s="222">
        <v>533063666.63</v>
      </c>
      <c r="F11" s="222">
        <v>533072487.61000001</v>
      </c>
      <c r="G11" s="222">
        <v>283081304.57999998</v>
      </c>
      <c r="H11" s="222">
        <v>283087097.76999998</v>
      </c>
      <c r="I11" s="222">
        <v>283092886.91000003</v>
      </c>
      <c r="J11" s="222">
        <v>283098671.99000001</v>
      </c>
      <c r="K11" s="222">
        <v>283103698.37</v>
      </c>
      <c r="L11" s="222">
        <v>283108720.66000003</v>
      </c>
      <c r="M11" s="222">
        <v>283113738.82999998</v>
      </c>
      <c r="N11" s="222">
        <v>283114824.87</v>
      </c>
      <c r="O11" s="222">
        <v>283115906.79000002</v>
      </c>
      <c r="P11" s="222">
        <v>283116985</v>
      </c>
      <c r="Q11" s="598">
        <f t="shared" si="1"/>
        <v>340786525.5392307</v>
      </c>
    </row>
    <row r="12" spans="1:19">
      <c r="A12" s="741">
        <f t="shared" si="0"/>
        <v>6</v>
      </c>
      <c r="B12" s="782" t="s">
        <v>234</v>
      </c>
      <c r="C12" s="1023" t="str">
        <f>+"L"&amp;A8&amp;" - L"&amp;A9&amp;" + L"&amp;A10&amp;" + L"&amp;A11</f>
        <v>L2 - L3 + L4 + L5</v>
      </c>
      <c r="D12" s="1024">
        <f>+D8-D9+D10+D11</f>
        <v>2133054842</v>
      </c>
      <c r="E12" s="1024">
        <f t="shared" ref="E12:Q12" si="2">+E8-E9+E10+E11</f>
        <v>2133063666.6300001</v>
      </c>
      <c r="F12" s="1024">
        <f t="shared" si="2"/>
        <v>2133072487.6100001</v>
      </c>
      <c r="G12" s="1024">
        <f t="shared" si="2"/>
        <v>2258081304.5799999</v>
      </c>
      <c r="H12" s="1024">
        <f t="shared" si="2"/>
        <v>2143087097.77</v>
      </c>
      <c r="I12" s="1024">
        <f t="shared" si="2"/>
        <v>2143092886.9100001</v>
      </c>
      <c r="J12" s="1024">
        <f t="shared" si="2"/>
        <v>2143098671.99</v>
      </c>
      <c r="K12" s="1024">
        <f t="shared" si="2"/>
        <v>2143103698.3699999</v>
      </c>
      <c r="L12" s="1024">
        <f t="shared" si="2"/>
        <v>2143108720.6600001</v>
      </c>
      <c r="M12" s="1024">
        <f t="shared" si="2"/>
        <v>2143113738.8299999</v>
      </c>
      <c r="N12" s="1024">
        <f t="shared" si="2"/>
        <v>2143114824.8699999</v>
      </c>
      <c r="O12" s="1024">
        <f t="shared" si="2"/>
        <v>2143115906.79</v>
      </c>
      <c r="P12" s="1024">
        <f t="shared" si="2"/>
        <v>2393116985</v>
      </c>
      <c r="Q12" s="1024">
        <f t="shared" si="2"/>
        <v>2168863448.6161537</v>
      </c>
    </row>
    <row r="13" spans="1:19">
      <c r="A13" s="741">
        <f t="shared" si="0"/>
        <v>7</v>
      </c>
      <c r="D13" s="80"/>
      <c r="E13" s="80"/>
      <c r="F13" s="80"/>
      <c r="G13" s="80"/>
      <c r="H13" s="80"/>
      <c r="I13" s="80"/>
      <c r="J13" s="80"/>
      <c r="K13" s="80"/>
      <c r="L13" s="80"/>
      <c r="M13" s="80"/>
      <c r="N13" s="80"/>
      <c r="O13" s="80"/>
      <c r="P13" s="80"/>
      <c r="Q13" s="80"/>
    </row>
    <row r="14" spans="1:19">
      <c r="A14" s="741">
        <f t="shared" si="0"/>
        <v>8</v>
      </c>
      <c r="B14" s="1025" t="s">
        <v>1058</v>
      </c>
      <c r="D14" s="80"/>
      <c r="E14" s="80"/>
      <c r="F14" s="80"/>
      <c r="G14" s="80"/>
      <c r="H14" s="80"/>
      <c r="I14" s="80"/>
      <c r="J14" s="80"/>
      <c r="K14" s="80"/>
      <c r="L14" s="80"/>
      <c r="M14" s="80"/>
      <c r="N14" s="80"/>
      <c r="O14" s="80"/>
      <c r="P14" s="80"/>
      <c r="Q14" s="80"/>
    </row>
    <row r="15" spans="1:19">
      <c r="A15" s="741">
        <f>+A14+1</f>
        <v>9</v>
      </c>
      <c r="B15" s="220" t="s">
        <v>1051</v>
      </c>
      <c r="C15" s="43" t="s">
        <v>1182</v>
      </c>
      <c r="D15" s="222">
        <v>25420461</v>
      </c>
      <c r="E15" s="222">
        <v>25283333.59</v>
      </c>
      <c r="F15" s="222">
        <v>25196619.789999999</v>
      </c>
      <c r="G15" s="222">
        <v>27575287.649999999</v>
      </c>
      <c r="H15" s="222">
        <v>27334440.859999996</v>
      </c>
      <c r="I15" s="222">
        <v>27378619.250000004</v>
      </c>
      <c r="J15" s="222">
        <v>27233576.860000003</v>
      </c>
      <c r="K15" s="222">
        <v>27092305.25</v>
      </c>
      <c r="L15" s="222">
        <v>27084410.390000008</v>
      </c>
      <c r="M15" s="222">
        <v>26935934.279999994</v>
      </c>
      <c r="N15" s="222">
        <v>26787458.669999998</v>
      </c>
      <c r="O15" s="222">
        <v>26638982.560000002</v>
      </c>
      <c r="P15" s="222">
        <v>28792987</v>
      </c>
      <c r="Q15" s="80">
        <f t="shared" ref="Q15:Q19" si="3">SUM(D15:P15)/13</f>
        <v>26827262.857692309</v>
      </c>
    </row>
    <row r="16" spans="1:19">
      <c r="A16" s="741">
        <f t="shared" si="0"/>
        <v>10</v>
      </c>
      <c r="B16" s="220" t="s">
        <v>1118</v>
      </c>
      <c r="C16" s="43" t="s">
        <v>1183</v>
      </c>
      <c r="D16" s="222">
        <v>28835843</v>
      </c>
      <c r="E16" s="222">
        <v>28570001.949999999</v>
      </c>
      <c r="F16" s="222">
        <v>28304160.669999998</v>
      </c>
      <c r="G16" s="222">
        <v>28129647.520000007</v>
      </c>
      <c r="H16" s="222">
        <v>28320988.339999996</v>
      </c>
      <c r="I16" s="222">
        <v>28050694.240000002</v>
      </c>
      <c r="J16" s="222">
        <v>27780318.980000008</v>
      </c>
      <c r="K16" s="222">
        <v>27509943.949999999</v>
      </c>
      <c r="L16" s="222">
        <v>27239568.800000001</v>
      </c>
      <c r="M16" s="222">
        <v>26969193.539999999</v>
      </c>
      <c r="N16" s="222">
        <v>26698818.510000002</v>
      </c>
      <c r="O16" s="222">
        <v>26428443.27</v>
      </c>
      <c r="P16" s="222">
        <v>26162596</v>
      </c>
      <c r="Q16" s="80">
        <f t="shared" si="3"/>
        <v>27615401.443846159</v>
      </c>
    </row>
    <row r="17" spans="1:26">
      <c r="A17" s="741">
        <f t="shared" si="0"/>
        <v>11</v>
      </c>
      <c r="B17" s="220" t="s">
        <v>1052</v>
      </c>
      <c r="C17" s="43" t="s">
        <v>1184</v>
      </c>
      <c r="D17" s="222">
        <v>0</v>
      </c>
      <c r="E17" s="222">
        <v>0</v>
      </c>
      <c r="F17" s="222">
        <v>0</v>
      </c>
      <c r="G17" s="222">
        <v>0</v>
      </c>
      <c r="H17" s="222">
        <v>0</v>
      </c>
      <c r="I17" s="222">
        <v>0</v>
      </c>
      <c r="J17" s="222">
        <v>0</v>
      </c>
      <c r="K17" s="222">
        <v>0</v>
      </c>
      <c r="L17" s="222">
        <v>0</v>
      </c>
      <c r="M17" s="222">
        <v>0</v>
      </c>
      <c r="N17" s="222">
        <v>0</v>
      </c>
      <c r="O17" s="222">
        <v>0</v>
      </c>
      <c r="P17" s="222">
        <v>0</v>
      </c>
      <c r="Q17" s="80">
        <f t="shared" si="3"/>
        <v>0</v>
      </c>
    </row>
    <row r="18" spans="1:26">
      <c r="A18" s="741">
        <f t="shared" si="0"/>
        <v>12</v>
      </c>
      <c r="B18" s="220" t="s">
        <v>1050</v>
      </c>
      <c r="C18" s="43" t="s">
        <v>1181</v>
      </c>
      <c r="D18" s="222">
        <v>1216972</v>
      </c>
      <c r="E18" s="222">
        <v>1205158.82</v>
      </c>
      <c r="F18" s="222">
        <v>1193345.3599999999</v>
      </c>
      <c r="G18" s="222">
        <v>1450283.61</v>
      </c>
      <c r="H18" s="222">
        <v>1242898.76</v>
      </c>
      <c r="I18" s="222">
        <v>1232749.79</v>
      </c>
      <c r="J18" s="222">
        <v>1222600.81</v>
      </c>
      <c r="K18" s="222">
        <v>1212451.8499999999</v>
      </c>
      <c r="L18" s="222">
        <v>1202302.8799999999</v>
      </c>
      <c r="M18" s="222">
        <v>1192153.8899999999</v>
      </c>
      <c r="N18" s="222">
        <v>1182004.93</v>
      </c>
      <c r="O18" s="222">
        <v>1171855.96</v>
      </c>
      <c r="P18" s="222">
        <v>2938083</v>
      </c>
      <c r="Q18" s="80">
        <f t="shared" si="3"/>
        <v>1358681.6661538461</v>
      </c>
    </row>
    <row r="19" spans="1:26">
      <c r="A19" s="741">
        <f t="shared" si="0"/>
        <v>13</v>
      </c>
      <c r="B19" s="220" t="s">
        <v>1119</v>
      </c>
      <c r="C19" s="43" t="s">
        <v>1185</v>
      </c>
      <c r="D19" s="222">
        <v>0</v>
      </c>
      <c r="E19" s="222">
        <v>0</v>
      </c>
      <c r="F19" s="222">
        <v>0</v>
      </c>
      <c r="G19" s="222">
        <v>0</v>
      </c>
      <c r="H19" s="222">
        <v>0</v>
      </c>
      <c r="I19" s="222">
        <v>0</v>
      </c>
      <c r="J19" s="222">
        <v>0</v>
      </c>
      <c r="K19" s="222">
        <v>0</v>
      </c>
      <c r="L19" s="222">
        <v>0</v>
      </c>
      <c r="M19" s="222">
        <v>0</v>
      </c>
      <c r="N19" s="222">
        <v>0</v>
      </c>
      <c r="O19" s="222">
        <v>0</v>
      </c>
      <c r="P19" s="222">
        <v>0</v>
      </c>
      <c r="Q19" s="80">
        <f t="shared" si="3"/>
        <v>0</v>
      </c>
    </row>
    <row r="20" spans="1:26">
      <c r="A20" s="741">
        <f t="shared" si="0"/>
        <v>14</v>
      </c>
      <c r="B20" s="1122" t="s">
        <v>235</v>
      </c>
      <c r="C20" s="1023" t="str">
        <f>+"L"&amp;A12&amp;" - L"&amp;A15&amp;" - L"&amp;A16&amp;" + L"&amp;A17&amp;" - L"&amp;A18&amp;" + L"&amp;A19</f>
        <v>L6 - L9 - L10 + L11 - L12 + L13</v>
      </c>
      <c r="D20" s="1024">
        <f>+D12-D15-D16+D17-D18+D19</f>
        <v>2077581566</v>
      </c>
      <c r="E20" s="1024">
        <f t="shared" ref="E20:Q20" si="4">+E12-E15-E16+E17-E18+E19</f>
        <v>2078005172.2700002</v>
      </c>
      <c r="F20" s="1024">
        <f t="shared" si="4"/>
        <v>2078378361.7900002</v>
      </c>
      <c r="G20" s="1024">
        <f t="shared" si="4"/>
        <v>2200926085.7999997</v>
      </c>
      <c r="H20" s="1024">
        <f t="shared" si="4"/>
        <v>2086188769.8100002</v>
      </c>
      <c r="I20" s="1024">
        <f t="shared" si="4"/>
        <v>2086430823.6300001</v>
      </c>
      <c r="J20" s="1024">
        <f t="shared" si="4"/>
        <v>2086862175.3400002</v>
      </c>
      <c r="K20" s="1024">
        <f t="shared" si="4"/>
        <v>2087288997.3199999</v>
      </c>
      <c r="L20" s="1024">
        <f t="shared" si="4"/>
        <v>2087582438.5899999</v>
      </c>
      <c r="M20" s="1024">
        <f t="shared" si="4"/>
        <v>2088016457.1199999</v>
      </c>
      <c r="N20" s="1024">
        <f t="shared" si="4"/>
        <v>2088446542.7599998</v>
      </c>
      <c r="O20" s="1024">
        <f t="shared" si="4"/>
        <v>2088876625</v>
      </c>
      <c r="P20" s="1024">
        <f t="shared" si="4"/>
        <v>2335223319</v>
      </c>
      <c r="Q20" s="1024">
        <f t="shared" si="4"/>
        <v>2113062102.6484613</v>
      </c>
    </row>
    <row r="21" spans="1:26">
      <c r="A21" s="741">
        <f t="shared" si="0"/>
        <v>15</v>
      </c>
      <c r="D21" s="80"/>
      <c r="E21" s="80"/>
      <c r="F21" s="80"/>
      <c r="G21" s="80"/>
      <c r="H21" s="80"/>
      <c r="I21" s="80"/>
      <c r="J21" s="80"/>
      <c r="K21" s="80"/>
      <c r="L21" s="80"/>
      <c r="M21" s="80"/>
      <c r="N21" s="80"/>
      <c r="O21" s="80"/>
      <c r="P21" s="80"/>
      <c r="Q21" s="80"/>
    </row>
    <row r="22" spans="1:26">
      <c r="A22" s="741">
        <f t="shared" si="0"/>
        <v>16</v>
      </c>
      <c r="B22" s="781" t="s">
        <v>239</v>
      </c>
      <c r="D22" s="80"/>
      <c r="E22" s="80"/>
      <c r="F22" s="80"/>
      <c r="G22" s="80"/>
      <c r="H22" s="80"/>
      <c r="I22" s="80"/>
      <c r="J22" s="80"/>
      <c r="K22" s="80"/>
      <c r="L22" s="80"/>
      <c r="M22" s="80"/>
      <c r="N22" s="80"/>
      <c r="O22" s="80"/>
      <c r="P22" s="80"/>
    </row>
    <row r="23" spans="1:26">
      <c r="A23" s="741">
        <f t="shared" si="0"/>
        <v>17</v>
      </c>
      <c r="B23" s="43" t="s">
        <v>1044</v>
      </c>
      <c r="C23" s="43" t="s">
        <v>1445</v>
      </c>
      <c r="D23" s="80"/>
      <c r="E23" s="80"/>
      <c r="F23" s="80"/>
      <c r="G23" s="80"/>
      <c r="H23" s="80"/>
      <c r="I23" s="80"/>
      <c r="J23" s="80"/>
      <c r="K23" s="80"/>
      <c r="L23" s="80"/>
      <c r="M23" s="80"/>
      <c r="N23" s="80"/>
      <c r="O23" s="80"/>
      <c r="P23" s="222">
        <v>85227937</v>
      </c>
    </row>
    <row r="24" spans="1:26">
      <c r="A24" s="741">
        <f t="shared" si="0"/>
        <v>18</v>
      </c>
      <c r="B24" s="220" t="s">
        <v>1043</v>
      </c>
      <c r="C24" s="43"/>
      <c r="D24" s="80"/>
      <c r="E24" s="80"/>
      <c r="F24" s="80"/>
      <c r="G24" s="80"/>
      <c r="H24" s="80"/>
      <c r="I24" s="80"/>
      <c r="J24" s="80"/>
      <c r="K24" s="80"/>
      <c r="L24" s="80"/>
      <c r="M24" s="80"/>
      <c r="N24" s="80"/>
      <c r="O24" s="80"/>
      <c r="P24" s="222">
        <v>0</v>
      </c>
      <c r="Q24" s="558"/>
    </row>
    <row r="25" spans="1:26">
      <c r="A25" s="741">
        <f t="shared" si="0"/>
        <v>19</v>
      </c>
      <c r="B25" s="43" t="s">
        <v>1048</v>
      </c>
      <c r="C25" s="43" t="s">
        <v>1446</v>
      </c>
      <c r="D25" s="80"/>
      <c r="E25" s="80"/>
      <c r="F25" s="80"/>
      <c r="G25" s="80"/>
      <c r="H25" s="80"/>
      <c r="I25" s="80"/>
      <c r="J25" s="80"/>
      <c r="K25" s="80"/>
      <c r="L25" s="80"/>
      <c r="M25" s="80"/>
      <c r="N25" s="80"/>
      <c r="O25" s="80"/>
      <c r="P25" s="222">
        <v>1889485</v>
      </c>
      <c r="Q25" s="558"/>
    </row>
    <row r="26" spans="1:26">
      <c r="A26" s="741">
        <f t="shared" si="0"/>
        <v>20</v>
      </c>
      <c r="B26" s="43" t="s">
        <v>1120</v>
      </c>
      <c r="C26" s="43" t="s">
        <v>1447</v>
      </c>
      <c r="D26" s="80"/>
      <c r="E26" s="80"/>
      <c r="F26" s="80"/>
      <c r="G26" s="80"/>
      <c r="H26" s="80"/>
      <c r="I26" s="80"/>
      <c r="J26" s="80"/>
      <c r="K26" s="80"/>
      <c r="L26" s="80"/>
      <c r="M26" s="80"/>
      <c r="N26" s="80"/>
      <c r="O26" s="80"/>
      <c r="P26" s="222">
        <v>3224785</v>
      </c>
      <c r="Q26" s="558"/>
    </row>
    <row r="27" spans="1:26">
      <c r="A27" s="741">
        <f t="shared" si="0"/>
        <v>21</v>
      </c>
      <c r="B27" s="220" t="s">
        <v>1049</v>
      </c>
      <c r="C27" s="43" t="s">
        <v>1448</v>
      </c>
      <c r="D27" s="80"/>
      <c r="E27" s="80"/>
      <c r="F27" s="80"/>
      <c r="G27" s="80"/>
      <c r="H27" s="80"/>
      <c r="I27" s="80"/>
      <c r="J27" s="80"/>
      <c r="K27" s="80"/>
      <c r="L27" s="80"/>
      <c r="M27" s="80"/>
      <c r="N27" s="80"/>
      <c r="O27" s="80"/>
      <c r="P27" s="222">
        <v>0</v>
      </c>
      <c r="Q27" s="558"/>
    </row>
    <row r="28" spans="1:26">
      <c r="A28" s="741">
        <f t="shared" si="0"/>
        <v>22</v>
      </c>
      <c r="B28" s="220" t="s">
        <v>1121</v>
      </c>
      <c r="C28" s="43" t="s">
        <v>1449</v>
      </c>
      <c r="D28" s="80"/>
      <c r="E28" s="80"/>
      <c r="F28" s="80"/>
      <c r="G28" s="80"/>
      <c r="H28" s="80"/>
      <c r="I28" s="80"/>
      <c r="J28" s="80"/>
      <c r="K28" s="80"/>
      <c r="L28" s="80"/>
      <c r="M28" s="80"/>
      <c r="N28" s="80"/>
      <c r="O28" s="80"/>
      <c r="P28" s="222">
        <v>0</v>
      </c>
      <c r="Q28" s="558"/>
    </row>
    <row r="29" spans="1:26" s="188" customFormat="1" ht="25.5" customHeight="1">
      <c r="A29" s="787">
        <f t="shared" si="0"/>
        <v>23</v>
      </c>
      <c r="B29" s="1051" t="s">
        <v>1363</v>
      </c>
      <c r="C29" s="597" t="s">
        <v>1450</v>
      </c>
      <c r="D29" s="80"/>
      <c r="E29" s="80"/>
      <c r="F29" s="80"/>
      <c r="G29" s="80"/>
      <c r="H29" s="80"/>
      <c r="I29" s="80"/>
      <c r="J29" s="80"/>
      <c r="K29" s="80"/>
      <c r="L29" s="80"/>
      <c r="M29" s="80"/>
      <c r="N29" s="80"/>
      <c r="O29" s="80"/>
      <c r="P29" s="222">
        <v>11779</v>
      </c>
      <c r="Q29" s="1026"/>
      <c r="R29" s="44"/>
      <c r="S29" s="44"/>
      <c r="T29" s="44"/>
      <c r="U29" s="44"/>
      <c r="V29" s="44"/>
      <c r="W29" s="44"/>
      <c r="X29" s="44"/>
      <c r="Y29" s="44"/>
      <c r="Z29" s="44"/>
    </row>
    <row r="30" spans="1:26" ht="13.15" customHeight="1">
      <c r="A30" s="741">
        <f t="shared" si="0"/>
        <v>24</v>
      </c>
      <c r="B30" s="1122" t="s">
        <v>236</v>
      </c>
      <c r="C30" s="1254" t="str">
        <f>+"L"&amp;A23&amp;" - L"&amp;A24&amp;" + L"&amp;A25&amp;" + L"&amp;A26&amp;" - L"&amp;A27&amp;" - L"&amp;A28&amp;" + L"&amp;A29</f>
        <v>L17 - L18 + L19 + L20 - L21 - L22 + L23</v>
      </c>
      <c r="D30" s="80"/>
      <c r="E30" s="80"/>
      <c r="F30" s="80"/>
      <c r="G30" s="80"/>
      <c r="H30" s="80"/>
      <c r="I30" s="80"/>
      <c r="J30" s="80"/>
      <c r="K30" s="80"/>
      <c r="L30" s="80"/>
      <c r="M30" s="80"/>
      <c r="N30" s="80"/>
      <c r="O30" s="80"/>
      <c r="P30" s="283">
        <f>+P23-P24+P25+P26-P27-P28+P29</f>
        <v>90353986</v>
      </c>
      <c r="Q30" s="283"/>
    </row>
    <row r="31" spans="1:26">
      <c r="A31" s="741">
        <f t="shared" si="0"/>
        <v>25</v>
      </c>
      <c r="B31" s="43"/>
      <c r="C31" s="197"/>
      <c r="D31" s="80"/>
      <c r="E31" s="80"/>
      <c r="F31" s="80"/>
      <c r="G31" s="80"/>
      <c r="H31" s="80"/>
      <c r="I31" s="80"/>
      <c r="J31" s="80"/>
      <c r="K31" s="80"/>
      <c r="L31" s="80"/>
      <c r="M31" s="80"/>
      <c r="N31" s="80"/>
      <c r="O31" s="80"/>
      <c r="P31" s="80"/>
    </row>
    <row r="32" spans="1:26">
      <c r="A32" s="741">
        <f t="shared" si="0"/>
        <v>26</v>
      </c>
      <c r="B32" s="1116" t="s">
        <v>240</v>
      </c>
      <c r="C32" s="43"/>
      <c r="D32" s="80"/>
      <c r="E32" s="80"/>
      <c r="F32" s="80"/>
      <c r="G32" s="80"/>
      <c r="H32" s="80"/>
      <c r="I32" s="80"/>
      <c r="J32" s="80"/>
      <c r="K32" s="80"/>
      <c r="L32" s="80"/>
      <c r="M32" s="80"/>
      <c r="N32" s="80"/>
      <c r="O32" s="80"/>
      <c r="P32" s="80"/>
    </row>
    <row r="33" spans="1:26">
      <c r="A33" s="741">
        <f t="shared" si="0"/>
        <v>27</v>
      </c>
      <c r="B33" s="43" t="s">
        <v>1047</v>
      </c>
      <c r="C33" s="43" t="s">
        <v>1186</v>
      </c>
      <c r="D33" s="222">
        <v>116350000</v>
      </c>
      <c r="E33" s="222">
        <v>116350000</v>
      </c>
      <c r="F33" s="222">
        <v>116350000</v>
      </c>
      <c r="G33" s="222">
        <v>116350000</v>
      </c>
      <c r="H33" s="222">
        <v>116350000</v>
      </c>
      <c r="I33" s="222">
        <v>116350000</v>
      </c>
      <c r="J33" s="222">
        <v>116350000</v>
      </c>
      <c r="K33" s="222">
        <v>116350000</v>
      </c>
      <c r="L33" s="222">
        <v>116350000</v>
      </c>
      <c r="M33" s="222">
        <v>116350000</v>
      </c>
      <c r="N33" s="222">
        <v>116350000</v>
      </c>
      <c r="O33" s="222">
        <v>116350000</v>
      </c>
      <c r="P33" s="222">
        <v>116350000</v>
      </c>
      <c r="Q33" s="80">
        <f t="shared" ref="Q33:Q38" si="5">SUM(D33:P33)/13</f>
        <v>116350000</v>
      </c>
    </row>
    <row r="34" spans="1:26">
      <c r="A34" s="741">
        <f t="shared" si="0"/>
        <v>28</v>
      </c>
      <c r="B34" s="43" t="s">
        <v>1443</v>
      </c>
      <c r="C34" s="43" t="s">
        <v>1193</v>
      </c>
      <c r="D34" s="222">
        <v>136737.75</v>
      </c>
      <c r="E34" s="222">
        <v>136737.75</v>
      </c>
      <c r="F34" s="222">
        <v>136737.75</v>
      </c>
      <c r="G34" s="222">
        <v>136737.75</v>
      </c>
      <c r="H34" s="222">
        <v>136737.75</v>
      </c>
      <c r="I34" s="222">
        <v>136737.75</v>
      </c>
      <c r="J34" s="222">
        <v>136737.75</v>
      </c>
      <c r="K34" s="222">
        <v>136737.75</v>
      </c>
      <c r="L34" s="222">
        <v>136737.75</v>
      </c>
      <c r="M34" s="222">
        <v>136737.75</v>
      </c>
      <c r="N34" s="222">
        <v>136737.75</v>
      </c>
      <c r="O34" s="222">
        <v>136737.75</v>
      </c>
      <c r="P34" s="222">
        <v>136737.75</v>
      </c>
      <c r="Q34" s="80">
        <f t="shared" si="5"/>
        <v>136737.75</v>
      </c>
    </row>
    <row r="35" spans="1:26">
      <c r="A35" s="741">
        <f t="shared" si="0"/>
        <v>29</v>
      </c>
      <c r="B35" s="43" t="s">
        <v>1524</v>
      </c>
      <c r="C35" s="43" t="s">
        <v>1194</v>
      </c>
      <c r="D35" s="222">
        <v>0</v>
      </c>
      <c r="E35" s="222">
        <v>0</v>
      </c>
      <c r="F35" s="222">
        <v>0</v>
      </c>
      <c r="G35" s="222">
        <v>0</v>
      </c>
      <c r="H35" s="222">
        <v>0</v>
      </c>
      <c r="I35" s="222">
        <v>0</v>
      </c>
      <c r="J35" s="222">
        <v>0</v>
      </c>
      <c r="K35" s="222">
        <v>0</v>
      </c>
      <c r="L35" s="222">
        <v>0</v>
      </c>
      <c r="M35" s="222">
        <v>0</v>
      </c>
      <c r="N35" s="222">
        <v>0</v>
      </c>
      <c r="O35" s="222">
        <v>0</v>
      </c>
      <c r="P35" s="222">
        <v>0</v>
      </c>
      <c r="Q35" s="80">
        <f t="shared" si="5"/>
        <v>0</v>
      </c>
    </row>
    <row r="36" spans="1:26">
      <c r="A36" s="741">
        <f t="shared" si="0"/>
        <v>30</v>
      </c>
      <c r="B36" s="1510" t="s">
        <v>1525</v>
      </c>
      <c r="C36" s="43" t="s">
        <v>1195</v>
      </c>
      <c r="D36" s="208">
        <v>0</v>
      </c>
      <c r="E36" s="208">
        <v>0</v>
      </c>
      <c r="F36" s="208">
        <v>0</v>
      </c>
      <c r="G36" s="208">
        <v>0</v>
      </c>
      <c r="H36" s="208">
        <v>0</v>
      </c>
      <c r="I36" s="208">
        <v>0</v>
      </c>
      <c r="J36" s="208">
        <v>0</v>
      </c>
      <c r="K36" s="208">
        <v>0</v>
      </c>
      <c r="L36" s="208">
        <v>0</v>
      </c>
      <c r="M36" s="208">
        <v>0</v>
      </c>
      <c r="N36" s="208">
        <v>0</v>
      </c>
      <c r="O36" s="208">
        <v>0</v>
      </c>
      <c r="P36" s="208">
        <v>0</v>
      </c>
      <c r="Q36" s="80">
        <f t="shared" si="5"/>
        <v>0</v>
      </c>
    </row>
    <row r="37" spans="1:26">
      <c r="A37" s="741">
        <f t="shared" si="0"/>
        <v>31</v>
      </c>
      <c r="B37" s="1510" t="s">
        <v>1442</v>
      </c>
      <c r="C37" s="43" t="s">
        <v>1196</v>
      </c>
      <c r="D37" s="208">
        <v>1753123</v>
      </c>
      <c r="E37" s="208">
        <v>1753123</v>
      </c>
      <c r="F37" s="208">
        <v>1753123</v>
      </c>
      <c r="G37" s="208">
        <v>1753123</v>
      </c>
      <c r="H37" s="208">
        <v>1753123</v>
      </c>
      <c r="I37" s="208">
        <v>1753123</v>
      </c>
      <c r="J37" s="208">
        <v>1753123</v>
      </c>
      <c r="K37" s="208">
        <v>1753123</v>
      </c>
      <c r="L37" s="208">
        <v>1753123</v>
      </c>
      <c r="M37" s="208">
        <v>1753123</v>
      </c>
      <c r="N37" s="208">
        <v>1753123</v>
      </c>
      <c r="O37" s="208">
        <v>1753123</v>
      </c>
      <c r="P37" s="208">
        <v>1753123</v>
      </c>
      <c r="Q37" s="80">
        <f t="shared" si="5"/>
        <v>1753123</v>
      </c>
    </row>
    <row r="38" spans="1:26">
      <c r="A38" s="741">
        <f t="shared" si="0"/>
        <v>32</v>
      </c>
      <c r="B38" s="1510" t="s">
        <v>1526</v>
      </c>
      <c r="C38" s="43" t="s">
        <v>1197</v>
      </c>
      <c r="D38" s="278">
        <v>0</v>
      </c>
      <c r="E38" s="278">
        <v>0</v>
      </c>
      <c r="F38" s="278">
        <v>0</v>
      </c>
      <c r="G38" s="278">
        <v>0</v>
      </c>
      <c r="H38" s="278">
        <v>0</v>
      </c>
      <c r="I38" s="278">
        <v>0</v>
      </c>
      <c r="J38" s="278">
        <v>0</v>
      </c>
      <c r="K38" s="278">
        <v>0</v>
      </c>
      <c r="L38" s="278">
        <v>0</v>
      </c>
      <c r="M38" s="278">
        <v>0</v>
      </c>
      <c r="N38" s="278">
        <v>0</v>
      </c>
      <c r="O38" s="278">
        <v>0</v>
      </c>
      <c r="P38" s="278">
        <v>0</v>
      </c>
      <c r="Q38" s="598">
        <f t="shared" si="5"/>
        <v>0</v>
      </c>
    </row>
    <row r="39" spans="1:26">
      <c r="A39" s="741">
        <f t="shared" si="0"/>
        <v>33</v>
      </c>
      <c r="B39" s="1122" t="s">
        <v>241</v>
      </c>
      <c r="C39" s="1023" t="str">
        <f>+"L"&amp;A33&amp;"+L"&amp;A34&amp;"+L"&amp;A35&amp;"-L"&amp;A36&amp;"-L"&amp;A37&amp;"-L"&amp;A38</f>
        <v>L27+L28+L29-L30-L31-L32</v>
      </c>
      <c r="D39" s="80">
        <f t="shared" ref="D39:Q39" si="6">+D33-D38+D34+D35-D36-D37</f>
        <v>114733614.75</v>
      </c>
      <c r="E39" s="80">
        <f t="shared" si="6"/>
        <v>114733614.75</v>
      </c>
      <c r="F39" s="80">
        <f t="shared" si="6"/>
        <v>114733614.75</v>
      </c>
      <c r="G39" s="80">
        <f t="shared" si="6"/>
        <v>114733614.75</v>
      </c>
      <c r="H39" s="80">
        <f t="shared" si="6"/>
        <v>114733614.75</v>
      </c>
      <c r="I39" s="80">
        <f t="shared" si="6"/>
        <v>114733614.75</v>
      </c>
      <c r="J39" s="80">
        <f t="shared" si="6"/>
        <v>114733614.75</v>
      </c>
      <c r="K39" s="80">
        <f t="shared" si="6"/>
        <v>114733614.75</v>
      </c>
      <c r="L39" s="80">
        <f t="shared" si="6"/>
        <v>114733614.75</v>
      </c>
      <c r="M39" s="80">
        <f t="shared" si="6"/>
        <v>114733614.75</v>
      </c>
      <c r="N39" s="80">
        <f t="shared" si="6"/>
        <v>114733614.75</v>
      </c>
      <c r="O39" s="80">
        <f t="shared" si="6"/>
        <v>114733614.75</v>
      </c>
      <c r="P39" s="80">
        <f t="shared" si="6"/>
        <v>114733614.75</v>
      </c>
      <c r="Q39" s="80">
        <f t="shared" si="6"/>
        <v>114733614.75</v>
      </c>
    </row>
    <row r="40" spans="1:26">
      <c r="A40" s="741">
        <f t="shared" si="0"/>
        <v>34</v>
      </c>
      <c r="B40" s="75"/>
      <c r="C40" s="75"/>
      <c r="D40" s="80"/>
      <c r="E40" s="80"/>
      <c r="F40" s="80"/>
      <c r="G40" s="80"/>
      <c r="H40" s="80"/>
      <c r="I40" s="80"/>
      <c r="J40" s="80"/>
      <c r="K40" s="80"/>
      <c r="L40" s="80"/>
      <c r="M40" s="80"/>
      <c r="N40" s="80"/>
      <c r="O40" s="80"/>
      <c r="P40" s="80"/>
      <c r="Q40" s="80"/>
    </row>
    <row r="41" spans="1:26">
      <c r="A41" s="741">
        <f t="shared" si="0"/>
        <v>35</v>
      </c>
      <c r="B41" s="45" t="s">
        <v>1187</v>
      </c>
      <c r="C41" s="43" t="s">
        <v>1451</v>
      </c>
      <c r="D41" s="80"/>
      <c r="E41" s="80"/>
      <c r="F41" s="80"/>
      <c r="G41" s="80"/>
      <c r="H41" s="80"/>
      <c r="I41" s="80"/>
      <c r="J41" s="80"/>
      <c r="K41" s="80"/>
      <c r="L41" s="80"/>
      <c r="M41" s="80"/>
      <c r="N41" s="80"/>
      <c r="O41" s="80"/>
      <c r="P41" s="222">
        <v>6873220</v>
      </c>
      <c r="Q41" s="80"/>
    </row>
    <row r="42" spans="1:26">
      <c r="A42" s="741">
        <f t="shared" si="0"/>
        <v>36</v>
      </c>
      <c r="B42" s="43"/>
      <c r="C42" s="43"/>
      <c r="D42" s="80"/>
      <c r="E42" s="80"/>
      <c r="F42" s="80"/>
      <c r="G42" s="80"/>
      <c r="H42" s="80"/>
      <c r="I42" s="80"/>
      <c r="J42" s="80"/>
      <c r="K42" s="80"/>
      <c r="L42" s="80"/>
      <c r="M42" s="80"/>
      <c r="N42" s="80"/>
      <c r="O42" s="80"/>
      <c r="P42" s="80"/>
      <c r="Q42" s="80"/>
    </row>
    <row r="43" spans="1:26">
      <c r="A43" s="741">
        <f t="shared" si="0"/>
        <v>37</v>
      </c>
      <c r="B43" s="1025" t="s">
        <v>247</v>
      </c>
      <c r="C43" s="43"/>
      <c r="D43" s="80"/>
      <c r="E43" s="80"/>
      <c r="F43" s="80"/>
      <c r="G43" s="80"/>
      <c r="H43" s="80"/>
      <c r="I43" s="80"/>
      <c r="J43" s="80"/>
      <c r="K43" s="80"/>
      <c r="L43" s="80"/>
      <c r="M43" s="80"/>
      <c r="N43" s="80"/>
      <c r="O43" s="80"/>
      <c r="P43" s="80"/>
      <c r="Q43" s="80"/>
    </row>
    <row r="44" spans="1:26">
      <c r="A44" s="741">
        <f t="shared" si="0"/>
        <v>38</v>
      </c>
      <c r="B44" s="43" t="s">
        <v>310</v>
      </c>
      <c r="C44" s="43" t="s">
        <v>1188</v>
      </c>
      <c r="D44" s="222">
        <v>1836041299.8400002</v>
      </c>
      <c r="E44" s="222">
        <v>1848390199.8400002</v>
      </c>
      <c r="F44" s="222">
        <v>1856962849.8400002</v>
      </c>
      <c r="G44" s="222">
        <v>1862692619.8400002</v>
      </c>
      <c r="H44" s="222">
        <v>1861770604.8400002</v>
      </c>
      <c r="I44" s="222">
        <v>1865608755.849</v>
      </c>
      <c r="J44" s="222">
        <v>1889979185.8400002</v>
      </c>
      <c r="K44" s="222">
        <v>1914558873.9390001</v>
      </c>
      <c r="L44" s="222">
        <v>1938437652.579</v>
      </c>
      <c r="M44" s="222">
        <v>1951240850.8400002</v>
      </c>
      <c r="N44" s="222">
        <v>1942668242.9089999</v>
      </c>
      <c r="O44" s="222">
        <v>1936198442.1589999</v>
      </c>
      <c r="P44" s="222">
        <v>1940560278.8400002</v>
      </c>
      <c r="Q44" s="80">
        <f t="shared" ref="Q44:Q47" si="7">SUM(D44:P44)/13</f>
        <v>1895777681.3196156</v>
      </c>
    </row>
    <row r="45" spans="1:26">
      <c r="A45" s="741">
        <f t="shared" si="0"/>
        <v>39</v>
      </c>
      <c r="B45" s="220" t="s">
        <v>957</v>
      </c>
      <c r="C45" s="43" t="str">
        <f>+"L"&amp;A39&amp;" Above"</f>
        <v>L33 Above</v>
      </c>
      <c r="D45" s="80">
        <f>D39</f>
        <v>114733614.75</v>
      </c>
      <c r="E45" s="80">
        <f t="shared" ref="E45:P45" si="8">E39</f>
        <v>114733614.75</v>
      </c>
      <c r="F45" s="80">
        <f t="shared" si="8"/>
        <v>114733614.75</v>
      </c>
      <c r="G45" s="80">
        <f t="shared" si="8"/>
        <v>114733614.75</v>
      </c>
      <c r="H45" s="80">
        <f t="shared" si="8"/>
        <v>114733614.75</v>
      </c>
      <c r="I45" s="80">
        <f t="shared" si="8"/>
        <v>114733614.75</v>
      </c>
      <c r="J45" s="80">
        <f t="shared" si="8"/>
        <v>114733614.75</v>
      </c>
      <c r="K45" s="80">
        <f t="shared" si="8"/>
        <v>114733614.75</v>
      </c>
      <c r="L45" s="80">
        <f t="shared" si="8"/>
        <v>114733614.75</v>
      </c>
      <c r="M45" s="80">
        <f t="shared" si="8"/>
        <v>114733614.75</v>
      </c>
      <c r="N45" s="80">
        <f t="shared" si="8"/>
        <v>114733614.75</v>
      </c>
      <c r="O45" s="80">
        <f t="shared" si="8"/>
        <v>114733614.75</v>
      </c>
      <c r="P45" s="80">
        <f t="shared" si="8"/>
        <v>114733614.75</v>
      </c>
      <c r="Q45" s="80">
        <f t="shared" si="7"/>
        <v>114733614.75</v>
      </c>
    </row>
    <row r="46" spans="1:26" s="188" customFormat="1" ht="26.25" customHeight="1">
      <c r="A46" s="787">
        <f t="shared" si="0"/>
        <v>40</v>
      </c>
      <c r="B46" s="1051" t="s">
        <v>1122</v>
      </c>
      <c r="C46" s="597" t="s">
        <v>1189</v>
      </c>
      <c r="D46" s="788">
        <v>-938933</v>
      </c>
      <c r="E46" s="788">
        <v>-938889.33333333337</v>
      </c>
      <c r="F46" s="788">
        <v>-938845.66666666674</v>
      </c>
      <c r="G46" s="788">
        <v>-938802</v>
      </c>
      <c r="H46" s="788">
        <v>-999252.33333333337</v>
      </c>
      <c r="I46" s="788">
        <v>-1059702.6666666667</v>
      </c>
      <c r="J46" s="788">
        <v>-1120153</v>
      </c>
      <c r="K46" s="788">
        <v>-1120103.6666666667</v>
      </c>
      <c r="L46" s="788">
        <v>-1120054.3333333335</v>
      </c>
      <c r="M46" s="788">
        <v>-1120005</v>
      </c>
      <c r="N46" s="788">
        <v>-2135557.3333333335</v>
      </c>
      <c r="O46" s="788">
        <v>-3151109.666666667</v>
      </c>
      <c r="P46" s="788">
        <v>-4166662</v>
      </c>
      <c r="Q46" s="80">
        <f t="shared" si="7"/>
        <v>-1519082.3076923077</v>
      </c>
      <c r="R46" s="44"/>
      <c r="S46" s="44"/>
      <c r="T46" s="44"/>
      <c r="U46" s="44"/>
      <c r="V46" s="44"/>
      <c r="W46" s="44"/>
      <c r="X46" s="44"/>
      <c r="Y46" s="44"/>
      <c r="Z46" s="44"/>
    </row>
    <row r="47" spans="1:26">
      <c r="A47" s="741">
        <f t="shared" si="0"/>
        <v>41</v>
      </c>
      <c r="B47" s="220" t="s">
        <v>1053</v>
      </c>
      <c r="C47" s="43" t="s">
        <v>1190</v>
      </c>
      <c r="D47" s="222">
        <v>0</v>
      </c>
      <c r="E47" s="222">
        <v>0</v>
      </c>
      <c r="F47" s="222">
        <v>0</v>
      </c>
      <c r="G47" s="222">
        <v>0</v>
      </c>
      <c r="H47" s="222">
        <v>0</v>
      </c>
      <c r="I47" s="222">
        <v>0</v>
      </c>
      <c r="J47" s="222">
        <v>0</v>
      </c>
      <c r="K47" s="222">
        <v>0</v>
      </c>
      <c r="L47" s="222">
        <v>0</v>
      </c>
      <c r="M47" s="222">
        <v>0</v>
      </c>
      <c r="N47" s="222">
        <v>0</v>
      </c>
      <c r="O47" s="222">
        <v>0</v>
      </c>
      <c r="P47" s="222">
        <v>0</v>
      </c>
      <c r="Q47" s="80">
        <f t="shared" si="7"/>
        <v>0</v>
      </c>
    </row>
    <row r="48" spans="1:26">
      <c r="A48" s="741">
        <f t="shared" si="0"/>
        <v>42</v>
      </c>
      <c r="B48" s="1122" t="s">
        <v>238</v>
      </c>
      <c r="C48" s="1023" t="str">
        <f>+"L"&amp;A44&amp;" - (L"&amp;A45&amp;" to L"&amp;A47&amp;")"</f>
        <v>L38 - (L39 to L41)</v>
      </c>
      <c r="D48" s="1024">
        <f>+D44-D45-D46-D47</f>
        <v>1722246618.0900002</v>
      </c>
      <c r="E48" s="1024">
        <f t="shared" ref="E48:Q48" si="9">+E44-E45-E46-E47</f>
        <v>1734595474.4233334</v>
      </c>
      <c r="F48" s="1024">
        <f t="shared" si="9"/>
        <v>1743168080.7566669</v>
      </c>
      <c r="G48" s="1024">
        <f t="shared" si="9"/>
        <v>1748897807.0900002</v>
      </c>
      <c r="H48" s="1024">
        <f t="shared" si="9"/>
        <v>1748036242.4233334</v>
      </c>
      <c r="I48" s="1024">
        <f t="shared" si="9"/>
        <v>1751934843.7656667</v>
      </c>
      <c r="J48" s="1024">
        <f t="shared" si="9"/>
        <v>1776365724.0900002</v>
      </c>
      <c r="K48" s="1024">
        <f t="shared" si="9"/>
        <v>1800945362.8556669</v>
      </c>
      <c r="L48" s="1024">
        <f t="shared" si="9"/>
        <v>1824824092.1623333</v>
      </c>
      <c r="M48" s="1024">
        <f t="shared" si="9"/>
        <v>1837627241.0900002</v>
      </c>
      <c r="N48" s="1024">
        <f t="shared" si="9"/>
        <v>1830070185.4923332</v>
      </c>
      <c r="O48" s="1024">
        <f t="shared" si="9"/>
        <v>1824615937.0756667</v>
      </c>
      <c r="P48" s="1024">
        <f t="shared" si="9"/>
        <v>1829993326.0900002</v>
      </c>
      <c r="Q48" s="1024">
        <f t="shared" si="9"/>
        <v>1782563148.8773079</v>
      </c>
    </row>
    <row r="49" spans="1:26" s="784" customFormat="1">
      <c r="A49" s="783"/>
      <c r="B49" s="1061"/>
      <c r="C49" s="1061"/>
      <c r="D49" s="786"/>
      <c r="E49" s="786"/>
      <c r="F49" s="786"/>
      <c r="G49" s="786"/>
      <c r="H49" s="786"/>
      <c r="I49" s="786"/>
      <c r="J49" s="786"/>
      <c r="K49" s="786"/>
      <c r="L49" s="786"/>
      <c r="M49" s="786"/>
      <c r="N49" s="786"/>
      <c r="O49" s="786"/>
      <c r="P49" s="786"/>
      <c r="Q49" s="786"/>
      <c r="R49" s="44"/>
      <c r="S49" s="44"/>
      <c r="T49" s="44"/>
      <c r="U49" s="44"/>
      <c r="V49" s="44"/>
      <c r="W49" s="44"/>
      <c r="X49" s="44"/>
      <c r="Y49" s="44"/>
      <c r="Z49" s="44"/>
    </row>
    <row r="50" spans="1:26">
      <c r="A50" s="741" t="s">
        <v>319</v>
      </c>
      <c r="B50" s="43"/>
      <c r="C50" s="43"/>
      <c r="D50" s="80"/>
      <c r="E50" s="80"/>
      <c r="F50" s="80"/>
      <c r="G50" s="80"/>
      <c r="H50" s="80"/>
      <c r="I50" s="80"/>
      <c r="J50" s="80"/>
      <c r="K50" s="80"/>
      <c r="L50" s="80"/>
      <c r="M50" s="80"/>
      <c r="N50" s="80"/>
      <c r="O50" s="80"/>
      <c r="P50" s="270"/>
      <c r="Q50" s="80"/>
    </row>
    <row r="51" spans="1:26">
      <c r="A51" s="1029" t="s">
        <v>367</v>
      </c>
      <c r="B51" s="597" t="s">
        <v>1029</v>
      </c>
      <c r="C51" s="597"/>
      <c r="D51" s="597"/>
      <c r="E51" s="597"/>
      <c r="F51" s="597"/>
      <c r="G51" s="597"/>
      <c r="H51" s="597"/>
      <c r="I51" s="597"/>
      <c r="J51" s="597"/>
      <c r="K51" s="597"/>
      <c r="L51" s="597"/>
      <c r="M51" s="597"/>
      <c r="N51" s="597"/>
      <c r="O51" s="597"/>
      <c r="P51" s="597"/>
      <c r="Q51" s="1028"/>
    </row>
    <row r="52" spans="1:26" s="43" customFormat="1">
      <c r="A52" s="1029" t="s">
        <v>769</v>
      </c>
      <c r="B52" s="597" t="s">
        <v>1384</v>
      </c>
      <c r="C52" s="597"/>
      <c r="D52" s="597"/>
      <c r="E52" s="597"/>
      <c r="F52" s="597"/>
      <c r="G52" s="597"/>
      <c r="H52" s="597"/>
      <c r="I52" s="597"/>
      <c r="J52" s="597"/>
      <c r="K52" s="597"/>
      <c r="L52" s="597"/>
      <c r="M52" s="597"/>
      <c r="N52" s="597"/>
      <c r="O52" s="597"/>
      <c r="P52" s="597"/>
      <c r="Q52" s="1028"/>
      <c r="R52" s="1028"/>
      <c r="S52" s="1028"/>
      <c r="T52" s="1028"/>
    </row>
    <row r="53" spans="1:26" s="43" customFormat="1">
      <c r="A53" s="1029" t="s">
        <v>770</v>
      </c>
      <c r="B53" s="597" t="s">
        <v>1364</v>
      </c>
      <c r="C53" s="597"/>
      <c r="D53" s="597"/>
      <c r="E53" s="597"/>
      <c r="F53" s="597"/>
      <c r="G53" s="597"/>
      <c r="H53" s="597"/>
      <c r="I53" s="597"/>
      <c r="J53" s="597"/>
      <c r="K53" s="597"/>
      <c r="L53" s="597"/>
      <c r="M53" s="597"/>
      <c r="N53" s="597"/>
      <c r="O53" s="597"/>
      <c r="P53" s="597"/>
      <c r="Q53" s="1028"/>
    </row>
    <row r="54" spans="1:26" s="43" customFormat="1">
      <c r="A54" s="1298" t="s">
        <v>771</v>
      </c>
      <c r="B54" s="43" t="s">
        <v>1513</v>
      </c>
      <c r="D54" s="240"/>
      <c r="E54" s="240"/>
      <c r="F54" s="240"/>
      <c r="G54" s="240"/>
      <c r="H54" s="240"/>
      <c r="I54" s="240"/>
      <c r="J54" s="240"/>
      <c r="K54" s="240"/>
      <c r="L54" s="240"/>
      <c r="M54" s="240"/>
      <c r="N54" s="240"/>
      <c r="O54" s="240"/>
      <c r="Q54" s="80"/>
    </row>
    <row r="55" spans="1:26" s="43" customFormat="1" ht="15">
      <c r="A55" s="1510"/>
      <c r="B55" s="1532"/>
      <c r="C55" s="1532"/>
      <c r="D55" s="1533"/>
      <c r="E55" s="992"/>
      <c r="F55" s="240"/>
      <c r="G55" s="240"/>
      <c r="H55" s="240"/>
      <c r="I55" s="240"/>
      <c r="J55" s="240"/>
      <c r="K55" s="240"/>
      <c r="L55" s="240"/>
      <c r="M55" s="240"/>
      <c r="N55" s="240"/>
      <c r="O55" s="240"/>
      <c r="Q55" s="80"/>
    </row>
    <row r="56" spans="1:26" s="43" customFormat="1">
      <c r="A56" s="1510"/>
      <c r="B56" s="993"/>
      <c r="C56" s="928"/>
      <c r="D56" s="80"/>
      <c r="E56" s="80"/>
      <c r="Q56" s="80"/>
    </row>
    <row r="57" spans="1:26" s="43" customFormat="1">
      <c r="A57" s="1510"/>
      <c r="B57" s="993"/>
      <c r="C57" s="928"/>
      <c r="D57" s="80"/>
      <c r="E57" s="80"/>
      <c r="Q57" s="80"/>
    </row>
  </sheetData>
  <mergeCells count="3">
    <mergeCell ref="A1:C1"/>
    <mergeCell ref="A2:C2"/>
    <mergeCell ref="A3:C3"/>
  </mergeCells>
  <phoneticPr fontId="70" type="noConversion"/>
  <pageMargins left="0.7" right="0.7" top="0.7" bottom="0.7" header="0.3" footer="0.5"/>
  <pageSetup scale="66" orientation="landscape" r:id="rId1"/>
  <headerFooter>
    <oddFooter>&amp;CPage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50"/>
  <sheetViews>
    <sheetView workbookViewId="0">
      <selection activeCell="A4" sqref="A4:XFD4"/>
    </sheetView>
  </sheetViews>
  <sheetFormatPr defaultColWidth="8.85546875" defaultRowHeight="15"/>
  <cols>
    <col min="1" max="1" width="32.5703125" style="1671" customWidth="1"/>
    <col min="2" max="2" width="30.140625" style="1671" customWidth="1"/>
    <col min="3" max="3" width="30" style="1671" customWidth="1"/>
    <col min="4" max="4" width="15.7109375" style="1671" hidden="1" customWidth="1"/>
    <col min="5" max="5" width="17.42578125" style="1675" customWidth="1"/>
    <col min="6" max="6" width="3.42578125" style="1671" bestFit="1" customWidth="1"/>
    <col min="7" max="7" width="15.7109375" style="1671" bestFit="1" customWidth="1"/>
    <col min="8" max="176" width="8.85546875" style="1679"/>
    <col min="177" max="16384" width="8.85546875" style="1671"/>
  </cols>
  <sheetData>
    <row r="1" spans="1:6">
      <c r="A1" s="1763" t="s">
        <v>365</v>
      </c>
      <c r="B1" s="1763"/>
      <c r="C1" s="1763"/>
      <c r="D1" s="1763"/>
      <c r="E1" s="1763"/>
      <c r="F1" s="1763"/>
    </row>
    <row r="2" spans="1:6">
      <c r="A2" s="1763" t="s">
        <v>1772</v>
      </c>
      <c r="B2" s="1763"/>
      <c r="C2" s="1763"/>
      <c r="D2" s="1763"/>
      <c r="E2" s="1763"/>
      <c r="F2" s="1763"/>
    </row>
    <row r="3" spans="1:6">
      <c r="A3" s="1763" t="s">
        <v>1823</v>
      </c>
      <c r="B3" s="1763"/>
      <c r="C3" s="1763"/>
      <c r="D3" s="1763"/>
      <c r="E3" s="1763"/>
      <c r="F3" s="1763"/>
    </row>
    <row r="4" spans="1:6">
      <c r="A4" s="1684"/>
      <c r="B4" s="1684"/>
      <c r="C4" s="1684"/>
      <c r="D4" s="1684"/>
      <c r="E4" s="1684"/>
      <c r="F4" s="1684"/>
    </row>
    <row r="5" spans="1:6">
      <c r="A5" s="1672" t="s">
        <v>372</v>
      </c>
      <c r="B5" s="1672" t="s">
        <v>1773</v>
      </c>
      <c r="C5" s="1672" t="s">
        <v>1774</v>
      </c>
      <c r="D5" s="1672" t="s">
        <v>308</v>
      </c>
      <c r="E5" s="1673" t="s">
        <v>308</v>
      </c>
    </row>
    <row r="6" spans="1:6">
      <c r="A6" s="1671" t="s">
        <v>1775</v>
      </c>
      <c r="B6" s="1671" t="s">
        <v>1776</v>
      </c>
      <c r="C6" s="1671" t="s">
        <v>1777</v>
      </c>
      <c r="D6" s="1674">
        <v>-14700</v>
      </c>
      <c r="E6" s="1675">
        <v>-14700</v>
      </c>
      <c r="F6" s="1671" t="s">
        <v>1778</v>
      </c>
    </row>
    <row r="7" spans="1:6">
      <c r="C7" s="1671" t="s">
        <v>1779</v>
      </c>
      <c r="D7" s="1674">
        <v>-16275</v>
      </c>
      <c r="E7" s="1675">
        <v>-16275</v>
      </c>
      <c r="F7" s="1671" t="s">
        <v>1778</v>
      </c>
    </row>
    <row r="8" spans="1:6">
      <c r="C8" s="1671" t="s">
        <v>1780</v>
      </c>
      <c r="D8" s="1674">
        <v>-11475</v>
      </c>
      <c r="E8" s="1675">
        <v>-11475</v>
      </c>
      <c r="F8" s="1671" t="s">
        <v>1778</v>
      </c>
    </row>
    <row r="9" spans="1:6">
      <c r="C9" s="1671" t="s">
        <v>1781</v>
      </c>
      <c r="D9" s="1674">
        <v>-90987.75</v>
      </c>
      <c r="E9" s="1675">
        <v>-90987.75</v>
      </c>
      <c r="F9" s="1671" t="s">
        <v>1778</v>
      </c>
    </row>
    <row r="10" spans="1:6">
      <c r="C10" s="1671" t="s">
        <v>1782</v>
      </c>
      <c r="D10" s="1674">
        <v>-3300</v>
      </c>
      <c r="E10" s="1675">
        <v>-3300</v>
      </c>
      <c r="F10" s="1671" t="s">
        <v>1778</v>
      </c>
    </row>
    <row r="11" spans="1:6">
      <c r="C11" s="1671" t="s">
        <v>1783</v>
      </c>
      <c r="D11" s="1674">
        <v>0</v>
      </c>
      <c r="E11" s="1675">
        <v>0</v>
      </c>
    </row>
    <row r="12" spans="1:6">
      <c r="C12" s="1671" t="s">
        <v>1784</v>
      </c>
      <c r="D12" s="1674">
        <v>0</v>
      </c>
      <c r="E12" s="1675">
        <v>0</v>
      </c>
    </row>
    <row r="13" spans="1:6">
      <c r="C13" s="1671" t="s">
        <v>1785</v>
      </c>
      <c r="D13" s="1674">
        <v>0</v>
      </c>
      <c r="E13" s="1675">
        <v>0</v>
      </c>
    </row>
    <row r="14" spans="1:6">
      <c r="C14" s="1671" t="s">
        <v>1786</v>
      </c>
      <c r="D14" s="1674">
        <v>0</v>
      </c>
      <c r="E14" s="1675">
        <v>0</v>
      </c>
    </row>
    <row r="15" spans="1:6">
      <c r="C15" s="1671" t="s">
        <v>1787</v>
      </c>
      <c r="D15" s="1674">
        <v>-113908.14</v>
      </c>
      <c r="E15" s="1675">
        <v>-113908.14</v>
      </c>
      <c r="F15" s="1671" t="s">
        <v>1788</v>
      </c>
    </row>
    <row r="16" spans="1:6">
      <c r="A16" s="1676" t="s">
        <v>1789</v>
      </c>
      <c r="B16" s="1676"/>
      <c r="C16" s="1676"/>
      <c r="D16" s="1677">
        <v>-250645.89</v>
      </c>
      <c r="E16" s="1678">
        <v>-250645.89</v>
      </c>
    </row>
    <row r="17" spans="1:176">
      <c r="A17" s="1671" t="s">
        <v>1790</v>
      </c>
      <c r="B17" s="1671" t="s">
        <v>1791</v>
      </c>
      <c r="C17" s="1671" t="s">
        <v>259</v>
      </c>
      <c r="D17" s="1674">
        <v>-3819767.95</v>
      </c>
      <c r="E17" s="1675">
        <v>-3819767.95</v>
      </c>
    </row>
    <row r="18" spans="1:176" s="1680" customFormat="1">
      <c r="A18" s="1671"/>
      <c r="B18" s="1671"/>
      <c r="C18" s="1671" t="s">
        <v>1792</v>
      </c>
      <c r="D18" s="1674">
        <v>606000</v>
      </c>
      <c r="E18" s="1675">
        <v>606000</v>
      </c>
      <c r="F18" s="1671"/>
      <c r="G18" s="1671"/>
      <c r="H18" s="1679"/>
      <c r="I18" s="1679"/>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79"/>
      <c r="AL18" s="1679"/>
      <c r="AM18" s="1679"/>
      <c r="AN18" s="1679"/>
      <c r="AO18" s="1679"/>
      <c r="AP18" s="1679"/>
      <c r="AQ18" s="1679"/>
      <c r="AR18" s="1679"/>
      <c r="AS18" s="1679"/>
      <c r="AT18" s="1679"/>
      <c r="AU18" s="1679"/>
      <c r="AV18" s="1679"/>
      <c r="AW18" s="1679"/>
      <c r="AX18" s="1679"/>
      <c r="AY18" s="1679"/>
      <c r="AZ18" s="1679"/>
      <c r="BA18" s="1679"/>
      <c r="BB18" s="1679"/>
      <c r="BC18" s="1679"/>
      <c r="BD18" s="1679"/>
      <c r="BE18" s="1679"/>
      <c r="BF18" s="1679"/>
      <c r="BG18" s="1679"/>
      <c r="BH18" s="1679"/>
      <c r="BI18" s="1679"/>
      <c r="BJ18" s="1679"/>
      <c r="BK18" s="1679"/>
      <c r="BL18" s="1679"/>
      <c r="BM18" s="1679"/>
      <c r="BN18" s="1679"/>
      <c r="BO18" s="1679"/>
      <c r="BP18" s="1679"/>
      <c r="BQ18" s="1679"/>
      <c r="BR18" s="1679"/>
      <c r="BS18" s="1679"/>
      <c r="BT18" s="1679"/>
      <c r="BU18" s="1679"/>
      <c r="BV18" s="1679"/>
      <c r="BW18" s="1679"/>
      <c r="BX18" s="1679"/>
      <c r="BY18" s="1679"/>
      <c r="BZ18" s="1679"/>
      <c r="CA18" s="1679"/>
      <c r="CB18" s="1679"/>
      <c r="CC18" s="1679"/>
      <c r="CD18" s="1679"/>
      <c r="CE18" s="1679"/>
      <c r="CF18" s="1679"/>
      <c r="CG18" s="1679"/>
      <c r="CH18" s="1679"/>
      <c r="CI18" s="1679"/>
      <c r="CJ18" s="1679"/>
      <c r="CK18" s="1679"/>
      <c r="CL18" s="1679"/>
      <c r="CM18" s="1679"/>
      <c r="CN18" s="1679"/>
      <c r="CO18" s="1679"/>
      <c r="CP18" s="1679"/>
      <c r="CQ18" s="1679"/>
      <c r="CR18" s="1679"/>
      <c r="CS18" s="1679"/>
      <c r="CT18" s="1679"/>
      <c r="CU18" s="1679"/>
      <c r="CV18" s="1679"/>
      <c r="CW18" s="1679"/>
      <c r="CX18" s="1679"/>
      <c r="CY18" s="1679"/>
      <c r="CZ18" s="1679"/>
      <c r="DA18" s="1679"/>
      <c r="DB18" s="1679"/>
      <c r="DC18" s="1679"/>
      <c r="DD18" s="1679"/>
      <c r="DE18" s="1679"/>
      <c r="DF18" s="1679"/>
      <c r="DG18" s="1679"/>
      <c r="DH18" s="1679"/>
      <c r="DI18" s="1679"/>
      <c r="DJ18" s="1679"/>
      <c r="DK18" s="1679"/>
      <c r="DL18" s="1679"/>
      <c r="DM18" s="1679"/>
      <c r="DN18" s="1679"/>
      <c r="DO18" s="1679"/>
      <c r="DP18" s="1679"/>
      <c r="DQ18" s="1679"/>
      <c r="DR18" s="1679"/>
      <c r="DS18" s="1679"/>
      <c r="DT18" s="1679"/>
      <c r="DU18" s="1679"/>
      <c r="DV18" s="1679"/>
      <c r="DW18" s="1679"/>
      <c r="DX18" s="1679"/>
      <c r="DY18" s="1679"/>
      <c r="DZ18" s="1679"/>
      <c r="EA18" s="1679"/>
      <c r="EB18" s="1679"/>
      <c r="EC18" s="1679"/>
      <c r="ED18" s="1679"/>
      <c r="EE18" s="1679"/>
      <c r="EF18" s="1679"/>
      <c r="EG18" s="1679"/>
      <c r="EH18" s="1679"/>
      <c r="EI18" s="1679"/>
      <c r="EJ18" s="1679"/>
      <c r="EK18" s="1679"/>
      <c r="EL18" s="1679"/>
      <c r="EM18" s="1679"/>
      <c r="EN18" s="1679"/>
      <c r="EO18" s="1679"/>
      <c r="EP18" s="1679"/>
      <c r="EQ18" s="1679"/>
      <c r="ER18" s="1679"/>
      <c r="ES18" s="1679"/>
      <c r="ET18" s="1679"/>
      <c r="EU18" s="1679"/>
      <c r="EV18" s="1679"/>
      <c r="EW18" s="1679"/>
      <c r="EX18" s="1679"/>
      <c r="EY18" s="1679"/>
      <c r="EZ18" s="1679"/>
      <c r="FA18" s="1679"/>
      <c r="FB18" s="1679"/>
      <c r="FC18" s="1679"/>
      <c r="FD18" s="1679"/>
      <c r="FE18" s="1679"/>
      <c r="FF18" s="1679"/>
      <c r="FG18" s="1679"/>
      <c r="FH18" s="1679"/>
      <c r="FI18" s="1679"/>
      <c r="FJ18" s="1679"/>
      <c r="FK18" s="1679"/>
      <c r="FL18" s="1679"/>
      <c r="FM18" s="1679"/>
      <c r="FN18" s="1679"/>
      <c r="FO18" s="1679"/>
      <c r="FP18" s="1679"/>
      <c r="FQ18" s="1679"/>
      <c r="FR18" s="1679"/>
      <c r="FS18" s="1679"/>
      <c r="FT18" s="1679"/>
    </row>
    <row r="19" spans="1:176">
      <c r="A19" s="1676" t="s">
        <v>1793</v>
      </c>
      <c r="B19" s="1676"/>
      <c r="C19" s="1676"/>
      <c r="D19" s="1677">
        <v>-3213767.95</v>
      </c>
      <c r="E19" s="1678">
        <v>-3213767.95</v>
      </c>
      <c r="F19" s="1671" t="s">
        <v>1788</v>
      </c>
    </row>
    <row r="20" spans="1:176">
      <c r="A20" s="1671" t="s">
        <v>1794</v>
      </c>
      <c r="B20" s="1671" t="s">
        <v>1795</v>
      </c>
      <c r="C20" s="1671" t="s">
        <v>1796</v>
      </c>
      <c r="D20" s="1674">
        <v>0</v>
      </c>
      <c r="E20" s="1675">
        <v>0</v>
      </c>
    </row>
    <row r="21" spans="1:176">
      <c r="A21" s="1676" t="s">
        <v>1797</v>
      </c>
      <c r="B21" s="1676"/>
      <c r="C21" s="1676"/>
      <c r="D21" s="1677">
        <v>0</v>
      </c>
      <c r="E21" s="1678">
        <v>0</v>
      </c>
    </row>
    <row r="22" spans="1:176">
      <c r="A22" s="1671" t="s">
        <v>1798</v>
      </c>
      <c r="B22" s="1671" t="s">
        <v>1799</v>
      </c>
      <c r="C22" s="1671" t="s">
        <v>259</v>
      </c>
      <c r="D22" s="1674">
        <v>0</v>
      </c>
      <c r="E22" s="1675">
        <v>0</v>
      </c>
    </row>
    <row r="23" spans="1:176">
      <c r="A23" s="1676" t="s">
        <v>1800</v>
      </c>
      <c r="B23" s="1676"/>
      <c r="C23" s="1676"/>
      <c r="D23" s="1677">
        <v>0</v>
      </c>
      <c r="E23" s="1678">
        <v>0</v>
      </c>
    </row>
    <row r="24" spans="1:176">
      <c r="A24" s="1671" t="s">
        <v>1801</v>
      </c>
      <c r="B24" s="1671" t="s">
        <v>1802</v>
      </c>
      <c r="C24" s="1671" t="s">
        <v>1796</v>
      </c>
      <c r="D24" s="1674">
        <v>0</v>
      </c>
      <c r="E24" s="1675">
        <v>0</v>
      </c>
    </row>
    <row r="25" spans="1:176">
      <c r="C25" s="1671" t="s">
        <v>1803</v>
      </c>
      <c r="D25" s="1674">
        <v>0</v>
      </c>
      <c r="E25" s="1675">
        <v>0</v>
      </c>
    </row>
    <row r="26" spans="1:176">
      <c r="A26" s="1676" t="s">
        <v>1804</v>
      </c>
      <c r="B26" s="1676"/>
      <c r="C26" s="1676"/>
      <c r="D26" s="1677">
        <v>0</v>
      </c>
      <c r="E26" s="1678">
        <v>0</v>
      </c>
    </row>
    <row r="27" spans="1:176">
      <c r="A27" s="1671" t="s">
        <v>1805</v>
      </c>
      <c r="B27" s="1671" t="s">
        <v>1806</v>
      </c>
      <c r="C27" s="1671" t="s">
        <v>259</v>
      </c>
      <c r="D27" s="1674">
        <v>49709.93</v>
      </c>
      <c r="E27" s="1675">
        <v>49709.93</v>
      </c>
    </row>
    <row r="28" spans="1:176">
      <c r="A28" s="1676" t="s">
        <v>1807</v>
      </c>
      <c r="B28" s="1676"/>
      <c r="C28" s="1676"/>
      <c r="D28" s="1677">
        <v>49709.93</v>
      </c>
      <c r="E28" s="1678">
        <v>49709.93</v>
      </c>
      <c r="F28" s="1671" t="s">
        <v>1808</v>
      </c>
    </row>
    <row r="29" spans="1:176">
      <c r="A29" s="1671" t="s">
        <v>1809</v>
      </c>
      <c r="B29" s="1671" t="s">
        <v>1810</v>
      </c>
      <c r="C29" s="1671" t="s">
        <v>259</v>
      </c>
      <c r="D29" s="1674">
        <v>0</v>
      </c>
      <c r="E29" s="1675">
        <v>0</v>
      </c>
    </row>
    <row r="30" spans="1:176">
      <c r="C30" s="1671" t="s">
        <v>1811</v>
      </c>
      <c r="D30" s="1674">
        <v>1753123.3499999999</v>
      </c>
      <c r="E30" s="1675">
        <v>1753123.3499999999</v>
      </c>
    </row>
    <row r="31" spans="1:176">
      <c r="A31" s="1676" t="s">
        <v>1812</v>
      </c>
      <c r="B31" s="1676"/>
      <c r="C31" s="1676"/>
      <c r="D31" s="1677">
        <v>1753123.3499999999</v>
      </c>
      <c r="E31" s="1678">
        <v>1753123.3499999999</v>
      </c>
      <c r="F31" s="1671" t="s">
        <v>1813</v>
      </c>
    </row>
    <row r="34" spans="1:5">
      <c r="A34" s="1672" t="s">
        <v>1814</v>
      </c>
      <c r="B34" s="1673" t="s">
        <v>1815</v>
      </c>
      <c r="C34" s="1672" t="s">
        <v>1816</v>
      </c>
    </row>
    <row r="35" spans="1:5">
      <c r="A35" s="1671" t="s">
        <v>1817</v>
      </c>
      <c r="B35" s="1675">
        <v>-136737.75</v>
      </c>
    </row>
    <row r="36" spans="1:5">
      <c r="A36" s="1671" t="s">
        <v>1818</v>
      </c>
      <c r="B36" s="1675">
        <v>-3327676.0900000003</v>
      </c>
    </row>
    <row r="37" spans="1:5" ht="15.75" thickBot="1">
      <c r="A37" s="1681" t="s">
        <v>308</v>
      </c>
      <c r="B37" s="1682">
        <v>-3464413.8400000003</v>
      </c>
      <c r="C37" s="1682">
        <v>-3464414</v>
      </c>
      <c r="E37" s="1675" t="s">
        <v>1819</v>
      </c>
    </row>
    <row r="38" spans="1:5" ht="15.75" thickTop="1">
      <c r="B38" s="1675"/>
    </row>
    <row r="39" spans="1:5">
      <c r="A39" s="1671" t="s">
        <v>1820</v>
      </c>
      <c r="B39" s="1675">
        <v>1753123.3499999999</v>
      </c>
    </row>
    <row r="40" spans="1:5">
      <c r="A40" s="1671" t="s">
        <v>1821</v>
      </c>
      <c r="B40" s="1675">
        <v>49709.93</v>
      </c>
    </row>
    <row r="41" spans="1:5" ht="26.25" thickBot="1">
      <c r="A41" s="1681" t="s">
        <v>308</v>
      </c>
      <c r="B41" s="1682">
        <v>1802833.2799999998</v>
      </c>
      <c r="C41" s="1682">
        <v>1802833</v>
      </c>
      <c r="E41" s="1683" t="s">
        <v>1822</v>
      </c>
    </row>
    <row r="42" spans="1:5" ht="15.75" thickTop="1">
      <c r="B42" s="1675"/>
    </row>
    <row r="43" spans="1:5">
      <c r="B43" s="1675"/>
    </row>
    <row r="44" spans="1:5">
      <c r="B44" s="1675"/>
    </row>
    <row r="45" spans="1:5">
      <c r="B45" s="1675"/>
    </row>
    <row r="46" spans="1:5">
      <c r="B46" s="1675"/>
    </row>
    <row r="47" spans="1:5">
      <c r="B47" s="1675"/>
    </row>
    <row r="48" spans="1:5">
      <c r="B48" s="1675"/>
    </row>
    <row r="49" spans="2:2">
      <c r="B49" s="1675"/>
    </row>
    <row r="50" spans="2:2">
      <c r="B50" s="1675"/>
    </row>
  </sheetData>
  <mergeCells count="3">
    <mergeCell ref="A1:F1"/>
    <mergeCell ref="A2:F2"/>
    <mergeCell ref="A3:F3"/>
  </mergeCells>
  <printOptions horizontalCentered="1"/>
  <pageMargins left="0.5" right="0.5" top="0.5" bottom="0.5" header="0.3" footer="0.3"/>
  <pageSetup scale="85" orientation="portrait" r:id="rId1"/>
  <headerFooter>
    <oddFooter>&amp;R&amp;"Arial,Regular"&amp;10Supplemental WP 14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87"/>
  <sheetViews>
    <sheetView workbookViewId="0">
      <selection sqref="A1:G86"/>
    </sheetView>
  </sheetViews>
  <sheetFormatPr defaultColWidth="9.140625" defaultRowHeight="12.75"/>
  <cols>
    <col min="1" max="1" width="5.28515625" style="729" customWidth="1"/>
    <col min="2" max="2" width="48.28515625" style="196" bestFit="1" customWidth="1"/>
    <col min="3" max="3" width="11.5703125" style="196" customWidth="1"/>
    <col min="4" max="4" width="17.28515625" style="196" bestFit="1" customWidth="1"/>
    <col min="5" max="5" width="13.7109375" style="196" bestFit="1" customWidth="1"/>
    <col min="6" max="7" width="14.140625" style="196" bestFit="1" customWidth="1"/>
    <col min="8" max="249" width="9.140625" style="196"/>
    <col min="250" max="250" width="24.85546875" style="196" customWidth="1"/>
    <col min="251" max="256" width="17.85546875" style="196" customWidth="1"/>
    <col min="257" max="257" width="15.5703125" style="196" bestFit="1" customWidth="1"/>
    <col min="258" max="258" width="8.7109375" style="196" customWidth="1"/>
    <col min="259" max="259" width="14.5703125" style="196" bestFit="1" customWidth="1"/>
    <col min="260" max="505" width="9.140625" style="196"/>
    <col min="506" max="506" width="24.85546875" style="196" customWidth="1"/>
    <col min="507" max="512" width="17.85546875" style="196" customWidth="1"/>
    <col min="513" max="513" width="15.5703125" style="196" bestFit="1" customWidth="1"/>
    <col min="514" max="514" width="8.7109375" style="196" customWidth="1"/>
    <col min="515" max="515" width="14.5703125" style="196" bestFit="1" customWidth="1"/>
    <col min="516" max="761" width="9.140625" style="196"/>
    <col min="762" max="762" width="24.85546875" style="196" customWidth="1"/>
    <col min="763" max="768" width="17.85546875" style="196" customWidth="1"/>
    <col min="769" max="769" width="15.5703125" style="196" bestFit="1" customWidth="1"/>
    <col min="770" max="770" width="8.7109375" style="196" customWidth="1"/>
    <col min="771" max="771" width="14.5703125" style="196" bestFit="1" customWidth="1"/>
    <col min="772" max="1017" width="9.140625" style="196"/>
    <col min="1018" max="1018" width="24.85546875" style="196" customWidth="1"/>
    <col min="1019" max="1024" width="17.85546875" style="196" customWidth="1"/>
    <col min="1025" max="1025" width="15.5703125" style="196" bestFit="1" customWidth="1"/>
    <col min="1026" max="1026" width="8.7109375" style="196" customWidth="1"/>
    <col min="1027" max="1027" width="14.5703125" style="196" bestFit="1" customWidth="1"/>
    <col min="1028" max="1273" width="9.140625" style="196"/>
    <col min="1274" max="1274" width="24.85546875" style="196" customWidth="1"/>
    <col min="1275" max="1280" width="17.85546875" style="196" customWidth="1"/>
    <col min="1281" max="1281" width="15.5703125" style="196" bestFit="1" customWidth="1"/>
    <col min="1282" max="1282" width="8.7109375" style="196" customWidth="1"/>
    <col min="1283" max="1283" width="14.5703125" style="196" bestFit="1" customWidth="1"/>
    <col min="1284" max="1529" width="9.140625" style="196"/>
    <col min="1530" max="1530" width="24.85546875" style="196" customWidth="1"/>
    <col min="1531" max="1536" width="17.85546875" style="196" customWidth="1"/>
    <col min="1537" max="1537" width="15.5703125" style="196" bestFit="1" customWidth="1"/>
    <col min="1538" max="1538" width="8.7109375" style="196" customWidth="1"/>
    <col min="1539" max="1539" width="14.5703125" style="196" bestFit="1" customWidth="1"/>
    <col min="1540" max="1785" width="9.140625" style="196"/>
    <col min="1786" max="1786" width="24.85546875" style="196" customWidth="1"/>
    <col min="1787" max="1792" width="17.85546875" style="196" customWidth="1"/>
    <col min="1793" max="1793" width="15.5703125" style="196" bestFit="1" customWidth="1"/>
    <col min="1794" max="1794" width="8.7109375" style="196" customWidth="1"/>
    <col min="1795" max="1795" width="14.5703125" style="196" bestFit="1" customWidth="1"/>
    <col min="1796" max="2041" width="9.140625" style="196"/>
    <col min="2042" max="2042" width="24.85546875" style="196" customWidth="1"/>
    <col min="2043" max="2048" width="17.85546875" style="196" customWidth="1"/>
    <col min="2049" max="2049" width="15.5703125" style="196" bestFit="1" customWidth="1"/>
    <col min="2050" max="2050" width="8.7109375" style="196" customWidth="1"/>
    <col min="2051" max="2051" width="14.5703125" style="196" bestFit="1" customWidth="1"/>
    <col min="2052" max="2297" width="9.140625" style="196"/>
    <col min="2298" max="2298" width="24.85546875" style="196" customWidth="1"/>
    <col min="2299" max="2304" width="17.85546875" style="196" customWidth="1"/>
    <col min="2305" max="2305" width="15.5703125" style="196" bestFit="1" customWidth="1"/>
    <col min="2306" max="2306" width="8.7109375" style="196" customWidth="1"/>
    <col min="2307" max="2307" width="14.5703125" style="196" bestFit="1" customWidth="1"/>
    <col min="2308" max="2553" width="9.140625" style="196"/>
    <col min="2554" max="2554" width="24.85546875" style="196" customWidth="1"/>
    <col min="2555" max="2560" width="17.85546875" style="196" customWidth="1"/>
    <col min="2561" max="2561" width="15.5703125" style="196" bestFit="1" customWidth="1"/>
    <col min="2562" max="2562" width="8.7109375" style="196" customWidth="1"/>
    <col min="2563" max="2563" width="14.5703125" style="196" bestFit="1" customWidth="1"/>
    <col min="2564" max="2809" width="9.140625" style="196"/>
    <col min="2810" max="2810" width="24.85546875" style="196" customWidth="1"/>
    <col min="2811" max="2816" width="17.85546875" style="196" customWidth="1"/>
    <col min="2817" max="2817" width="15.5703125" style="196" bestFit="1" customWidth="1"/>
    <col min="2818" max="2818" width="8.7109375" style="196" customWidth="1"/>
    <col min="2819" max="2819" width="14.5703125" style="196" bestFit="1" customWidth="1"/>
    <col min="2820" max="3065" width="9.140625" style="196"/>
    <col min="3066" max="3066" width="24.85546875" style="196" customWidth="1"/>
    <col min="3067" max="3072" width="17.85546875" style="196" customWidth="1"/>
    <col min="3073" max="3073" width="15.5703125" style="196" bestFit="1" customWidth="1"/>
    <col min="3074" max="3074" width="8.7109375" style="196" customWidth="1"/>
    <col min="3075" max="3075" width="14.5703125" style="196" bestFit="1" customWidth="1"/>
    <col min="3076" max="3321" width="9.140625" style="196"/>
    <col min="3322" max="3322" width="24.85546875" style="196" customWidth="1"/>
    <col min="3323" max="3328" width="17.85546875" style="196" customWidth="1"/>
    <col min="3329" max="3329" width="15.5703125" style="196" bestFit="1" customWidth="1"/>
    <col min="3330" max="3330" width="8.7109375" style="196" customWidth="1"/>
    <col min="3331" max="3331" width="14.5703125" style="196" bestFit="1" customWidth="1"/>
    <col min="3332" max="3577" width="9.140625" style="196"/>
    <col min="3578" max="3578" width="24.85546875" style="196" customWidth="1"/>
    <col min="3579" max="3584" width="17.85546875" style="196" customWidth="1"/>
    <col min="3585" max="3585" width="15.5703125" style="196" bestFit="1" customWidth="1"/>
    <col min="3586" max="3586" width="8.7109375" style="196" customWidth="1"/>
    <col min="3587" max="3587" width="14.5703125" style="196" bestFit="1" customWidth="1"/>
    <col min="3588" max="3833" width="9.140625" style="196"/>
    <col min="3834" max="3834" width="24.85546875" style="196" customWidth="1"/>
    <col min="3835" max="3840" width="17.85546875" style="196" customWidth="1"/>
    <col min="3841" max="3841" width="15.5703125" style="196" bestFit="1" customWidth="1"/>
    <col min="3842" max="3842" width="8.7109375" style="196" customWidth="1"/>
    <col min="3843" max="3843" width="14.5703125" style="196" bestFit="1" customWidth="1"/>
    <col min="3844" max="4089" width="9.140625" style="196"/>
    <col min="4090" max="4090" width="24.85546875" style="196" customWidth="1"/>
    <col min="4091" max="4096" width="17.85546875" style="196" customWidth="1"/>
    <col min="4097" max="4097" width="15.5703125" style="196" bestFit="1" customWidth="1"/>
    <col min="4098" max="4098" width="8.7109375" style="196" customWidth="1"/>
    <col min="4099" max="4099" width="14.5703125" style="196" bestFit="1" customWidth="1"/>
    <col min="4100" max="4345" width="9.140625" style="196"/>
    <col min="4346" max="4346" width="24.85546875" style="196" customWidth="1"/>
    <col min="4347" max="4352" width="17.85546875" style="196" customWidth="1"/>
    <col min="4353" max="4353" width="15.5703125" style="196" bestFit="1" customWidth="1"/>
    <col min="4354" max="4354" width="8.7109375" style="196" customWidth="1"/>
    <col min="4355" max="4355" width="14.5703125" style="196" bestFit="1" customWidth="1"/>
    <col min="4356" max="4601" width="9.140625" style="196"/>
    <col min="4602" max="4602" width="24.85546875" style="196" customWidth="1"/>
    <col min="4603" max="4608" width="17.85546875" style="196" customWidth="1"/>
    <col min="4609" max="4609" width="15.5703125" style="196" bestFit="1" customWidth="1"/>
    <col min="4610" max="4610" width="8.7109375" style="196" customWidth="1"/>
    <col min="4611" max="4611" width="14.5703125" style="196" bestFit="1" customWidth="1"/>
    <col min="4612" max="4857" width="9.140625" style="196"/>
    <col min="4858" max="4858" width="24.85546875" style="196" customWidth="1"/>
    <col min="4859" max="4864" width="17.85546875" style="196" customWidth="1"/>
    <col min="4865" max="4865" width="15.5703125" style="196" bestFit="1" customWidth="1"/>
    <col min="4866" max="4866" width="8.7109375" style="196" customWidth="1"/>
    <col min="4867" max="4867" width="14.5703125" style="196" bestFit="1" customWidth="1"/>
    <col min="4868" max="5113" width="9.140625" style="196"/>
    <col min="5114" max="5114" width="24.85546875" style="196" customWidth="1"/>
    <col min="5115" max="5120" width="17.85546875" style="196" customWidth="1"/>
    <col min="5121" max="5121" width="15.5703125" style="196" bestFit="1" customWidth="1"/>
    <col min="5122" max="5122" width="8.7109375" style="196" customWidth="1"/>
    <col min="5123" max="5123" width="14.5703125" style="196" bestFit="1" customWidth="1"/>
    <col min="5124" max="5369" width="9.140625" style="196"/>
    <col min="5370" max="5370" width="24.85546875" style="196" customWidth="1"/>
    <col min="5371" max="5376" width="17.85546875" style="196" customWidth="1"/>
    <col min="5377" max="5377" width="15.5703125" style="196" bestFit="1" customWidth="1"/>
    <col min="5378" max="5378" width="8.7109375" style="196" customWidth="1"/>
    <col min="5379" max="5379" width="14.5703125" style="196" bestFit="1" customWidth="1"/>
    <col min="5380" max="5625" width="9.140625" style="196"/>
    <col min="5626" max="5626" width="24.85546875" style="196" customWidth="1"/>
    <col min="5627" max="5632" width="17.85546875" style="196" customWidth="1"/>
    <col min="5633" max="5633" width="15.5703125" style="196" bestFit="1" customWidth="1"/>
    <col min="5634" max="5634" width="8.7109375" style="196" customWidth="1"/>
    <col min="5635" max="5635" width="14.5703125" style="196" bestFit="1" customWidth="1"/>
    <col min="5636" max="5881" width="9.140625" style="196"/>
    <col min="5882" max="5882" width="24.85546875" style="196" customWidth="1"/>
    <col min="5883" max="5888" width="17.85546875" style="196" customWidth="1"/>
    <col min="5889" max="5889" width="15.5703125" style="196" bestFit="1" customWidth="1"/>
    <col min="5890" max="5890" width="8.7109375" style="196" customWidth="1"/>
    <col min="5891" max="5891" width="14.5703125" style="196" bestFit="1" customWidth="1"/>
    <col min="5892" max="6137" width="9.140625" style="196"/>
    <col min="6138" max="6138" width="24.85546875" style="196" customWidth="1"/>
    <col min="6139" max="6144" width="17.85546875" style="196" customWidth="1"/>
    <col min="6145" max="6145" width="15.5703125" style="196" bestFit="1" customWidth="1"/>
    <col min="6146" max="6146" width="8.7109375" style="196" customWidth="1"/>
    <col min="6147" max="6147" width="14.5703125" style="196" bestFit="1" customWidth="1"/>
    <col min="6148" max="6393" width="9.140625" style="196"/>
    <col min="6394" max="6394" width="24.85546875" style="196" customWidth="1"/>
    <col min="6395" max="6400" width="17.85546875" style="196" customWidth="1"/>
    <col min="6401" max="6401" width="15.5703125" style="196" bestFit="1" customWidth="1"/>
    <col min="6402" max="6402" width="8.7109375" style="196" customWidth="1"/>
    <col min="6403" max="6403" width="14.5703125" style="196" bestFit="1" customWidth="1"/>
    <col min="6404" max="6649" width="9.140625" style="196"/>
    <col min="6650" max="6650" width="24.85546875" style="196" customWidth="1"/>
    <col min="6651" max="6656" width="17.85546875" style="196" customWidth="1"/>
    <col min="6657" max="6657" width="15.5703125" style="196" bestFit="1" customWidth="1"/>
    <col min="6658" max="6658" width="8.7109375" style="196" customWidth="1"/>
    <col min="6659" max="6659" width="14.5703125" style="196" bestFit="1" customWidth="1"/>
    <col min="6660" max="6905" width="9.140625" style="196"/>
    <col min="6906" max="6906" width="24.85546875" style="196" customWidth="1"/>
    <col min="6907" max="6912" width="17.85546875" style="196" customWidth="1"/>
    <col min="6913" max="6913" width="15.5703125" style="196" bestFit="1" customWidth="1"/>
    <col min="6914" max="6914" width="8.7109375" style="196" customWidth="1"/>
    <col min="6915" max="6915" width="14.5703125" style="196" bestFit="1" customWidth="1"/>
    <col min="6916" max="7161" width="9.140625" style="196"/>
    <col min="7162" max="7162" width="24.85546875" style="196" customWidth="1"/>
    <col min="7163" max="7168" width="17.85546875" style="196" customWidth="1"/>
    <col min="7169" max="7169" width="15.5703125" style="196" bestFit="1" customWidth="1"/>
    <col min="7170" max="7170" width="8.7109375" style="196" customWidth="1"/>
    <col min="7171" max="7171" width="14.5703125" style="196" bestFit="1" customWidth="1"/>
    <col min="7172" max="7417" width="9.140625" style="196"/>
    <col min="7418" max="7418" width="24.85546875" style="196" customWidth="1"/>
    <col min="7419" max="7424" width="17.85546875" style="196" customWidth="1"/>
    <col min="7425" max="7425" width="15.5703125" style="196" bestFit="1" customWidth="1"/>
    <col min="7426" max="7426" width="8.7109375" style="196" customWidth="1"/>
    <col min="7427" max="7427" width="14.5703125" style="196" bestFit="1" customWidth="1"/>
    <col min="7428" max="7673" width="9.140625" style="196"/>
    <col min="7674" max="7674" width="24.85546875" style="196" customWidth="1"/>
    <col min="7675" max="7680" width="17.85546875" style="196" customWidth="1"/>
    <col min="7681" max="7681" width="15.5703125" style="196" bestFit="1" customWidth="1"/>
    <col min="7682" max="7682" width="8.7109375" style="196" customWidth="1"/>
    <col min="7683" max="7683" width="14.5703125" style="196" bestFit="1" customWidth="1"/>
    <col min="7684" max="7929" width="9.140625" style="196"/>
    <col min="7930" max="7930" width="24.85546875" style="196" customWidth="1"/>
    <col min="7931" max="7936" width="17.85546875" style="196" customWidth="1"/>
    <col min="7937" max="7937" width="15.5703125" style="196" bestFit="1" customWidth="1"/>
    <col min="7938" max="7938" width="8.7109375" style="196" customWidth="1"/>
    <col min="7939" max="7939" width="14.5703125" style="196" bestFit="1" customWidth="1"/>
    <col min="7940" max="8185" width="9.140625" style="196"/>
    <col min="8186" max="8186" width="24.85546875" style="196" customWidth="1"/>
    <col min="8187" max="8192" width="17.85546875" style="196" customWidth="1"/>
    <col min="8193" max="8193" width="15.5703125" style="196" bestFit="1" customWidth="1"/>
    <col min="8194" max="8194" width="8.7109375" style="196" customWidth="1"/>
    <col min="8195" max="8195" width="14.5703125" style="196" bestFit="1" customWidth="1"/>
    <col min="8196" max="8441" width="9.140625" style="196"/>
    <col min="8442" max="8442" width="24.85546875" style="196" customWidth="1"/>
    <col min="8443" max="8448" width="17.85546875" style="196" customWidth="1"/>
    <col min="8449" max="8449" width="15.5703125" style="196" bestFit="1" customWidth="1"/>
    <col min="8450" max="8450" width="8.7109375" style="196" customWidth="1"/>
    <col min="8451" max="8451" width="14.5703125" style="196" bestFit="1" customWidth="1"/>
    <col min="8452" max="8697" width="9.140625" style="196"/>
    <col min="8698" max="8698" width="24.85546875" style="196" customWidth="1"/>
    <col min="8699" max="8704" width="17.85546875" style="196" customWidth="1"/>
    <col min="8705" max="8705" width="15.5703125" style="196" bestFit="1" customWidth="1"/>
    <col min="8706" max="8706" width="8.7109375" style="196" customWidth="1"/>
    <col min="8707" max="8707" width="14.5703125" style="196" bestFit="1" customWidth="1"/>
    <col min="8708" max="8953" width="9.140625" style="196"/>
    <col min="8954" max="8954" width="24.85546875" style="196" customWidth="1"/>
    <col min="8955" max="8960" width="17.85546875" style="196" customWidth="1"/>
    <col min="8961" max="8961" width="15.5703125" style="196" bestFit="1" customWidth="1"/>
    <col min="8962" max="8962" width="8.7109375" style="196" customWidth="1"/>
    <col min="8963" max="8963" width="14.5703125" style="196" bestFit="1" customWidth="1"/>
    <col min="8964" max="9209" width="9.140625" style="196"/>
    <col min="9210" max="9210" width="24.85546875" style="196" customWidth="1"/>
    <col min="9211" max="9216" width="17.85546875" style="196" customWidth="1"/>
    <col min="9217" max="9217" width="15.5703125" style="196" bestFit="1" customWidth="1"/>
    <col min="9218" max="9218" width="8.7109375" style="196" customWidth="1"/>
    <col min="9219" max="9219" width="14.5703125" style="196" bestFit="1" customWidth="1"/>
    <col min="9220" max="9465" width="9.140625" style="196"/>
    <col min="9466" max="9466" width="24.85546875" style="196" customWidth="1"/>
    <col min="9467" max="9472" width="17.85546875" style="196" customWidth="1"/>
    <col min="9473" max="9473" width="15.5703125" style="196" bestFit="1" customWidth="1"/>
    <col min="9474" max="9474" width="8.7109375" style="196" customWidth="1"/>
    <col min="9475" max="9475" width="14.5703125" style="196" bestFit="1" customWidth="1"/>
    <col min="9476" max="9721" width="9.140625" style="196"/>
    <col min="9722" max="9722" width="24.85546875" style="196" customWidth="1"/>
    <col min="9723" max="9728" width="17.85546875" style="196" customWidth="1"/>
    <col min="9729" max="9729" width="15.5703125" style="196" bestFit="1" customWidth="1"/>
    <col min="9730" max="9730" width="8.7109375" style="196" customWidth="1"/>
    <col min="9731" max="9731" width="14.5703125" style="196" bestFit="1" customWidth="1"/>
    <col min="9732" max="9977" width="9.140625" style="196"/>
    <col min="9978" max="9978" width="24.85546875" style="196" customWidth="1"/>
    <col min="9979" max="9984" width="17.85546875" style="196" customWidth="1"/>
    <col min="9985" max="9985" width="15.5703125" style="196" bestFit="1" customWidth="1"/>
    <col min="9986" max="9986" width="8.7109375" style="196" customWidth="1"/>
    <col min="9987" max="9987" width="14.5703125" style="196" bestFit="1" customWidth="1"/>
    <col min="9988" max="10233" width="9.140625" style="196"/>
    <col min="10234" max="10234" width="24.85546875" style="196" customWidth="1"/>
    <col min="10235" max="10240" width="17.85546875" style="196" customWidth="1"/>
    <col min="10241" max="10241" width="15.5703125" style="196" bestFit="1" customWidth="1"/>
    <col min="10242" max="10242" width="8.7109375" style="196" customWidth="1"/>
    <col min="10243" max="10243" width="14.5703125" style="196" bestFit="1" customWidth="1"/>
    <col min="10244" max="10489" width="9.140625" style="196"/>
    <col min="10490" max="10490" width="24.85546875" style="196" customWidth="1"/>
    <col min="10491" max="10496" width="17.85546875" style="196" customWidth="1"/>
    <col min="10497" max="10497" width="15.5703125" style="196" bestFit="1" customWidth="1"/>
    <col min="10498" max="10498" width="8.7109375" style="196" customWidth="1"/>
    <col min="10499" max="10499" width="14.5703125" style="196" bestFit="1" customWidth="1"/>
    <col min="10500" max="10745" width="9.140625" style="196"/>
    <col min="10746" max="10746" width="24.85546875" style="196" customWidth="1"/>
    <col min="10747" max="10752" width="17.85546875" style="196" customWidth="1"/>
    <col min="10753" max="10753" width="15.5703125" style="196" bestFit="1" customWidth="1"/>
    <col min="10754" max="10754" width="8.7109375" style="196" customWidth="1"/>
    <col min="10755" max="10755" width="14.5703125" style="196" bestFit="1" customWidth="1"/>
    <col min="10756" max="11001" width="9.140625" style="196"/>
    <col min="11002" max="11002" width="24.85546875" style="196" customWidth="1"/>
    <col min="11003" max="11008" width="17.85546875" style="196" customWidth="1"/>
    <col min="11009" max="11009" width="15.5703125" style="196" bestFit="1" customWidth="1"/>
    <col min="11010" max="11010" width="8.7109375" style="196" customWidth="1"/>
    <col min="11011" max="11011" width="14.5703125" style="196" bestFit="1" customWidth="1"/>
    <col min="11012" max="11257" width="9.140625" style="196"/>
    <col min="11258" max="11258" width="24.85546875" style="196" customWidth="1"/>
    <col min="11259" max="11264" width="17.85546875" style="196" customWidth="1"/>
    <col min="11265" max="11265" width="15.5703125" style="196" bestFit="1" customWidth="1"/>
    <col min="11266" max="11266" width="8.7109375" style="196" customWidth="1"/>
    <col min="11267" max="11267" width="14.5703125" style="196" bestFit="1" customWidth="1"/>
    <col min="11268" max="11513" width="9.140625" style="196"/>
    <col min="11514" max="11514" width="24.85546875" style="196" customWidth="1"/>
    <col min="11515" max="11520" width="17.85546875" style="196" customWidth="1"/>
    <col min="11521" max="11521" width="15.5703125" style="196" bestFit="1" customWidth="1"/>
    <col min="11522" max="11522" width="8.7109375" style="196" customWidth="1"/>
    <col min="11523" max="11523" width="14.5703125" style="196" bestFit="1" customWidth="1"/>
    <col min="11524" max="11769" width="9.140625" style="196"/>
    <col min="11770" max="11770" width="24.85546875" style="196" customWidth="1"/>
    <col min="11771" max="11776" width="17.85546875" style="196" customWidth="1"/>
    <col min="11777" max="11777" width="15.5703125" style="196" bestFit="1" customWidth="1"/>
    <col min="11778" max="11778" width="8.7109375" style="196" customWidth="1"/>
    <col min="11779" max="11779" width="14.5703125" style="196" bestFit="1" customWidth="1"/>
    <col min="11780" max="12025" width="9.140625" style="196"/>
    <col min="12026" max="12026" width="24.85546875" style="196" customWidth="1"/>
    <col min="12027" max="12032" width="17.85546875" style="196" customWidth="1"/>
    <col min="12033" max="12033" width="15.5703125" style="196" bestFit="1" customWidth="1"/>
    <col min="12034" max="12034" width="8.7109375" style="196" customWidth="1"/>
    <col min="12035" max="12035" width="14.5703125" style="196" bestFit="1" customWidth="1"/>
    <col min="12036" max="12281" width="9.140625" style="196"/>
    <col min="12282" max="12282" width="24.85546875" style="196" customWidth="1"/>
    <col min="12283" max="12288" width="17.85546875" style="196" customWidth="1"/>
    <col min="12289" max="12289" width="15.5703125" style="196" bestFit="1" customWidth="1"/>
    <col min="12290" max="12290" width="8.7109375" style="196" customWidth="1"/>
    <col min="12291" max="12291" width="14.5703125" style="196" bestFit="1" customWidth="1"/>
    <col min="12292" max="12537" width="9.140625" style="196"/>
    <col min="12538" max="12538" width="24.85546875" style="196" customWidth="1"/>
    <col min="12539" max="12544" width="17.85546875" style="196" customWidth="1"/>
    <col min="12545" max="12545" width="15.5703125" style="196" bestFit="1" customWidth="1"/>
    <col min="12546" max="12546" width="8.7109375" style="196" customWidth="1"/>
    <col min="12547" max="12547" width="14.5703125" style="196" bestFit="1" customWidth="1"/>
    <col min="12548" max="12793" width="9.140625" style="196"/>
    <col min="12794" max="12794" width="24.85546875" style="196" customWidth="1"/>
    <col min="12795" max="12800" width="17.85546875" style="196" customWidth="1"/>
    <col min="12801" max="12801" width="15.5703125" style="196" bestFit="1" customWidth="1"/>
    <col min="12802" max="12802" width="8.7109375" style="196" customWidth="1"/>
    <col min="12803" max="12803" width="14.5703125" style="196" bestFit="1" customWidth="1"/>
    <col min="12804" max="13049" width="9.140625" style="196"/>
    <col min="13050" max="13050" width="24.85546875" style="196" customWidth="1"/>
    <col min="13051" max="13056" width="17.85546875" style="196" customWidth="1"/>
    <col min="13057" max="13057" width="15.5703125" style="196" bestFit="1" customWidth="1"/>
    <col min="13058" max="13058" width="8.7109375" style="196" customWidth="1"/>
    <col min="13059" max="13059" width="14.5703125" style="196" bestFit="1" customWidth="1"/>
    <col min="13060" max="13305" width="9.140625" style="196"/>
    <col min="13306" max="13306" width="24.85546875" style="196" customWidth="1"/>
    <col min="13307" max="13312" width="17.85546875" style="196" customWidth="1"/>
    <col min="13313" max="13313" width="15.5703125" style="196" bestFit="1" customWidth="1"/>
    <col min="13314" max="13314" width="8.7109375" style="196" customWidth="1"/>
    <col min="13315" max="13315" width="14.5703125" style="196" bestFit="1" customWidth="1"/>
    <col min="13316" max="13561" width="9.140625" style="196"/>
    <col min="13562" max="13562" width="24.85546875" style="196" customWidth="1"/>
    <col min="13563" max="13568" width="17.85546875" style="196" customWidth="1"/>
    <col min="13569" max="13569" width="15.5703125" style="196" bestFit="1" customWidth="1"/>
    <col min="13570" max="13570" width="8.7109375" style="196" customWidth="1"/>
    <col min="13571" max="13571" width="14.5703125" style="196" bestFit="1" customWidth="1"/>
    <col min="13572" max="13817" width="9.140625" style="196"/>
    <col min="13818" max="13818" width="24.85546875" style="196" customWidth="1"/>
    <col min="13819" max="13824" width="17.85546875" style="196" customWidth="1"/>
    <col min="13825" max="13825" width="15.5703125" style="196" bestFit="1" customWidth="1"/>
    <col min="13826" max="13826" width="8.7109375" style="196" customWidth="1"/>
    <col min="13827" max="13827" width="14.5703125" style="196" bestFit="1" customWidth="1"/>
    <col min="13828" max="14073" width="9.140625" style="196"/>
    <col min="14074" max="14074" width="24.85546875" style="196" customWidth="1"/>
    <col min="14075" max="14080" width="17.85546875" style="196" customWidth="1"/>
    <col min="14081" max="14081" width="15.5703125" style="196" bestFit="1" customWidth="1"/>
    <col min="14082" max="14082" width="8.7109375" style="196" customWidth="1"/>
    <col min="14083" max="14083" width="14.5703125" style="196" bestFit="1" customWidth="1"/>
    <col min="14084" max="14329" width="9.140625" style="196"/>
    <col min="14330" max="14330" width="24.85546875" style="196" customWidth="1"/>
    <col min="14331" max="14336" width="17.85546875" style="196" customWidth="1"/>
    <col min="14337" max="14337" width="15.5703125" style="196" bestFit="1" customWidth="1"/>
    <col min="14338" max="14338" width="8.7109375" style="196" customWidth="1"/>
    <col min="14339" max="14339" width="14.5703125" style="196" bestFit="1" customWidth="1"/>
    <col min="14340" max="14585" width="9.140625" style="196"/>
    <col min="14586" max="14586" width="24.85546875" style="196" customWidth="1"/>
    <col min="14587" max="14592" width="17.85546875" style="196" customWidth="1"/>
    <col min="14593" max="14593" width="15.5703125" style="196" bestFit="1" customWidth="1"/>
    <col min="14594" max="14594" width="8.7109375" style="196" customWidth="1"/>
    <col min="14595" max="14595" width="14.5703125" style="196" bestFit="1" customWidth="1"/>
    <col min="14596" max="14841" width="9.140625" style="196"/>
    <col min="14842" max="14842" width="24.85546875" style="196" customWidth="1"/>
    <col min="14843" max="14848" width="17.85546875" style="196" customWidth="1"/>
    <col min="14849" max="14849" width="15.5703125" style="196" bestFit="1" customWidth="1"/>
    <col min="14850" max="14850" width="8.7109375" style="196" customWidth="1"/>
    <col min="14851" max="14851" width="14.5703125" style="196" bestFit="1" customWidth="1"/>
    <col min="14852" max="15097" width="9.140625" style="196"/>
    <col min="15098" max="15098" width="24.85546875" style="196" customWidth="1"/>
    <col min="15099" max="15104" width="17.85546875" style="196" customWidth="1"/>
    <col min="15105" max="15105" width="15.5703125" style="196" bestFit="1" customWidth="1"/>
    <col min="15106" max="15106" width="8.7109375" style="196" customWidth="1"/>
    <col min="15107" max="15107" width="14.5703125" style="196" bestFit="1" customWidth="1"/>
    <col min="15108" max="15353" width="9.140625" style="196"/>
    <col min="15354" max="15354" width="24.85546875" style="196" customWidth="1"/>
    <col min="15355" max="15360" width="17.85546875" style="196" customWidth="1"/>
    <col min="15361" max="15361" width="15.5703125" style="196" bestFit="1" customWidth="1"/>
    <col min="15362" max="15362" width="8.7109375" style="196" customWidth="1"/>
    <col min="15363" max="15363" width="14.5703125" style="196" bestFit="1" customWidth="1"/>
    <col min="15364" max="15609" width="9.140625" style="196"/>
    <col min="15610" max="15610" width="24.85546875" style="196" customWidth="1"/>
    <col min="15611" max="15616" width="17.85546875" style="196" customWidth="1"/>
    <col min="15617" max="15617" width="15.5703125" style="196" bestFit="1" customWidth="1"/>
    <col min="15618" max="15618" width="8.7109375" style="196" customWidth="1"/>
    <col min="15619" max="15619" width="14.5703125" style="196" bestFit="1" customWidth="1"/>
    <col min="15620" max="15865" width="9.140625" style="196"/>
    <col min="15866" max="15866" width="24.85546875" style="196" customWidth="1"/>
    <col min="15867" max="15872" width="17.85546875" style="196" customWidth="1"/>
    <col min="15873" max="15873" width="15.5703125" style="196" bestFit="1" customWidth="1"/>
    <col min="15874" max="15874" width="8.7109375" style="196" customWidth="1"/>
    <col min="15875" max="15875" width="14.5703125" style="196" bestFit="1" customWidth="1"/>
    <col min="15876" max="16121" width="9.140625" style="196"/>
    <col min="16122" max="16122" width="24.85546875" style="196" customWidth="1"/>
    <col min="16123" max="16128" width="17.85546875" style="196" customWidth="1"/>
    <col min="16129" max="16129" width="15.5703125" style="196" bestFit="1" customWidth="1"/>
    <col min="16130" max="16130" width="8.7109375" style="196" customWidth="1"/>
    <col min="16131" max="16131" width="14.5703125" style="196" bestFit="1" customWidth="1"/>
    <col min="16132" max="16384" width="9.140625" style="196"/>
  </cols>
  <sheetData>
    <row r="1" spans="1:14" s="44" customFormat="1">
      <c r="A1" s="1714" t="str">
        <f>+'MISO Cover'!C6</f>
        <v>Entergy Arkansas, Inc.</v>
      </c>
      <c r="B1" s="1714"/>
      <c r="C1" s="1714"/>
      <c r="D1" s="1714"/>
      <c r="E1" s="1714"/>
      <c r="F1" s="1714"/>
      <c r="G1" s="1714"/>
    </row>
    <row r="2" spans="1:14" s="44" customFormat="1">
      <c r="A2" s="1714" t="s">
        <v>1141</v>
      </c>
      <c r="B2" s="1714"/>
      <c r="C2" s="1714"/>
      <c r="D2" s="1714"/>
      <c r="E2" s="1714"/>
      <c r="F2" s="1714"/>
      <c r="G2" s="1714"/>
      <c r="H2" s="863"/>
    </row>
    <row r="3" spans="1:14" s="44" customFormat="1">
      <c r="A3" s="1714" t="str">
        <f>+'MISO Cover'!K4</f>
        <v>For  the 12 Months Ended 12/31/2014</v>
      </c>
      <c r="B3" s="1714"/>
      <c r="C3" s="1714"/>
      <c r="D3" s="1714"/>
      <c r="E3" s="1714"/>
      <c r="F3" s="1714"/>
      <c r="G3" s="1714"/>
    </row>
    <row r="4" spans="1:14" s="44" customFormat="1">
      <c r="A4" s="1331"/>
      <c r="B4" s="234"/>
      <c r="C4" s="234"/>
      <c r="D4" s="234"/>
      <c r="E4" s="234"/>
      <c r="F4" s="234"/>
    </row>
    <row r="5" spans="1:14" s="44" customFormat="1">
      <c r="A5" s="1331" t="s">
        <v>663</v>
      </c>
      <c r="B5" s="1331" t="s">
        <v>261</v>
      </c>
      <c r="C5" s="1330" t="s">
        <v>309</v>
      </c>
      <c r="D5" s="1330" t="s">
        <v>249</v>
      </c>
      <c r="E5" s="1330" t="s">
        <v>262</v>
      </c>
      <c r="F5" s="1330" t="s">
        <v>260</v>
      </c>
      <c r="G5" s="1330" t="s">
        <v>351</v>
      </c>
    </row>
    <row r="6" spans="1:14" s="44" customFormat="1" ht="25.5">
      <c r="A6" s="1330">
        <v>1</v>
      </c>
      <c r="B6" s="234"/>
      <c r="C6" s="951"/>
      <c r="D6" s="951"/>
      <c r="E6" s="1646" t="s">
        <v>360</v>
      </c>
      <c r="F6" s="1647" t="s">
        <v>355</v>
      </c>
      <c r="G6" s="917" t="s">
        <v>336</v>
      </c>
    </row>
    <row r="7" spans="1:14" s="44" customFormat="1">
      <c r="A7" s="1330">
        <f>+A6+1</f>
        <v>2</v>
      </c>
      <c r="B7" s="45" t="s">
        <v>861</v>
      </c>
      <c r="C7" s="43" t="str">
        <f>+"Sum Line "&amp;A$11&amp;" Subparts for Included"</f>
        <v>Sum Line 6 Subparts for Included</v>
      </c>
      <c r="D7" s="283"/>
      <c r="E7" s="952">
        <f>+SUM(E12:E31)</f>
        <v>6933489.2199999997</v>
      </c>
      <c r="F7" s="952">
        <f>+SUM(F12:F31)</f>
        <v>6987352.9900000012</v>
      </c>
      <c r="G7" s="953">
        <f>+(E7+F7)/2</f>
        <v>6960421.1050000004</v>
      </c>
    </row>
    <row r="8" spans="1:14" s="44" customFormat="1" ht="15">
      <c r="A8" s="1330">
        <f>+A7+1</f>
        <v>3</v>
      </c>
      <c r="B8" s="45" t="s">
        <v>862</v>
      </c>
      <c r="C8" s="43" t="str">
        <f>+"Sum Line "&amp;A$11&amp;" Subparts for Excluded"</f>
        <v>Sum Line 6 Subparts for Excluded</v>
      </c>
      <c r="D8" s="954"/>
      <c r="E8" s="1360">
        <f>+SUM(E32:E82)</f>
        <v>19050075.269999996</v>
      </c>
      <c r="F8" s="1360">
        <f>+SUM(F32:F82)</f>
        <v>18959869.979999997</v>
      </c>
      <c r="G8" s="955">
        <f>+(E8+F8)/2</f>
        <v>19004972.624999996</v>
      </c>
    </row>
    <row r="9" spans="1:14" s="44" customFormat="1">
      <c r="A9" s="1330">
        <f>+A8+1</f>
        <v>4</v>
      </c>
      <c r="B9" s="45" t="s">
        <v>308</v>
      </c>
      <c r="C9" s="43"/>
      <c r="D9" s="283"/>
      <c r="E9" s="952">
        <f>SUM(E7:E8)</f>
        <v>25983564.489999995</v>
      </c>
      <c r="F9" s="952">
        <f>SUM(F7:F8)</f>
        <v>25947222.969999999</v>
      </c>
      <c r="G9" s="953">
        <f>+(E9+F9)/2</f>
        <v>25965393.729999997</v>
      </c>
    </row>
    <row r="10" spans="1:14" s="44" customFormat="1">
      <c r="A10" s="1330">
        <f>+A9+1</f>
        <v>5</v>
      </c>
      <c r="B10" s="196"/>
      <c r="C10" s="728"/>
      <c r="D10" s="728"/>
      <c r="E10" s="728"/>
      <c r="F10" s="1652"/>
      <c r="G10" s="45"/>
      <c r="H10" s="43"/>
      <c r="I10" s="43"/>
    </row>
    <row r="11" spans="1:14" ht="25.5">
      <c r="A11" s="1330">
        <f>+A10+1</f>
        <v>6</v>
      </c>
      <c r="B11" s="1621" t="s">
        <v>703</v>
      </c>
      <c r="C11" s="1621" t="s">
        <v>1038</v>
      </c>
      <c r="D11" s="1534" t="s">
        <v>1452</v>
      </c>
      <c r="E11" s="1648" t="str">
        <f>E6</f>
        <v>Beginning of Year</v>
      </c>
      <c r="F11" s="1653" t="str">
        <f>F6</f>
        <v>End of Year</v>
      </c>
      <c r="G11" s="1261" t="str">
        <f>+G6</f>
        <v>Average</v>
      </c>
      <c r="H11" s="45"/>
      <c r="I11" s="45"/>
      <c r="K11" s="1661"/>
      <c r="L11" s="1661"/>
      <c r="M11" s="1662"/>
      <c r="N11" s="1662"/>
    </row>
    <row r="12" spans="1:14" ht="12.75" customHeight="1">
      <c r="A12" s="1330">
        <f>+A11+0.01</f>
        <v>6.01</v>
      </c>
      <c r="B12" s="1574" t="s">
        <v>1536</v>
      </c>
      <c r="C12" s="1574" t="s">
        <v>1537</v>
      </c>
      <c r="D12" s="1630" t="s">
        <v>1705</v>
      </c>
      <c r="E12" s="1502">
        <v>65876.69</v>
      </c>
      <c r="F12" s="1654">
        <v>65876.69</v>
      </c>
      <c r="G12" s="283">
        <f>+SUM(E12,F12)/2</f>
        <v>65876.69</v>
      </c>
      <c r="H12" s="45"/>
      <c r="I12" s="45"/>
      <c r="J12" s="1658" t="s">
        <v>1732</v>
      </c>
    </row>
    <row r="13" spans="1:14" ht="15">
      <c r="A13" s="1037">
        <f>+A12+0.01</f>
        <v>6.02</v>
      </c>
      <c r="B13" s="1574" t="s">
        <v>1538</v>
      </c>
      <c r="C13" s="1574" t="s">
        <v>1537</v>
      </c>
      <c r="D13" s="1630" t="s">
        <v>1705</v>
      </c>
      <c r="E13" s="1502">
        <v>257940.10000000003</v>
      </c>
      <c r="F13" s="1654">
        <v>257940.1</v>
      </c>
      <c r="G13" s="283">
        <f t="shared" ref="G13:G76" si="0">+SUM(E13,F13)/2</f>
        <v>257940.10000000003</v>
      </c>
      <c r="H13" s="45"/>
      <c r="I13" s="45"/>
      <c r="J13" s="1659" t="s">
        <v>1147</v>
      </c>
    </row>
    <row r="14" spans="1:14">
      <c r="A14" s="1037">
        <f t="shared" ref="A14:A77" si="1">+A13+0.01</f>
        <v>6.0299999999999994</v>
      </c>
      <c r="B14" s="1574" t="s">
        <v>1539</v>
      </c>
      <c r="C14" s="1574" t="s">
        <v>1540</v>
      </c>
      <c r="D14" s="1630" t="s">
        <v>1705</v>
      </c>
      <c r="E14" s="1502">
        <v>1559565.5499999998</v>
      </c>
      <c r="F14" s="1654">
        <v>1559565.55</v>
      </c>
      <c r="G14" s="283">
        <f t="shared" si="0"/>
        <v>1559565.5499999998</v>
      </c>
      <c r="H14" s="45"/>
      <c r="I14" s="45"/>
      <c r="J14" s="1765" t="s">
        <v>1734</v>
      </c>
      <c r="K14" s="1765"/>
      <c r="L14" s="1765"/>
      <c r="M14" s="1765"/>
      <c r="N14" s="1765"/>
    </row>
    <row r="15" spans="1:14">
      <c r="A15" s="1037">
        <f t="shared" si="1"/>
        <v>6.0399999999999991</v>
      </c>
      <c r="B15" s="1574" t="s">
        <v>1541</v>
      </c>
      <c r="C15" s="1574" t="s">
        <v>1540</v>
      </c>
      <c r="D15" s="1630" t="s">
        <v>1705</v>
      </c>
      <c r="E15" s="1502">
        <v>7681.2999999999975</v>
      </c>
      <c r="F15" s="1654">
        <v>7681.3</v>
      </c>
      <c r="G15" s="283">
        <f t="shared" si="0"/>
        <v>7681.2999999999993</v>
      </c>
      <c r="H15" s="45"/>
      <c r="I15" s="45"/>
      <c r="J15" s="1765"/>
      <c r="K15" s="1765"/>
      <c r="L15" s="1765"/>
      <c r="M15" s="1765"/>
      <c r="N15" s="1765"/>
    </row>
    <row r="16" spans="1:14">
      <c r="A16" s="1037">
        <f t="shared" si="1"/>
        <v>6.0499999999999989</v>
      </c>
      <c r="B16" s="1574" t="s">
        <v>1542</v>
      </c>
      <c r="C16" s="1574" t="s">
        <v>1543</v>
      </c>
      <c r="D16" s="1630" t="s">
        <v>1705</v>
      </c>
      <c r="E16" s="1502">
        <v>750325.08000000019</v>
      </c>
      <c r="F16" s="1654">
        <v>750325.08</v>
      </c>
      <c r="G16" s="283">
        <f t="shared" si="0"/>
        <v>750325.08000000007</v>
      </c>
      <c r="H16" s="45"/>
      <c r="I16" s="45"/>
      <c r="J16" s="1765"/>
      <c r="K16" s="1765"/>
      <c r="L16" s="1765"/>
      <c r="M16" s="1765"/>
      <c r="N16" s="1765"/>
    </row>
    <row r="17" spans="1:14" s="45" customFormat="1">
      <c r="A17" s="1037">
        <f t="shared" si="1"/>
        <v>6.0599999999999987</v>
      </c>
      <c r="B17" s="1574" t="s">
        <v>1544</v>
      </c>
      <c r="C17" s="1574" t="s">
        <v>1543</v>
      </c>
      <c r="D17" s="1630" t="s">
        <v>1705</v>
      </c>
      <c r="E17" s="1502">
        <v>185251.15000000005</v>
      </c>
      <c r="F17" s="1654">
        <v>187122.63</v>
      </c>
      <c r="G17" s="283">
        <f t="shared" si="0"/>
        <v>186186.89</v>
      </c>
      <c r="J17" s="1765"/>
      <c r="K17" s="1765"/>
      <c r="L17" s="1765"/>
      <c r="M17" s="1765"/>
      <c r="N17" s="1765"/>
    </row>
    <row r="18" spans="1:14">
      <c r="A18" s="1037">
        <f t="shared" si="1"/>
        <v>6.0699999999999985</v>
      </c>
      <c r="B18" s="1574" t="s">
        <v>1545</v>
      </c>
      <c r="C18" s="1574" t="s">
        <v>1546</v>
      </c>
      <c r="D18" s="1630" t="s">
        <v>1705</v>
      </c>
      <c r="E18" s="1502">
        <v>51568.979999999996</v>
      </c>
      <c r="F18" s="1654">
        <v>51568.98</v>
      </c>
      <c r="G18" s="283">
        <f t="shared" si="0"/>
        <v>51568.979999999996</v>
      </c>
      <c r="H18" s="45"/>
      <c r="I18" s="45"/>
      <c r="J18" s="1765"/>
      <c r="K18" s="1765"/>
      <c r="L18" s="1765"/>
      <c r="M18" s="1765"/>
      <c r="N18" s="1765"/>
    </row>
    <row r="19" spans="1:14">
      <c r="A19" s="1037">
        <f t="shared" si="1"/>
        <v>6.0799999999999983</v>
      </c>
      <c r="B19" s="1574" t="s">
        <v>1547</v>
      </c>
      <c r="C19" s="1574" t="s">
        <v>1548</v>
      </c>
      <c r="D19" s="1630" t="s">
        <v>1705</v>
      </c>
      <c r="E19" s="1502">
        <v>116544.68999999997</v>
      </c>
      <c r="F19" s="1654">
        <v>116544.69</v>
      </c>
      <c r="G19" s="283">
        <f t="shared" si="0"/>
        <v>116544.68999999999</v>
      </c>
      <c r="H19" s="45"/>
      <c r="I19" s="45"/>
      <c r="J19" s="1765"/>
      <c r="K19" s="1765"/>
      <c r="L19" s="1765"/>
      <c r="M19" s="1765"/>
      <c r="N19" s="1765"/>
    </row>
    <row r="20" spans="1:14">
      <c r="A20" s="1037">
        <f t="shared" si="1"/>
        <v>6.0899999999999981</v>
      </c>
      <c r="B20" s="1574" t="s">
        <v>1549</v>
      </c>
      <c r="C20" s="1574" t="s">
        <v>1548</v>
      </c>
      <c r="D20" s="1630" t="s">
        <v>1705</v>
      </c>
      <c r="E20" s="1502">
        <v>564274.56000000006</v>
      </c>
      <c r="F20" s="1654">
        <v>616266.85</v>
      </c>
      <c r="G20" s="283">
        <f t="shared" si="0"/>
        <v>590270.70500000007</v>
      </c>
      <c r="H20" s="45"/>
      <c r="I20" s="45"/>
    </row>
    <row r="21" spans="1:14">
      <c r="A21" s="1037">
        <f t="shared" si="1"/>
        <v>6.0999999999999979</v>
      </c>
      <c r="B21" s="1574" t="s">
        <v>1550</v>
      </c>
      <c r="C21" s="1574" t="s">
        <v>1551</v>
      </c>
      <c r="D21" s="1630" t="s">
        <v>1705</v>
      </c>
      <c r="E21" s="1502">
        <v>201319.83</v>
      </c>
      <c r="F21" s="1654">
        <v>201319.83</v>
      </c>
      <c r="G21" s="283">
        <f t="shared" si="0"/>
        <v>201319.83</v>
      </c>
      <c r="H21" s="45"/>
      <c r="I21" s="45"/>
    </row>
    <row r="22" spans="1:14">
      <c r="A22" s="1037">
        <f t="shared" si="1"/>
        <v>6.1099999999999977</v>
      </c>
      <c r="B22" s="1574" t="s">
        <v>1552</v>
      </c>
      <c r="C22" s="1574" t="s">
        <v>1551</v>
      </c>
      <c r="D22" s="1630" t="s">
        <v>1705</v>
      </c>
      <c r="E22" s="1502">
        <v>1146394.78</v>
      </c>
      <c r="F22" s="1654">
        <v>1146394.78</v>
      </c>
      <c r="G22" s="283">
        <f t="shared" si="0"/>
        <v>1146394.78</v>
      </c>
      <c r="H22" s="45"/>
      <c r="I22" s="45"/>
    </row>
    <row r="23" spans="1:14">
      <c r="A23" s="1037">
        <f t="shared" si="1"/>
        <v>6.1199999999999974</v>
      </c>
      <c r="B23" s="1574" t="s">
        <v>1553</v>
      </c>
      <c r="C23" s="1574" t="s">
        <v>1554</v>
      </c>
      <c r="D23" s="1630" t="s">
        <v>1705</v>
      </c>
      <c r="E23" s="1502">
        <v>288304.83999999997</v>
      </c>
      <c r="F23" s="1654">
        <v>288304.84000000003</v>
      </c>
      <c r="G23" s="283">
        <f t="shared" si="0"/>
        <v>288304.83999999997</v>
      </c>
      <c r="H23" s="45"/>
      <c r="I23" s="45"/>
    </row>
    <row r="24" spans="1:14">
      <c r="A24" s="1037">
        <f t="shared" si="1"/>
        <v>6.1299999999999972</v>
      </c>
      <c r="B24" s="1574" t="s">
        <v>1555</v>
      </c>
      <c r="C24" s="1574" t="s">
        <v>1546</v>
      </c>
      <c r="D24" s="1630" t="s">
        <v>1706</v>
      </c>
      <c r="E24" s="1502">
        <v>198742.47999999998</v>
      </c>
      <c r="F24" s="1654">
        <v>198742.48</v>
      </c>
      <c r="G24" s="283">
        <f t="shared" si="0"/>
        <v>198742.47999999998</v>
      </c>
      <c r="H24" s="45"/>
      <c r="I24" s="45"/>
    </row>
    <row r="25" spans="1:14">
      <c r="A25" s="1037">
        <f t="shared" si="1"/>
        <v>6.139999999999997</v>
      </c>
      <c r="B25" s="1574" t="s">
        <v>1556</v>
      </c>
      <c r="C25" s="1574" t="s">
        <v>1557</v>
      </c>
      <c r="D25" s="1630" t="s">
        <v>1707</v>
      </c>
      <c r="E25" s="1502">
        <v>286848.75999999995</v>
      </c>
      <c r="F25" s="1654">
        <v>286848.76</v>
      </c>
      <c r="G25" s="283">
        <f t="shared" si="0"/>
        <v>286848.76</v>
      </c>
      <c r="H25" s="45"/>
      <c r="I25" s="45"/>
    </row>
    <row r="26" spans="1:14">
      <c r="A26" s="1037">
        <f t="shared" si="1"/>
        <v>6.1499999999999968</v>
      </c>
      <c r="B26" s="1574" t="s">
        <v>1558</v>
      </c>
      <c r="C26" s="1574" t="s">
        <v>1557</v>
      </c>
      <c r="D26" s="1630" t="s">
        <v>1707</v>
      </c>
      <c r="E26" s="1502">
        <v>408958.81999999995</v>
      </c>
      <c r="F26" s="1654">
        <v>408958.82</v>
      </c>
      <c r="G26" s="283">
        <f t="shared" si="0"/>
        <v>408958.81999999995</v>
      </c>
      <c r="H26" s="45"/>
      <c r="I26" s="45"/>
    </row>
    <row r="27" spans="1:14">
      <c r="A27" s="1037">
        <f t="shared" si="1"/>
        <v>6.1599999999999966</v>
      </c>
      <c r="B27" s="1574" t="s">
        <v>1559</v>
      </c>
      <c r="C27" s="1574" t="s">
        <v>1560</v>
      </c>
      <c r="D27" s="1630" t="s">
        <v>1708</v>
      </c>
      <c r="E27" s="1502">
        <v>251796.24</v>
      </c>
      <c r="F27" s="1654">
        <v>251796.24</v>
      </c>
      <c r="G27" s="283">
        <f t="shared" si="0"/>
        <v>251796.24</v>
      </c>
      <c r="H27" s="45"/>
      <c r="I27" s="45"/>
    </row>
    <row r="28" spans="1:14">
      <c r="A28" s="1037">
        <f t="shared" si="1"/>
        <v>6.1699999999999964</v>
      </c>
      <c r="B28" s="1574" t="s">
        <v>1561</v>
      </c>
      <c r="C28" s="1574" t="s">
        <v>1560</v>
      </c>
      <c r="D28" s="1630" t="s">
        <v>1708</v>
      </c>
      <c r="E28" s="1502">
        <v>286275.32999999996</v>
      </c>
      <c r="F28" s="1654">
        <v>286275.33</v>
      </c>
      <c r="G28" s="283">
        <f t="shared" si="0"/>
        <v>286275.32999999996</v>
      </c>
      <c r="H28" s="45"/>
      <c r="I28" s="45"/>
    </row>
    <row r="29" spans="1:14">
      <c r="A29" s="1037">
        <f t="shared" si="1"/>
        <v>6.1799999999999962</v>
      </c>
      <c r="B29" s="1574" t="s">
        <v>1562</v>
      </c>
      <c r="C29" s="1574" t="s">
        <v>1563</v>
      </c>
      <c r="D29" s="1630" t="s">
        <v>1708</v>
      </c>
      <c r="E29" s="1502">
        <v>43657.17</v>
      </c>
      <c r="F29" s="1654">
        <v>43657.17</v>
      </c>
      <c r="G29" s="283">
        <f t="shared" si="0"/>
        <v>43657.17</v>
      </c>
      <c r="H29" s="45"/>
      <c r="I29" s="45"/>
    </row>
    <row r="30" spans="1:14">
      <c r="A30" s="1037">
        <f t="shared" si="1"/>
        <v>6.1899999999999959</v>
      </c>
      <c r="B30" s="1574" t="s">
        <v>1564</v>
      </c>
      <c r="C30" s="1574" t="s">
        <v>1563</v>
      </c>
      <c r="D30" s="1630" t="s">
        <v>1708</v>
      </c>
      <c r="E30" s="1502">
        <v>259594.93</v>
      </c>
      <c r="F30" s="1654">
        <v>259594.93</v>
      </c>
      <c r="G30" s="283">
        <f t="shared" si="0"/>
        <v>259594.93</v>
      </c>
      <c r="H30" s="45"/>
      <c r="I30" s="45"/>
    </row>
    <row r="31" spans="1:14">
      <c r="A31" s="1037">
        <f t="shared" si="1"/>
        <v>6.1999999999999957</v>
      </c>
      <c r="B31" s="1574" t="s">
        <v>1565</v>
      </c>
      <c r="C31" s="1574" t="s">
        <v>1566</v>
      </c>
      <c r="D31" s="1630" t="s">
        <v>1708</v>
      </c>
      <c r="E31" s="1502">
        <v>2567.94</v>
      </c>
      <c r="F31" s="1654">
        <v>2567.94</v>
      </c>
      <c r="G31" s="283">
        <f t="shared" si="0"/>
        <v>2567.94</v>
      </c>
      <c r="H31" s="45"/>
      <c r="I31" s="45"/>
    </row>
    <row r="32" spans="1:14">
      <c r="A32" s="1037">
        <f t="shared" si="1"/>
        <v>6.2099999999999955</v>
      </c>
      <c r="B32" s="1574" t="s">
        <v>1567</v>
      </c>
      <c r="C32" s="1574" t="s">
        <v>1568</v>
      </c>
      <c r="D32" s="1630" t="s">
        <v>1709</v>
      </c>
      <c r="E32" s="1502">
        <v>908020.45000000007</v>
      </c>
      <c r="F32" s="1654">
        <v>908020.45</v>
      </c>
      <c r="G32" s="283">
        <f t="shared" si="0"/>
        <v>908020.45</v>
      </c>
      <c r="H32" s="45"/>
      <c r="I32" s="45"/>
    </row>
    <row r="33" spans="1:9">
      <c r="A33" s="1037">
        <f t="shared" si="1"/>
        <v>6.2199999999999953</v>
      </c>
      <c r="B33" s="1574" t="s">
        <v>1569</v>
      </c>
      <c r="C33" s="1574" t="s">
        <v>1568</v>
      </c>
      <c r="D33" s="1630" t="s">
        <v>1709</v>
      </c>
      <c r="E33" s="1502">
        <v>36384.680000000008</v>
      </c>
      <c r="F33" s="1654">
        <v>36560.870000000003</v>
      </c>
      <c r="G33" s="283">
        <f t="shared" si="0"/>
        <v>36472.775000000009</v>
      </c>
      <c r="H33" s="45"/>
      <c r="I33" s="45"/>
    </row>
    <row r="34" spans="1:9">
      <c r="A34" s="1037">
        <f t="shared" si="1"/>
        <v>6.2299999999999951</v>
      </c>
      <c r="B34" s="1574" t="s">
        <v>1570</v>
      </c>
      <c r="C34" s="1574" t="s">
        <v>1571</v>
      </c>
      <c r="D34" s="1630" t="s">
        <v>1709</v>
      </c>
      <c r="E34" s="1502">
        <v>2252.9900000000002</v>
      </c>
      <c r="F34" s="1654">
        <v>2252.9899999999998</v>
      </c>
      <c r="G34" s="283">
        <f t="shared" si="0"/>
        <v>2252.9899999999998</v>
      </c>
      <c r="H34" s="45"/>
      <c r="I34" s="45"/>
    </row>
    <row r="35" spans="1:9">
      <c r="A35" s="1037">
        <f t="shared" si="1"/>
        <v>6.2399999999999949</v>
      </c>
      <c r="B35" s="1574" t="s">
        <v>1572</v>
      </c>
      <c r="C35" s="1574" t="s">
        <v>1571</v>
      </c>
      <c r="D35" s="1630" t="s">
        <v>1709</v>
      </c>
      <c r="E35" s="1502">
        <v>34866.710000000006</v>
      </c>
      <c r="F35" s="1654">
        <v>35093.550000000003</v>
      </c>
      <c r="G35" s="283">
        <f t="shared" si="0"/>
        <v>34980.130000000005</v>
      </c>
      <c r="H35" s="45"/>
      <c r="I35" s="45"/>
    </row>
    <row r="36" spans="1:9">
      <c r="A36" s="1037">
        <f t="shared" si="1"/>
        <v>6.2499999999999947</v>
      </c>
      <c r="B36" s="1574" t="s">
        <v>1573</v>
      </c>
      <c r="C36" s="1574" t="s">
        <v>1574</v>
      </c>
      <c r="D36" s="1630" t="s">
        <v>1709</v>
      </c>
      <c r="E36" s="1502">
        <v>132192.62000000002</v>
      </c>
      <c r="F36" s="1654">
        <v>132192.62</v>
      </c>
      <c r="G36" s="283">
        <f t="shared" si="0"/>
        <v>132192.62</v>
      </c>
      <c r="H36" s="45"/>
      <c r="I36" s="45"/>
    </row>
    <row r="37" spans="1:9">
      <c r="A37" s="1037">
        <f t="shared" si="1"/>
        <v>6.2599999999999945</v>
      </c>
      <c r="B37" s="1574" t="s">
        <v>1575</v>
      </c>
      <c r="C37" s="1574" t="s">
        <v>1574</v>
      </c>
      <c r="D37" s="1630" t="s">
        <v>1709</v>
      </c>
      <c r="E37" s="1502">
        <v>587362.17999999993</v>
      </c>
      <c r="F37" s="1654">
        <v>593656.24</v>
      </c>
      <c r="G37" s="283">
        <f t="shared" si="0"/>
        <v>590509.21</v>
      </c>
      <c r="H37" s="45"/>
      <c r="I37" s="45"/>
    </row>
    <row r="38" spans="1:9">
      <c r="A38" s="1037">
        <f t="shared" si="1"/>
        <v>6.2699999999999942</v>
      </c>
      <c r="B38" s="1574" t="s">
        <v>1576</v>
      </c>
      <c r="C38" s="1574" t="s">
        <v>1577</v>
      </c>
      <c r="D38" s="1630" t="s">
        <v>1709</v>
      </c>
      <c r="E38" s="1502">
        <v>70225.62000000001</v>
      </c>
      <c r="F38" s="1654">
        <v>70225.62</v>
      </c>
      <c r="G38" s="283">
        <f t="shared" si="0"/>
        <v>70225.62</v>
      </c>
      <c r="H38" s="45"/>
      <c r="I38" s="45"/>
    </row>
    <row r="39" spans="1:9">
      <c r="A39" s="1037">
        <f t="shared" si="1"/>
        <v>6.279999999999994</v>
      </c>
      <c r="B39" s="1574" t="s">
        <v>1578</v>
      </c>
      <c r="C39" s="1574" t="s">
        <v>1577</v>
      </c>
      <c r="D39" s="1630" t="s">
        <v>1709</v>
      </c>
      <c r="E39" s="1502">
        <v>69827.48000000001</v>
      </c>
      <c r="F39" s="1654">
        <v>70165.86</v>
      </c>
      <c r="G39" s="283">
        <f t="shared" si="0"/>
        <v>69996.670000000013</v>
      </c>
      <c r="H39" s="45"/>
      <c r="I39" s="45"/>
    </row>
    <row r="40" spans="1:9">
      <c r="A40" s="1037">
        <f t="shared" si="1"/>
        <v>6.2899999999999938</v>
      </c>
      <c r="B40" s="1574" t="s">
        <v>1579</v>
      </c>
      <c r="C40" s="1574" t="s">
        <v>1580</v>
      </c>
      <c r="D40" s="1630" t="s">
        <v>1709</v>
      </c>
      <c r="E40" s="1502">
        <v>45565.759999999995</v>
      </c>
      <c r="F40" s="1654">
        <v>45565.760000000002</v>
      </c>
      <c r="G40" s="283">
        <f t="shared" si="0"/>
        <v>45565.759999999995</v>
      </c>
      <c r="H40" s="45"/>
      <c r="I40" s="45"/>
    </row>
    <row r="41" spans="1:9">
      <c r="A41" s="1037">
        <f t="shared" si="1"/>
        <v>6.2999999999999936</v>
      </c>
      <c r="B41" s="1574" t="s">
        <v>1581</v>
      </c>
      <c r="C41" s="1574" t="s">
        <v>1580</v>
      </c>
      <c r="D41" s="1630" t="s">
        <v>1709</v>
      </c>
      <c r="E41" s="1502">
        <v>438800.2</v>
      </c>
      <c r="F41" s="1654">
        <v>438800.2</v>
      </c>
      <c r="G41" s="283">
        <f t="shared" si="0"/>
        <v>438800.2</v>
      </c>
      <c r="H41" s="45"/>
      <c r="I41" s="45"/>
    </row>
    <row r="42" spans="1:9">
      <c r="A42" s="1037">
        <f t="shared" si="1"/>
        <v>6.3099999999999934</v>
      </c>
      <c r="B42" s="1574" t="s">
        <v>1582</v>
      </c>
      <c r="C42" s="1574" t="s">
        <v>1583</v>
      </c>
      <c r="D42" s="1630" t="s">
        <v>1709</v>
      </c>
      <c r="E42" s="1502">
        <v>6166.9699999999993</v>
      </c>
      <c r="F42" s="1654">
        <v>6166.97</v>
      </c>
      <c r="G42" s="283">
        <f t="shared" si="0"/>
        <v>6166.9699999999993</v>
      </c>
      <c r="H42" s="45"/>
      <c r="I42" s="45"/>
    </row>
    <row r="43" spans="1:9">
      <c r="A43" s="1037">
        <f t="shared" si="1"/>
        <v>6.3199999999999932</v>
      </c>
      <c r="B43" s="1574" t="s">
        <v>1584</v>
      </c>
      <c r="C43" s="1574" t="s">
        <v>1583</v>
      </c>
      <c r="D43" s="1630" t="s">
        <v>1709</v>
      </c>
      <c r="E43" s="1502">
        <v>104473.65000000001</v>
      </c>
      <c r="F43" s="1654">
        <v>104473.65</v>
      </c>
      <c r="G43" s="283">
        <f t="shared" si="0"/>
        <v>104473.65</v>
      </c>
      <c r="H43" s="45"/>
      <c r="I43" s="45"/>
    </row>
    <row r="44" spans="1:9">
      <c r="A44" s="1037">
        <f t="shared" si="1"/>
        <v>6.329999999999993</v>
      </c>
      <c r="B44" s="1574" t="s">
        <v>1585</v>
      </c>
      <c r="C44" s="1574" t="s">
        <v>1586</v>
      </c>
      <c r="D44" s="1630" t="s">
        <v>1709</v>
      </c>
      <c r="E44" s="1502">
        <v>59699.92</v>
      </c>
      <c r="F44" s="1654">
        <v>59699.92</v>
      </c>
      <c r="G44" s="283">
        <f t="shared" si="0"/>
        <v>59699.92</v>
      </c>
      <c r="H44" s="45"/>
      <c r="I44" s="45"/>
    </row>
    <row r="45" spans="1:9">
      <c r="A45" s="1037">
        <f t="shared" si="1"/>
        <v>6.3399999999999928</v>
      </c>
      <c r="B45" s="1574" t="s">
        <v>1587</v>
      </c>
      <c r="C45" s="1574" t="s">
        <v>1586</v>
      </c>
      <c r="D45" s="1630" t="s">
        <v>1709</v>
      </c>
      <c r="E45" s="1502">
        <v>353533.53000000026</v>
      </c>
      <c r="F45" s="1654">
        <v>350771.02</v>
      </c>
      <c r="G45" s="283">
        <f t="shared" si="0"/>
        <v>352152.27500000014</v>
      </c>
      <c r="H45" s="45"/>
      <c r="I45" s="45"/>
    </row>
    <row r="46" spans="1:9">
      <c r="A46" s="1037">
        <f t="shared" si="1"/>
        <v>6.3499999999999925</v>
      </c>
      <c r="B46" s="1574" t="s">
        <v>1588</v>
      </c>
      <c r="C46" s="1574" t="s">
        <v>1589</v>
      </c>
      <c r="D46" s="1630" t="s">
        <v>1709</v>
      </c>
      <c r="E46" s="1502">
        <v>4661.57</v>
      </c>
      <c r="F46" s="1654">
        <v>4661.57</v>
      </c>
      <c r="G46" s="283">
        <f t="shared" si="0"/>
        <v>4661.57</v>
      </c>
      <c r="H46" s="45"/>
      <c r="I46" s="45"/>
    </row>
    <row r="47" spans="1:9">
      <c r="A47" s="1037">
        <f t="shared" si="1"/>
        <v>6.3599999999999923</v>
      </c>
      <c r="B47" s="1574" t="s">
        <v>1590</v>
      </c>
      <c r="C47" s="1574" t="s">
        <v>1591</v>
      </c>
      <c r="D47" s="1630" t="s">
        <v>1709</v>
      </c>
      <c r="E47" s="1502">
        <v>53224.76</v>
      </c>
      <c r="F47" s="1654">
        <v>53224.76</v>
      </c>
      <c r="G47" s="283">
        <f t="shared" si="0"/>
        <v>53224.76</v>
      </c>
      <c r="H47" s="45"/>
      <c r="I47" s="45"/>
    </row>
    <row r="48" spans="1:9">
      <c r="A48" s="1037">
        <f t="shared" si="1"/>
        <v>6.3699999999999921</v>
      </c>
      <c r="B48" s="1574" t="s">
        <v>1592</v>
      </c>
      <c r="C48" s="1574" t="s">
        <v>1591</v>
      </c>
      <c r="D48" s="1630" t="s">
        <v>1709</v>
      </c>
      <c r="E48" s="1502">
        <v>4048615.7599999993</v>
      </c>
      <c r="F48" s="1654">
        <v>4047272.86</v>
      </c>
      <c r="G48" s="283">
        <f t="shared" si="0"/>
        <v>4047944.3099999996</v>
      </c>
      <c r="H48" s="45"/>
      <c r="I48" s="45"/>
    </row>
    <row r="49" spans="1:9">
      <c r="A49" s="1037">
        <f t="shared" si="1"/>
        <v>6.3799999999999919</v>
      </c>
      <c r="B49" s="1574" t="s">
        <v>1593</v>
      </c>
      <c r="C49" s="1574" t="s">
        <v>1594</v>
      </c>
      <c r="D49" s="1630" t="s">
        <v>1709</v>
      </c>
      <c r="E49" s="1502">
        <v>62232.479999999996</v>
      </c>
      <c r="F49" s="1654">
        <v>62232.480000000003</v>
      </c>
      <c r="G49" s="283">
        <f t="shared" si="0"/>
        <v>62232.479999999996</v>
      </c>
      <c r="H49" s="45"/>
      <c r="I49" s="45"/>
    </row>
    <row r="50" spans="1:9">
      <c r="A50" s="1037">
        <f t="shared" si="1"/>
        <v>6.3899999999999917</v>
      </c>
      <c r="B50" s="1574" t="s">
        <v>1595</v>
      </c>
      <c r="C50" s="1574" t="s">
        <v>1594</v>
      </c>
      <c r="D50" s="1630" t="s">
        <v>1709</v>
      </c>
      <c r="E50" s="1502">
        <v>2189316.7399999993</v>
      </c>
      <c r="F50" s="1654">
        <v>2305248.88</v>
      </c>
      <c r="G50" s="283">
        <f t="shared" si="0"/>
        <v>2247282.8099999996</v>
      </c>
      <c r="H50" s="45"/>
      <c r="I50" s="45"/>
    </row>
    <row r="51" spans="1:9">
      <c r="A51" s="1037">
        <f t="shared" si="1"/>
        <v>6.3999999999999915</v>
      </c>
      <c r="B51" s="1574" t="s">
        <v>1596</v>
      </c>
      <c r="C51" s="1574" t="s">
        <v>1597</v>
      </c>
      <c r="D51" s="1630" t="s">
        <v>1709</v>
      </c>
      <c r="E51" s="1502">
        <v>4558.79</v>
      </c>
      <c r="F51" s="1654">
        <v>4558.79</v>
      </c>
      <c r="G51" s="283">
        <f t="shared" si="0"/>
        <v>4558.79</v>
      </c>
      <c r="H51" s="45"/>
      <c r="I51" s="45"/>
    </row>
    <row r="52" spans="1:9">
      <c r="A52" s="1037">
        <f t="shared" si="1"/>
        <v>6.4099999999999913</v>
      </c>
      <c r="B52" s="1574" t="s">
        <v>1598</v>
      </c>
      <c r="C52" s="1574" t="s">
        <v>1597</v>
      </c>
      <c r="D52" s="1630" t="s">
        <v>1709</v>
      </c>
      <c r="E52" s="1502">
        <v>887655.37000000011</v>
      </c>
      <c r="F52" s="1654">
        <v>889882.88</v>
      </c>
      <c r="G52" s="283">
        <f t="shared" si="0"/>
        <v>888769.125</v>
      </c>
      <c r="H52" s="45"/>
      <c r="I52" s="45"/>
    </row>
    <row r="53" spans="1:9">
      <c r="A53" s="1037">
        <f t="shared" si="1"/>
        <v>6.419999999999991</v>
      </c>
      <c r="B53" s="1574" t="s">
        <v>1599</v>
      </c>
      <c r="C53" s="1574" t="s">
        <v>1600</v>
      </c>
      <c r="D53" s="1630" t="s">
        <v>1709</v>
      </c>
      <c r="E53" s="1502">
        <v>63701.369999999995</v>
      </c>
      <c r="F53" s="1654">
        <v>63701.37</v>
      </c>
      <c r="G53" s="283">
        <f t="shared" si="0"/>
        <v>63701.369999999995</v>
      </c>
      <c r="H53" s="45"/>
      <c r="I53" s="45"/>
    </row>
    <row r="54" spans="1:9">
      <c r="A54" s="1037">
        <f t="shared" si="1"/>
        <v>6.4299999999999908</v>
      </c>
      <c r="B54" s="1574" t="s">
        <v>1601</v>
      </c>
      <c r="C54" s="1574" t="s">
        <v>1600</v>
      </c>
      <c r="D54" s="1630" t="s">
        <v>1709</v>
      </c>
      <c r="E54" s="1502">
        <v>1865224.5299999998</v>
      </c>
      <c r="F54" s="1654">
        <v>1865224.53</v>
      </c>
      <c r="G54" s="283">
        <f t="shared" si="0"/>
        <v>1865224.5299999998</v>
      </c>
      <c r="H54" s="45"/>
      <c r="I54" s="45"/>
    </row>
    <row r="55" spans="1:9">
      <c r="A55" s="1037">
        <f t="shared" si="1"/>
        <v>6.4399999999999906</v>
      </c>
      <c r="B55" s="1574" t="s">
        <v>1602</v>
      </c>
      <c r="C55" s="1574" t="s">
        <v>1603</v>
      </c>
      <c r="D55" s="1630" t="s">
        <v>1709</v>
      </c>
      <c r="E55" s="1502">
        <v>418.55</v>
      </c>
      <c r="F55" s="1654">
        <v>418.55</v>
      </c>
      <c r="G55" s="283">
        <f t="shared" si="0"/>
        <v>418.55</v>
      </c>
      <c r="H55" s="45"/>
      <c r="I55" s="45"/>
    </row>
    <row r="56" spans="1:9">
      <c r="A56" s="1037">
        <f t="shared" si="1"/>
        <v>6.4499999999999904</v>
      </c>
      <c r="B56" s="1574" t="s">
        <v>1604</v>
      </c>
      <c r="C56" s="1574" t="s">
        <v>1603</v>
      </c>
      <c r="D56" s="1630" t="s">
        <v>1709</v>
      </c>
      <c r="E56" s="1502">
        <v>191072.87000000005</v>
      </c>
      <c r="F56" s="1654">
        <v>251731.59</v>
      </c>
      <c r="G56" s="283">
        <f t="shared" si="0"/>
        <v>221402.23000000004</v>
      </c>
      <c r="H56" s="45"/>
      <c r="I56" s="45"/>
    </row>
    <row r="57" spans="1:9">
      <c r="A57" s="1037">
        <f t="shared" si="1"/>
        <v>6.4599999999999902</v>
      </c>
      <c r="B57" s="1574" t="s">
        <v>1605</v>
      </c>
      <c r="C57" s="1574" t="s">
        <v>1606</v>
      </c>
      <c r="D57" s="1630" t="s">
        <v>1709</v>
      </c>
      <c r="E57" s="1502">
        <v>98978.410000000018</v>
      </c>
      <c r="F57" s="1654">
        <v>98978.41</v>
      </c>
      <c r="G57" s="283">
        <f t="shared" si="0"/>
        <v>98978.41</v>
      </c>
      <c r="H57" s="45"/>
      <c r="I57" s="45"/>
    </row>
    <row r="58" spans="1:9">
      <c r="A58" s="1037">
        <f t="shared" si="1"/>
        <v>6.46999999999999</v>
      </c>
      <c r="B58" s="1574" t="s">
        <v>1607</v>
      </c>
      <c r="C58" s="1574" t="s">
        <v>1606</v>
      </c>
      <c r="D58" s="1630" t="s">
        <v>1709</v>
      </c>
      <c r="E58" s="1502">
        <v>856736.45000000019</v>
      </c>
      <c r="F58" s="1654">
        <v>856736.45</v>
      </c>
      <c r="G58" s="283">
        <f t="shared" si="0"/>
        <v>856736.45000000007</v>
      </c>
      <c r="H58" s="45"/>
      <c r="I58" s="45"/>
    </row>
    <row r="59" spans="1:9">
      <c r="A59" s="1037">
        <f t="shared" si="1"/>
        <v>6.4799999999999898</v>
      </c>
      <c r="B59" s="1574" t="s">
        <v>1608</v>
      </c>
      <c r="C59" s="1574" t="s">
        <v>1609</v>
      </c>
      <c r="D59" s="1630" t="s">
        <v>1709</v>
      </c>
      <c r="E59" s="1502">
        <v>99296.06</v>
      </c>
      <c r="F59" s="1654">
        <v>99296.06</v>
      </c>
      <c r="G59" s="283">
        <f t="shared" si="0"/>
        <v>99296.06</v>
      </c>
      <c r="H59" s="45"/>
      <c r="I59" s="45"/>
    </row>
    <row r="60" spans="1:9">
      <c r="A60" s="1037">
        <f t="shared" si="1"/>
        <v>6.4899999999999896</v>
      </c>
      <c r="B60" s="1574" t="s">
        <v>1610</v>
      </c>
      <c r="C60" s="1574" t="s">
        <v>1609</v>
      </c>
      <c r="D60" s="1630" t="s">
        <v>1709</v>
      </c>
      <c r="E60" s="1502">
        <v>253985.25000000006</v>
      </c>
      <c r="F60" s="1654">
        <v>276523.49</v>
      </c>
      <c r="G60" s="283">
        <f t="shared" si="0"/>
        <v>265254.37</v>
      </c>
      <c r="H60" s="45"/>
      <c r="I60" s="45"/>
    </row>
    <row r="61" spans="1:9">
      <c r="A61" s="1037">
        <f t="shared" si="1"/>
        <v>6.4999999999999893</v>
      </c>
      <c r="B61" s="1574" t="s">
        <v>1611</v>
      </c>
      <c r="C61" s="1574" t="s">
        <v>1612</v>
      </c>
      <c r="D61" s="1630" t="s">
        <v>1709</v>
      </c>
      <c r="E61" s="1502">
        <v>1637.67</v>
      </c>
      <c r="F61" s="1654">
        <v>1637.67</v>
      </c>
      <c r="G61" s="283">
        <f t="shared" si="0"/>
        <v>1637.67</v>
      </c>
      <c r="H61" s="45"/>
      <c r="I61" s="45"/>
    </row>
    <row r="62" spans="1:9">
      <c r="A62" s="1037">
        <f t="shared" si="1"/>
        <v>6.5099999999999891</v>
      </c>
      <c r="B62" s="1574" t="s">
        <v>1613</v>
      </c>
      <c r="C62" s="1574" t="s">
        <v>1612</v>
      </c>
      <c r="D62" s="1630" t="s">
        <v>1709</v>
      </c>
      <c r="E62" s="1502">
        <v>39707.620000000017</v>
      </c>
      <c r="F62" s="1654">
        <v>39707.629999999997</v>
      </c>
      <c r="G62" s="283">
        <f t="shared" si="0"/>
        <v>39707.625000000007</v>
      </c>
      <c r="H62" s="45"/>
      <c r="I62" s="45"/>
    </row>
    <row r="63" spans="1:9">
      <c r="A63" s="1037">
        <f t="shared" si="1"/>
        <v>6.5199999999999889</v>
      </c>
      <c r="B63" s="1574" t="s">
        <v>1614</v>
      </c>
      <c r="C63" s="1574" t="s">
        <v>1615</v>
      </c>
      <c r="D63" s="1630" t="s">
        <v>1709</v>
      </c>
      <c r="E63" s="1502">
        <v>308758.53999999998</v>
      </c>
      <c r="F63" s="1654">
        <v>308758.53999999998</v>
      </c>
      <c r="G63" s="283">
        <f t="shared" si="0"/>
        <v>308758.53999999998</v>
      </c>
      <c r="H63" s="45"/>
      <c r="I63" s="45"/>
    </row>
    <row r="64" spans="1:9">
      <c r="A64" s="1037">
        <f t="shared" si="1"/>
        <v>6.5299999999999887</v>
      </c>
      <c r="B64" s="1574" t="s">
        <v>1616</v>
      </c>
      <c r="C64" s="1574" t="s">
        <v>1617</v>
      </c>
      <c r="D64" s="1630" t="s">
        <v>1709</v>
      </c>
      <c r="E64" s="1502">
        <v>82907.14</v>
      </c>
      <c r="F64" s="1654">
        <v>82907.14</v>
      </c>
      <c r="G64" s="283">
        <f t="shared" si="0"/>
        <v>82907.14</v>
      </c>
      <c r="H64" s="45"/>
      <c r="I64" s="45"/>
    </row>
    <row r="65" spans="1:9">
      <c r="A65" s="1037">
        <f t="shared" si="1"/>
        <v>6.5399999999999885</v>
      </c>
      <c r="B65" s="1574" t="s">
        <v>1618</v>
      </c>
      <c r="C65" s="1574" t="s">
        <v>1617</v>
      </c>
      <c r="D65" s="1630" t="s">
        <v>1709</v>
      </c>
      <c r="E65" s="1502">
        <v>216064.44</v>
      </c>
      <c r="F65" s="1654">
        <v>216064.44</v>
      </c>
      <c r="G65" s="283">
        <f t="shared" si="0"/>
        <v>216064.44</v>
      </c>
      <c r="H65" s="45"/>
      <c r="I65" s="45"/>
    </row>
    <row r="66" spans="1:9">
      <c r="A66" s="1037">
        <f t="shared" si="1"/>
        <v>6.5499999999999883</v>
      </c>
      <c r="B66" s="1574" t="s">
        <v>1619</v>
      </c>
      <c r="C66" s="1574" t="s">
        <v>1620</v>
      </c>
      <c r="D66" s="1630" t="s">
        <v>1709</v>
      </c>
      <c r="E66" s="1502">
        <v>996.44</v>
      </c>
      <c r="F66" s="1654">
        <v>996.44</v>
      </c>
      <c r="G66" s="283">
        <f t="shared" si="0"/>
        <v>996.44</v>
      </c>
      <c r="H66" s="45"/>
      <c r="I66" s="45"/>
    </row>
    <row r="67" spans="1:9">
      <c r="A67" s="1037">
        <f t="shared" si="1"/>
        <v>6.5599999999999881</v>
      </c>
      <c r="B67" s="1574" t="s">
        <v>1621</v>
      </c>
      <c r="C67" s="1574" t="s">
        <v>1620</v>
      </c>
      <c r="D67" s="1630" t="s">
        <v>1709</v>
      </c>
      <c r="E67" s="1502">
        <v>526600.33999999985</v>
      </c>
      <c r="F67" s="1654">
        <v>206781.32</v>
      </c>
      <c r="G67" s="283">
        <f t="shared" si="0"/>
        <v>366690.82999999996</v>
      </c>
      <c r="H67" s="45"/>
      <c r="I67" s="45"/>
    </row>
    <row r="68" spans="1:9">
      <c r="A68" s="1037">
        <f t="shared" si="1"/>
        <v>6.5699999999999878</v>
      </c>
      <c r="B68" s="1574" t="s">
        <v>1622</v>
      </c>
      <c r="C68" s="1574" t="s">
        <v>1623</v>
      </c>
      <c r="D68" s="1630" t="s">
        <v>1709</v>
      </c>
      <c r="E68" s="1502">
        <v>666040.69000000029</v>
      </c>
      <c r="F68" s="1654">
        <v>666040.68999999994</v>
      </c>
      <c r="G68" s="283">
        <f t="shared" si="0"/>
        <v>666040.69000000018</v>
      </c>
      <c r="H68" s="45"/>
      <c r="I68" s="45"/>
    </row>
    <row r="69" spans="1:9">
      <c r="A69" s="1037">
        <f t="shared" si="1"/>
        <v>6.5799999999999876</v>
      </c>
      <c r="B69" s="1574" t="s">
        <v>1624</v>
      </c>
      <c r="C69" s="1574" t="s">
        <v>1623</v>
      </c>
      <c r="D69" s="1630" t="s">
        <v>1709</v>
      </c>
      <c r="E69" s="1502">
        <v>1118212.29</v>
      </c>
      <c r="F69" s="1654">
        <v>1121376.96</v>
      </c>
      <c r="G69" s="283">
        <f t="shared" si="0"/>
        <v>1119794.625</v>
      </c>
      <c r="H69" s="45"/>
      <c r="I69" s="45"/>
    </row>
    <row r="70" spans="1:9">
      <c r="A70" s="1037">
        <f t="shared" si="1"/>
        <v>6.5899999999999874</v>
      </c>
      <c r="B70" s="1574" t="s">
        <v>1625</v>
      </c>
      <c r="C70" s="1574" t="s">
        <v>1626</v>
      </c>
      <c r="D70" s="1630" t="s">
        <v>1709</v>
      </c>
      <c r="E70" s="1502">
        <v>71729.45</v>
      </c>
      <c r="F70" s="1654">
        <v>71729.45</v>
      </c>
      <c r="G70" s="283">
        <f t="shared" si="0"/>
        <v>71729.45</v>
      </c>
      <c r="H70" s="45"/>
      <c r="I70" s="45"/>
    </row>
    <row r="71" spans="1:9">
      <c r="A71" s="1037">
        <f t="shared" si="1"/>
        <v>6.5999999999999872</v>
      </c>
      <c r="B71" s="1574" t="s">
        <v>1627</v>
      </c>
      <c r="C71" s="1574" t="s">
        <v>1626</v>
      </c>
      <c r="D71" s="1630" t="s">
        <v>1709</v>
      </c>
      <c r="E71" s="1502">
        <v>1285242.8899999999</v>
      </c>
      <c r="F71" s="1654">
        <v>1285242.82</v>
      </c>
      <c r="G71" s="283">
        <f t="shared" si="0"/>
        <v>1285242.855</v>
      </c>
      <c r="H71" s="45"/>
      <c r="I71" s="45"/>
    </row>
    <row r="72" spans="1:9">
      <c r="A72" s="1037">
        <f t="shared" si="1"/>
        <v>6.609999999999987</v>
      </c>
      <c r="B72" s="1574" t="s">
        <v>1628</v>
      </c>
      <c r="C72" s="1574" t="s">
        <v>1629</v>
      </c>
      <c r="D72" s="1630" t="s">
        <v>1709</v>
      </c>
      <c r="E72" s="1502">
        <v>210053.18</v>
      </c>
      <c r="F72" s="1654">
        <v>210053.18</v>
      </c>
      <c r="G72" s="283">
        <f t="shared" si="0"/>
        <v>210053.18</v>
      </c>
      <c r="H72" s="45"/>
      <c r="I72" s="45"/>
    </row>
    <row r="73" spans="1:9">
      <c r="A73" s="1037">
        <f t="shared" si="1"/>
        <v>6.6199999999999868</v>
      </c>
      <c r="B73" s="1574" t="s">
        <v>1630</v>
      </c>
      <c r="C73" s="1574" t="s">
        <v>1629</v>
      </c>
      <c r="D73" s="1630" t="s">
        <v>1709</v>
      </c>
      <c r="E73" s="1502">
        <v>159048.29000000004</v>
      </c>
      <c r="F73" s="1654">
        <v>159048.29</v>
      </c>
      <c r="G73" s="283">
        <f t="shared" si="0"/>
        <v>159048.29000000004</v>
      </c>
      <c r="H73" s="45"/>
      <c r="I73" s="45"/>
    </row>
    <row r="74" spans="1:9">
      <c r="A74" s="1037">
        <f t="shared" si="1"/>
        <v>6.6299999999999866</v>
      </c>
      <c r="B74" s="1574" t="s">
        <v>1631</v>
      </c>
      <c r="C74" s="1574" t="s">
        <v>1632</v>
      </c>
      <c r="D74" s="1630" t="s">
        <v>1709</v>
      </c>
      <c r="E74" s="1502">
        <v>14460.76</v>
      </c>
      <c r="F74" s="1654">
        <v>14460.76</v>
      </c>
      <c r="G74" s="283">
        <f t="shared" si="0"/>
        <v>14460.76</v>
      </c>
      <c r="H74" s="45"/>
      <c r="I74" s="45"/>
    </row>
    <row r="75" spans="1:9">
      <c r="A75" s="1037">
        <f t="shared" si="1"/>
        <v>6.6399999999999864</v>
      </c>
      <c r="B75" s="1574" t="s">
        <v>1633</v>
      </c>
      <c r="C75" s="1574" t="s">
        <v>1632</v>
      </c>
      <c r="D75" s="1630" t="s">
        <v>1709</v>
      </c>
      <c r="E75" s="1502">
        <v>230836.54999999996</v>
      </c>
      <c r="F75" s="1654">
        <v>245415.87</v>
      </c>
      <c r="G75" s="283">
        <f t="shared" si="0"/>
        <v>238126.20999999996</v>
      </c>
      <c r="H75" s="45"/>
      <c r="I75" s="45"/>
    </row>
    <row r="76" spans="1:9">
      <c r="A76" s="1037">
        <f t="shared" si="1"/>
        <v>6.6499999999999861</v>
      </c>
      <c r="B76" s="1574" t="s">
        <v>1634</v>
      </c>
      <c r="C76" s="1574" t="s">
        <v>1635</v>
      </c>
      <c r="D76" s="1630" t="s">
        <v>1709</v>
      </c>
      <c r="E76" s="1502">
        <v>57784.429999999993</v>
      </c>
      <c r="F76" s="1654">
        <v>57784.43</v>
      </c>
      <c r="G76" s="283">
        <f t="shared" si="0"/>
        <v>57784.429999999993</v>
      </c>
      <c r="H76" s="45"/>
      <c r="I76" s="45"/>
    </row>
    <row r="77" spans="1:9">
      <c r="A77" s="1037">
        <f t="shared" si="1"/>
        <v>6.6599999999999859</v>
      </c>
      <c r="B77" s="1574" t="s">
        <v>1636</v>
      </c>
      <c r="C77" s="1574" t="s">
        <v>1635</v>
      </c>
      <c r="D77" s="1630" t="s">
        <v>1709</v>
      </c>
      <c r="E77" s="1502">
        <v>224918.96999999997</v>
      </c>
      <c r="F77" s="1654">
        <v>224918.97</v>
      </c>
      <c r="G77" s="283">
        <f t="shared" ref="G77:G82" si="2">+SUM(E77,F77)/2</f>
        <v>224918.96999999997</v>
      </c>
      <c r="H77" s="45"/>
      <c r="I77" s="45"/>
    </row>
    <row r="78" spans="1:9">
      <c r="A78" s="1037">
        <f>+A77+0.01</f>
        <v>6.6699999999999857</v>
      </c>
      <c r="B78" s="1574" t="s">
        <v>1637</v>
      </c>
      <c r="C78" s="1574" t="s">
        <v>1638</v>
      </c>
      <c r="D78" s="1630" t="s">
        <v>1709</v>
      </c>
      <c r="E78" s="1502">
        <v>306023.86000000004</v>
      </c>
      <c r="F78" s="1654">
        <v>313606.99</v>
      </c>
      <c r="G78" s="283">
        <f t="shared" si="2"/>
        <v>309815.42500000005</v>
      </c>
      <c r="H78" s="45"/>
      <c r="I78" s="45"/>
    </row>
    <row r="79" spans="1:9">
      <c r="A79" s="1037">
        <f>+A78+0.01</f>
        <v>6.6799999999999855</v>
      </c>
      <c r="B79" s="1574" t="s">
        <v>1639</v>
      </c>
      <c r="C79" s="1574" t="s">
        <v>1640</v>
      </c>
      <c r="D79" s="1630" t="s">
        <v>1709</v>
      </c>
      <c r="E79" s="1502">
        <v>0</v>
      </c>
      <c r="F79" s="1654">
        <v>0</v>
      </c>
      <c r="G79" s="283">
        <f t="shared" si="2"/>
        <v>0</v>
      </c>
      <c r="H79" s="45"/>
      <c r="I79" s="45"/>
    </row>
    <row r="80" spans="1:9">
      <c r="A80" s="1503">
        <f>A79+0.01</f>
        <v>6.6899999999999853</v>
      </c>
      <c r="B80" s="1501" t="s">
        <v>1507</v>
      </c>
      <c r="C80" s="1501"/>
      <c r="D80" s="1501"/>
      <c r="E80" s="1502">
        <v>0</v>
      </c>
      <c r="F80" s="1654">
        <v>0</v>
      </c>
      <c r="G80" s="283">
        <f t="shared" si="2"/>
        <v>0</v>
      </c>
      <c r="H80" s="45"/>
      <c r="I80" s="45"/>
    </row>
    <row r="81" spans="1:10">
      <c r="A81" s="1503" t="s">
        <v>1498</v>
      </c>
      <c r="B81" s="1501" t="s">
        <v>1507</v>
      </c>
      <c r="C81" s="1501"/>
      <c r="D81" s="1501"/>
      <c r="E81" s="1586">
        <v>0</v>
      </c>
      <c r="F81" s="1655">
        <v>0</v>
      </c>
      <c r="G81" s="283">
        <f t="shared" si="2"/>
        <v>0</v>
      </c>
      <c r="H81" s="45"/>
      <c r="I81" s="45"/>
    </row>
    <row r="82" spans="1:10">
      <c r="A82" s="1503" t="s">
        <v>1503</v>
      </c>
      <c r="B82" s="1501" t="s">
        <v>1507</v>
      </c>
      <c r="C82" s="1501"/>
      <c r="D82" s="1501"/>
      <c r="E82" s="1587">
        <v>0</v>
      </c>
      <c r="F82" s="1656">
        <v>0</v>
      </c>
      <c r="G82" s="598">
        <f t="shared" si="2"/>
        <v>0</v>
      </c>
      <c r="H82" s="45"/>
      <c r="I82" s="45"/>
    </row>
    <row r="83" spans="1:10">
      <c r="A83" s="1037">
        <f>+A11+1</f>
        <v>7</v>
      </c>
      <c r="B83" s="1361" t="s">
        <v>308</v>
      </c>
      <c r="C83" s="1361"/>
      <c r="D83" s="1361"/>
      <c r="E83" s="1344">
        <f>SUM(E12:E82)</f>
        <v>25983564.490000006</v>
      </c>
      <c r="F83" s="1657">
        <f>SUM(F12:F82)</f>
        <v>25947222.969999999</v>
      </c>
      <c r="G83" s="1344">
        <f>SUM(G12:G82)</f>
        <v>25965393.730000004</v>
      </c>
      <c r="H83" s="45"/>
      <c r="I83" s="45"/>
    </row>
    <row r="84" spans="1:10">
      <c r="A84" s="596"/>
      <c r="B84" s="45"/>
      <c r="C84" s="45"/>
      <c r="D84" s="45"/>
      <c r="E84" s="45"/>
      <c r="F84" s="1038"/>
      <c r="G84" s="45"/>
    </row>
    <row r="85" spans="1:10">
      <c r="A85" s="45" t="s">
        <v>746</v>
      </c>
      <c r="B85" s="45"/>
      <c r="C85" s="45"/>
      <c r="D85" s="45"/>
      <c r="E85" s="45"/>
      <c r="F85" s="45"/>
      <c r="G85" s="45"/>
    </row>
    <row r="86" spans="1:10" s="730" customFormat="1">
      <c r="A86" s="958" t="s">
        <v>367</v>
      </c>
      <c r="B86" s="1764" t="str">
        <f>+"Reference Appendix A Note "&amp;'Appendix A'!A316</f>
        <v>Reference Appendix A Note M</v>
      </c>
      <c r="C86" s="1764"/>
      <c r="D86" s="1764"/>
      <c r="E86" s="1764"/>
      <c r="F86" s="1764"/>
      <c r="G86" s="1764"/>
      <c r="J86" s="759"/>
    </row>
    <row r="87" spans="1:10">
      <c r="A87" s="958"/>
    </row>
  </sheetData>
  <mergeCells count="5">
    <mergeCell ref="B86:G86"/>
    <mergeCell ref="A1:G1"/>
    <mergeCell ref="A2:G2"/>
    <mergeCell ref="A3:G3"/>
    <mergeCell ref="J14:N19"/>
  </mergeCells>
  <printOptions horizontalCentered="1"/>
  <pageMargins left="0.7" right="0.7" top="0.7" bottom="0.7" header="0.3" footer="0.5"/>
  <pageSetup scale="74" fitToHeight="2" orientation="portrait" r:id="rId1"/>
  <headerFooter>
    <oddFooter>&amp;CPage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Z343"/>
  <sheetViews>
    <sheetView zoomScale="70" zoomScaleNormal="70" zoomScaleSheetLayoutView="90" workbookViewId="0">
      <selection activeCell="I1" sqref="I1:I1048576"/>
    </sheetView>
  </sheetViews>
  <sheetFormatPr defaultColWidth="11.5703125" defaultRowHeight="15"/>
  <cols>
    <col min="1" max="1" width="7" style="2" customWidth="1"/>
    <col min="2" max="2" width="2.140625" style="2" customWidth="1"/>
    <col min="3" max="3" width="45" style="223" customWidth="1"/>
    <col min="4" max="5" width="19.5703125" style="280" customWidth="1"/>
    <col min="6" max="6" width="49.5703125" style="280" bestFit="1" customWidth="1"/>
    <col min="7" max="8" width="17.5703125" style="280" bestFit="1" customWidth="1"/>
    <col min="9" max="9" width="15.28515625" style="257" customWidth="1"/>
    <col min="10" max="10" width="15.85546875" style="280" customWidth="1"/>
    <col min="11" max="16384" width="11.5703125" style="280"/>
  </cols>
  <sheetData>
    <row r="1" spans="1:14" ht="23.25" customHeight="1">
      <c r="A1" s="1699" t="str">
        <f>+"ATTACHMENT O - "&amp;'MISO Cover'!C6</f>
        <v>ATTACHMENT O - Entergy Arkansas, Inc.</v>
      </c>
      <c r="B1" s="1699"/>
      <c r="C1" s="1699"/>
      <c r="D1" s="1699"/>
      <c r="E1" s="1699"/>
      <c r="F1" s="1699"/>
      <c r="G1" s="1699"/>
      <c r="H1" s="1699"/>
      <c r="I1" s="1568"/>
    </row>
    <row r="2" spans="1:14" ht="17.25" customHeight="1">
      <c r="A2" s="67"/>
      <c r="C2" s="2"/>
      <c r="I2" s="1569"/>
    </row>
    <row r="3" spans="1:14" s="485" customFormat="1" ht="18">
      <c r="A3" s="1700" t="str">
        <f>+'MISO Cover'!K4</f>
        <v>For  the 12 Months Ended 12/31/2014</v>
      </c>
      <c r="B3" s="1700"/>
      <c r="C3" s="1700"/>
      <c r="D3" s="1700"/>
      <c r="E3" s="1700"/>
      <c r="F3" s="1700"/>
      <c r="G3" s="1700"/>
      <c r="H3" s="1700"/>
      <c r="I3" s="1570"/>
      <c r="J3" s="472"/>
      <c r="K3" s="472"/>
      <c r="L3" s="472"/>
      <c r="M3" s="472"/>
      <c r="N3" s="472"/>
    </row>
    <row r="4" spans="1:14" ht="16.5" customHeight="1" thickBot="1">
      <c r="A4" s="39"/>
      <c r="C4" s="2"/>
      <c r="I4" s="1117"/>
    </row>
    <row r="5" spans="1:14" s="1" customFormat="1" ht="23.25">
      <c r="A5" s="491" t="s">
        <v>329</v>
      </c>
      <c r="B5" s="492"/>
      <c r="C5" s="492"/>
      <c r="D5" s="492"/>
      <c r="E5" s="493" t="s">
        <v>319</v>
      </c>
      <c r="F5" s="494" t="s">
        <v>656</v>
      </c>
      <c r="G5" s="488" t="s">
        <v>1657</v>
      </c>
      <c r="H5" s="966" t="s">
        <v>768</v>
      </c>
      <c r="I5" s="1117"/>
    </row>
    <row r="6" spans="1:14" s="37" customFormat="1" ht="15.75">
      <c r="A6" s="1159" t="s">
        <v>261</v>
      </c>
      <c r="B6" s="486" t="s">
        <v>309</v>
      </c>
      <c r="C6" s="486" t="s">
        <v>249</v>
      </c>
      <c r="D6" s="486" t="s">
        <v>262</v>
      </c>
      <c r="E6" s="483" t="s">
        <v>260</v>
      </c>
      <c r="F6" s="484" t="s">
        <v>351</v>
      </c>
      <c r="G6" s="484" t="s">
        <v>263</v>
      </c>
      <c r="H6" s="1580" t="s">
        <v>364</v>
      </c>
      <c r="I6" s="1117"/>
    </row>
    <row r="7" spans="1:14">
      <c r="A7" s="77"/>
      <c r="B7" s="1513"/>
      <c r="C7" s="1514"/>
      <c r="D7" s="1514"/>
      <c r="E7" s="1515"/>
      <c r="F7" s="967"/>
      <c r="G7" s="1511"/>
      <c r="H7" s="1512"/>
    </row>
    <row r="8" spans="1:14" s="281" customFormat="1" ht="16.5" thickBot="1">
      <c r="A8" s="1160" t="s">
        <v>280</v>
      </c>
      <c r="B8" s="261"/>
      <c r="C8" s="259"/>
      <c r="D8" s="259"/>
      <c r="E8" s="1089" t="str">
        <f>"(Note "&amp;A$328&amp;")"</f>
        <v>(Note Y)</v>
      </c>
      <c r="F8" s="260"/>
      <c r="G8" s="489"/>
      <c r="H8" s="490"/>
      <c r="I8" s="257"/>
    </row>
    <row r="9" spans="1:14" s="281" customFormat="1" ht="15.75">
      <c r="A9" s="103"/>
      <c r="B9" s="104"/>
      <c r="C9" s="104"/>
      <c r="D9" s="104"/>
      <c r="E9" s="105"/>
      <c r="F9" s="131"/>
      <c r="G9" s="106"/>
      <c r="H9" s="1164"/>
      <c r="I9" s="257"/>
    </row>
    <row r="10" spans="1:14" ht="15.75">
      <c r="A10" s="107"/>
      <c r="B10" s="5" t="s">
        <v>281</v>
      </c>
      <c r="C10" s="9"/>
      <c r="D10" s="9"/>
      <c r="E10" s="110"/>
      <c r="F10" s="137"/>
      <c r="G10" s="71"/>
      <c r="H10" s="1165"/>
    </row>
    <row r="11" spans="1:14">
      <c r="A11" s="77">
        <v>1</v>
      </c>
      <c r="B11" s="33"/>
      <c r="C11" s="15" t="s">
        <v>257</v>
      </c>
      <c r="D11" s="109"/>
      <c r="E11" s="36"/>
      <c r="F11" s="137" t="str">
        <f>+"WP03 W&amp;S Line "&amp;'WP03 W&amp;S'!A10&amp;" Column "&amp;'WP03 W&amp;S'!C5</f>
        <v>WP03 W&amp;S Line 2 Column B</v>
      </c>
      <c r="G11" s="102">
        <f>'WP03 W&amp;S'!C10</f>
        <v>12135919</v>
      </c>
      <c r="H11" s="1166">
        <f>'WP03 W&amp;S'!C10</f>
        <v>12135919</v>
      </c>
    </row>
    <row r="12" spans="1:14">
      <c r="A12" s="77">
        <f>+A11+1</f>
        <v>2</v>
      </c>
      <c r="B12" s="33"/>
      <c r="C12" s="479" t="s">
        <v>964</v>
      </c>
      <c r="D12" s="962"/>
      <c r="E12" s="76" t="str">
        <f>"(Note "&amp;A$335&amp;")"</f>
        <v>(Note FF)</v>
      </c>
      <c r="F12" s="138" t="str">
        <f>+"WP02 Support Line "&amp;'WP02 Support'!A18&amp;" Column "&amp;'WP02 Support'!D5</f>
        <v>WP02 Support Line 5 Column C</v>
      </c>
      <c r="G12" s="703">
        <f>+'WP02 Support'!D18</f>
        <v>272210.60287847108</v>
      </c>
      <c r="H12" s="1167">
        <f>+'WP02 Support'!D18</f>
        <v>272210.60287847108</v>
      </c>
    </row>
    <row r="13" spans="1:14">
      <c r="A13" s="77">
        <f>+A12+1</f>
        <v>3</v>
      </c>
      <c r="B13" s="33"/>
      <c r="C13" s="15" t="s">
        <v>963</v>
      </c>
      <c r="D13" s="109"/>
      <c r="E13" s="36"/>
      <c r="F13" s="963" t="str">
        <f>"(Line "&amp;A11&amp;" + Line "&amp;A12&amp;")"</f>
        <v>(Line 1 + Line 2)</v>
      </c>
      <c r="G13" s="780">
        <f>+G11+G12</f>
        <v>12408129.602878472</v>
      </c>
      <c r="H13" s="1166">
        <f>+H11+H12</f>
        <v>12408129.602878472</v>
      </c>
    </row>
    <row r="14" spans="1:14">
      <c r="A14" s="77"/>
      <c r="B14" s="33"/>
      <c r="C14" s="15"/>
      <c r="D14" s="109"/>
      <c r="E14" s="36"/>
      <c r="F14" s="137"/>
      <c r="G14" s="471"/>
      <c r="H14" s="1166"/>
    </row>
    <row r="15" spans="1:14">
      <c r="A15" s="77">
        <f>+A13+1</f>
        <v>4</v>
      </c>
      <c r="B15" s="33"/>
      <c r="C15" s="15" t="s">
        <v>258</v>
      </c>
      <c r="D15" s="15"/>
      <c r="E15" s="36"/>
      <c r="F15" s="137" t="str">
        <f>+"WP03 W&amp;S Line "&amp;'WP03 W&amp;S'!A27&amp;" Column "&amp;'WP03 W&amp;S'!C5</f>
        <v>WP03 W&amp;S Line 5 Column B</v>
      </c>
      <c r="G15" s="102">
        <f>'WP03 W&amp;S'!C27</f>
        <v>198835287</v>
      </c>
      <c r="H15" s="1166">
        <f>'WP03 W&amp;S'!C27</f>
        <v>198835287</v>
      </c>
    </row>
    <row r="16" spans="1:14">
      <c r="A16" s="77">
        <f>+A15+1</f>
        <v>5</v>
      </c>
      <c r="B16" s="33"/>
      <c r="C16" s="479" t="s">
        <v>966</v>
      </c>
      <c r="D16" s="962"/>
      <c r="E16" s="76" t="str">
        <f>"(Note "&amp;A$335&amp;")"</f>
        <v>(Note FF)</v>
      </c>
      <c r="F16" s="138" t="str">
        <f>+"WP02 Support Line "&amp;'WP02 Support'!A28&amp;" Column "&amp;'WP02 Support'!D5</f>
        <v>WP02 Support Line 8 Column C</v>
      </c>
      <c r="G16" s="703">
        <f>+'WP02 Support'!D28</f>
        <v>159733.10738137993</v>
      </c>
      <c r="H16" s="1167">
        <f>+'WP02 Support'!D28</f>
        <v>159733.10738137993</v>
      </c>
    </row>
    <row r="17" spans="1:8">
      <c r="A17" s="77">
        <f>+A16+1</f>
        <v>6</v>
      </c>
      <c r="B17" s="33"/>
      <c r="C17" s="15" t="s">
        <v>965</v>
      </c>
      <c r="D17" s="109"/>
      <c r="E17" s="36"/>
      <c r="F17" s="50" t="str">
        <f>"(Line "&amp;A15&amp;" + Line "&amp;A16&amp;")"</f>
        <v>(Line 4 + Line 5)</v>
      </c>
      <c r="G17" s="102">
        <f>+G15+G16</f>
        <v>198995020.10738137</v>
      </c>
      <c r="H17" s="1166">
        <f>+H15+H16</f>
        <v>198995020.10738137</v>
      </c>
    </row>
    <row r="18" spans="1:8">
      <c r="A18" s="77"/>
      <c r="B18" s="33"/>
      <c r="C18" s="15"/>
      <c r="D18" s="15"/>
      <c r="E18" s="36"/>
      <c r="F18" s="137"/>
      <c r="G18" s="102"/>
      <c r="H18" s="1166"/>
    </row>
    <row r="19" spans="1:8">
      <c r="A19" s="77">
        <f>+A17+1</f>
        <v>7</v>
      </c>
      <c r="B19" s="33"/>
      <c r="C19" s="15" t="s">
        <v>968</v>
      </c>
      <c r="D19" s="15"/>
      <c r="E19" s="36"/>
      <c r="F19" s="137" t="str">
        <f>+"WP03 W&amp;S Line "&amp;'WP03 W&amp;S'!A33&amp;" Column "&amp;'WP03 W&amp;S'!C5</f>
        <v>WP03 W&amp;S Line 8 Column B</v>
      </c>
      <c r="G19" s="102">
        <f>'WP03 W&amp;S'!C33</f>
        <v>35349237</v>
      </c>
      <c r="H19" s="1166">
        <f>'WP03 W&amp;S'!C33</f>
        <v>35349237</v>
      </c>
    </row>
    <row r="20" spans="1:8">
      <c r="A20" s="77">
        <f>+A19+1</f>
        <v>8</v>
      </c>
      <c r="B20" s="33"/>
      <c r="C20" s="479" t="s">
        <v>962</v>
      </c>
      <c r="D20" s="962"/>
      <c r="E20" s="76" t="str">
        <f>"(Note "&amp;A$335&amp;")"</f>
        <v>(Note FF)</v>
      </c>
      <c r="F20" s="138" t="str">
        <f>+"WP02 Support Line "&amp;'WP02 Support'!A38&amp;" Column "&amp;'WP02 Support'!D5</f>
        <v>WP02 Support Line 11 Column C</v>
      </c>
      <c r="G20" s="703">
        <f>+'WP02 Support'!D38</f>
        <v>-104034.75754579429</v>
      </c>
      <c r="H20" s="1167">
        <f>+'WP02 Support'!D38</f>
        <v>-104034.75754579429</v>
      </c>
    </row>
    <row r="21" spans="1:8">
      <c r="A21" s="77">
        <f>+A20+1</f>
        <v>9</v>
      </c>
      <c r="B21" s="33"/>
      <c r="C21" s="15" t="s">
        <v>1244</v>
      </c>
      <c r="D21" s="109"/>
      <c r="E21" s="36"/>
      <c r="F21" s="50" t="str">
        <f>"(Line "&amp;A19&amp;" + Line "&amp;A20&amp;")"</f>
        <v>(Line 7 + Line 8)</v>
      </c>
      <c r="G21" s="102">
        <f>+G19+G20</f>
        <v>35245202.242454208</v>
      </c>
      <c r="H21" s="1166">
        <f>+H19+H20</f>
        <v>35245202.242454208</v>
      </c>
    </row>
    <row r="22" spans="1:8">
      <c r="A22" s="77"/>
      <c r="B22" s="33"/>
      <c r="C22" s="15"/>
      <c r="D22" s="15"/>
      <c r="E22" s="36"/>
      <c r="F22" s="137"/>
      <c r="G22" s="102"/>
      <c r="H22" s="1166"/>
    </row>
    <row r="23" spans="1:8">
      <c r="A23" s="77">
        <f>+A21+1</f>
        <v>10</v>
      </c>
      <c r="B23" s="33"/>
      <c r="C23" s="300" t="s">
        <v>967</v>
      </c>
      <c r="D23" s="301"/>
      <c r="E23" s="302"/>
      <c r="F23" s="967" t="str">
        <f>"(Line "&amp;A17&amp;" - Line "&amp;A21&amp;")"</f>
        <v>(Line 6 - Line 9)</v>
      </c>
      <c r="G23" s="969">
        <f>+G17-G21</f>
        <v>163749817.86492717</v>
      </c>
      <c r="H23" s="1168">
        <f>+H17-H21</f>
        <v>163749817.86492717</v>
      </c>
    </row>
    <row r="24" spans="1:8" ht="16.5" thickBot="1">
      <c r="A24" s="77">
        <f>+A23+1</f>
        <v>11</v>
      </c>
      <c r="B24" s="3" t="s">
        <v>296</v>
      </c>
      <c r="C24" s="3"/>
      <c r="D24" s="19"/>
      <c r="E24" s="53"/>
      <c r="F24" s="968" t="str">
        <f>"(Line "&amp;A13&amp;" / Line "&amp;A23&amp;")"</f>
        <v>(Line 3 / Line 10)</v>
      </c>
      <c r="G24" s="1516">
        <f>IF(G23=0,0,+G13/G23)</f>
        <v>7.5774921552056965E-2</v>
      </c>
      <c r="H24" s="1573">
        <f>IF(H23=0,0,+H13/H23)</f>
        <v>7.5774921552056965E-2</v>
      </c>
    </row>
    <row r="25" spans="1:8" ht="16.5" thickTop="1">
      <c r="A25" s="77"/>
      <c r="B25" s="33"/>
      <c r="C25" s="5"/>
      <c r="D25" s="9"/>
      <c r="E25" s="110"/>
      <c r="F25" s="144"/>
      <c r="G25" s="88"/>
      <c r="H25" s="1169"/>
    </row>
    <row r="26" spans="1:8" ht="15.75">
      <c r="A26" s="114"/>
      <c r="B26" s="5" t="s">
        <v>304</v>
      </c>
      <c r="C26" s="9"/>
      <c r="D26" s="15"/>
      <c r="E26" s="15"/>
      <c r="F26" s="133"/>
      <c r="G26" s="89"/>
      <c r="H26" s="1170"/>
    </row>
    <row r="27" spans="1:8">
      <c r="A27" s="77">
        <f>+A24+1</f>
        <v>12</v>
      </c>
      <c r="B27" s="15"/>
      <c r="C27" s="15" t="s">
        <v>748</v>
      </c>
      <c r="D27" s="473"/>
      <c r="E27" s="36" t="str">
        <f>"(Notes "&amp;A$305&amp;" "&amp;"&amp; "&amp;A$322&amp;")"</f>
        <v>(Notes B &amp; S)</v>
      </c>
      <c r="F27" s="137" t="str">
        <f>+"WP04 PIS Line "&amp;'WP04 PIS'!$A$23&amp;", Line "&amp;'WP04 PIS'!$A$21&amp;" Column "&amp;'WP04 PIS'!$L$5</f>
        <v>WP04 PIS Line 18, Line 16 Column K</v>
      </c>
      <c r="G27" s="102">
        <f>+'WP04 PIS'!L23</f>
        <v>8948205195.100771</v>
      </c>
      <c r="H27" s="1166">
        <f>+'WP04 PIS'!L21</f>
        <v>9108209612.5600033</v>
      </c>
    </row>
    <row r="28" spans="1:8">
      <c r="A28" s="77">
        <f>+A27+1</f>
        <v>13</v>
      </c>
      <c r="B28" s="9"/>
      <c r="C28" s="479" t="s">
        <v>749</v>
      </c>
      <c r="D28" s="68"/>
      <c r="E28" s="76" t="str">
        <f>"(Notes "&amp;A$305&amp;" "&amp;"&amp; "&amp;A$322&amp;")"</f>
        <v>(Notes B &amp; S)</v>
      </c>
      <c r="F28" s="138" t="str">
        <f>+"WP04 PIS Line "&amp;'WP04 PIS'!$A$42&amp;", Line "&amp;'WP04 PIS'!$A$40&amp;" Column "&amp;'WP04 PIS'!$L$5</f>
        <v>WP04 PIS Line 37, Line 35 Column K</v>
      </c>
      <c r="G28" s="703">
        <f>+'WP04 PIS'!L42</f>
        <v>4089737984.7838464</v>
      </c>
      <c r="H28" s="1167">
        <f>+'WP04 PIS'!L40</f>
        <v>4160750633.8800001</v>
      </c>
    </row>
    <row r="29" spans="1:8">
      <c r="A29" s="77">
        <f>+A28+1</f>
        <v>14</v>
      </c>
      <c r="B29" s="15"/>
      <c r="C29" s="15" t="s">
        <v>750</v>
      </c>
      <c r="D29" s="15"/>
      <c r="E29" s="36"/>
      <c r="F29" s="137" t="str">
        <f>"(Line "&amp;A27&amp;" - Line "&amp;A28&amp;")"</f>
        <v>(Line 12 - Line 13)</v>
      </c>
      <c r="G29" s="102">
        <f>+G27-G28</f>
        <v>4858467210.316925</v>
      </c>
      <c r="H29" s="1166">
        <f>+H27-H28</f>
        <v>4947458978.6800032</v>
      </c>
    </row>
    <row r="30" spans="1:8">
      <c r="A30" s="114"/>
      <c r="B30" s="15"/>
      <c r="C30" s="15"/>
      <c r="D30" s="15"/>
      <c r="E30" s="36"/>
      <c r="F30" s="133"/>
      <c r="G30" s="694"/>
      <c r="H30" s="1171"/>
    </row>
    <row r="31" spans="1:8">
      <c r="A31" s="77">
        <f>+A29+1</f>
        <v>15</v>
      </c>
      <c r="B31" s="15"/>
      <c r="C31" s="15" t="str">
        <f>+B50</f>
        <v>TOTAL Plant In Service - Transmission</v>
      </c>
      <c r="D31" s="473"/>
      <c r="E31" s="36"/>
      <c r="F31" s="138" t="str">
        <f>"(Line "&amp;A50&amp;")"</f>
        <v>(Line 27)</v>
      </c>
      <c r="G31" s="694">
        <f>+G50</f>
        <v>1613214898.0875421</v>
      </c>
      <c r="H31" s="1171">
        <f>+H50</f>
        <v>1745434282.3024402</v>
      </c>
    </row>
    <row r="32" spans="1:8" ht="16.5" thickBot="1">
      <c r="A32" s="77">
        <f>+A31+1</f>
        <v>16</v>
      </c>
      <c r="B32" s="163" t="s">
        <v>250</v>
      </c>
      <c r="C32" s="163"/>
      <c r="D32" s="474"/>
      <c r="E32" s="475"/>
      <c r="F32" s="134" t="str">
        <f>"(Line "&amp;A31&amp;" / Line "&amp;A27&amp;")"</f>
        <v>(Line 15 / Line 12)</v>
      </c>
      <c r="G32" s="1516">
        <f>IF(G27=0,0,+G31/G27)</f>
        <v>0.18028362815939813</v>
      </c>
      <c r="H32" s="1516">
        <f>IF(H27=0,0,+H31/H27)</f>
        <v>0.19163308230143583</v>
      </c>
    </row>
    <row r="33" spans="1:9" ht="15.75" thickTop="1">
      <c r="A33" s="114"/>
      <c r="B33" s="9"/>
      <c r="C33" s="9"/>
      <c r="D33" s="9"/>
      <c r="E33" s="36"/>
      <c r="F33" s="133"/>
      <c r="G33" s="89"/>
      <c r="H33" s="1170"/>
    </row>
    <row r="34" spans="1:9">
      <c r="A34" s="77">
        <f>+A32+1</f>
        <v>17</v>
      </c>
      <c r="B34" s="33"/>
      <c r="C34" s="61" t="str">
        <f>+B63</f>
        <v>TOTAL Net Property, Plant &amp; Equipment - Transmission</v>
      </c>
      <c r="D34" s="9"/>
      <c r="E34" s="36" t="str">
        <f>"(Notes "&amp;A$305&amp;" &amp; "&amp;A$322&amp;")"</f>
        <v>(Notes B &amp; S)</v>
      </c>
      <c r="F34" s="138" t="str">
        <f>"(Line "&amp;A63&amp;")"</f>
        <v>(Line 35)</v>
      </c>
      <c r="G34" s="694">
        <f>+G63</f>
        <v>1133330860.8955531</v>
      </c>
      <c r="H34" s="1171">
        <f>+H63</f>
        <v>1264602698.718394</v>
      </c>
    </row>
    <row r="35" spans="1:9" ht="16.5" thickBot="1">
      <c r="A35" s="77">
        <f>+A34+1</f>
        <v>18</v>
      </c>
      <c r="B35" s="163" t="s">
        <v>301</v>
      </c>
      <c r="C35" s="163"/>
      <c r="D35" s="474"/>
      <c r="E35" s="475"/>
      <c r="F35" s="134" t="str">
        <f>"(Line "&amp;A34&amp;" / Line "&amp;A29&amp;")"</f>
        <v>(Line 17 / Line 14)</v>
      </c>
      <c r="G35" s="1516">
        <f>IF(G29=0,0,+G34/G29)</f>
        <v>0.23326922089520993</v>
      </c>
      <c r="H35" s="1516">
        <f>IF(H29=0,0,+H34/H29)</f>
        <v>0.25560650511058786</v>
      </c>
    </row>
    <row r="36" spans="1:9" ht="16.5" thickTop="1">
      <c r="A36" s="127"/>
      <c r="B36" s="33"/>
      <c r="C36" s="5"/>
      <c r="D36" s="9"/>
      <c r="E36" s="110"/>
      <c r="F36" s="144"/>
      <c r="G36" s="88"/>
      <c r="H36" s="1172"/>
    </row>
    <row r="37" spans="1:9" s="281" customFormat="1" ht="16.149999999999999" customHeight="1">
      <c r="A37" s="1161" t="s">
        <v>300</v>
      </c>
      <c r="B37" s="263"/>
      <c r="C37" s="264"/>
      <c r="D37" s="264"/>
      <c r="E37" s="265"/>
      <c r="F37" s="266"/>
      <c r="G37" s="267"/>
      <c r="H37" s="1173"/>
      <c r="I37" s="257"/>
    </row>
    <row r="38" spans="1:9" s="281" customFormat="1" ht="15.75">
      <c r="A38" s="113"/>
      <c r="B38" s="20"/>
      <c r="C38" s="9"/>
      <c r="D38" s="9"/>
      <c r="E38" s="52"/>
      <c r="F38" s="133"/>
      <c r="G38" s="90"/>
      <c r="H38" s="1174"/>
      <c r="I38" s="257"/>
    </row>
    <row r="39" spans="1:9" ht="15.75">
      <c r="A39" s="114"/>
      <c r="B39" s="5" t="str">
        <f>"Plant In Service "</f>
        <v xml:space="preserve">Plant In Service </v>
      </c>
      <c r="C39" s="9"/>
      <c r="D39" s="9"/>
      <c r="E39" s="110"/>
      <c r="F39" s="137"/>
      <c r="G39" s="71"/>
      <c r="H39" s="1175"/>
    </row>
    <row r="40" spans="1:9" ht="15.75">
      <c r="A40" s="114">
        <f>+A35+1</f>
        <v>19</v>
      </c>
      <c r="B40" s="5"/>
      <c r="C40" s="9" t="s">
        <v>939</v>
      </c>
      <c r="D40" s="9"/>
      <c r="E40" s="36" t="str">
        <f>"(Notes "&amp;A$305&amp;" &amp; "&amp;A$322&amp;")"</f>
        <v>(Notes B &amp; S)</v>
      </c>
      <c r="F40" s="137" t="str">
        <f>+"WP04 PIS Line "&amp;'WP04 PIS'!$A$23&amp;", Line "&amp;'WP04 PIS'!$A$21&amp;" Column "&amp;'WP04 PIS'!$G$5</f>
        <v>WP04 PIS Line 18, Line 16 Column F</v>
      </c>
      <c r="G40" s="102">
        <f>+'WP04 PIS'!G23</f>
        <v>1570842008.670769</v>
      </c>
      <c r="H40" s="1166">
        <f>+'WP04 PIS'!G21</f>
        <v>1622596644.0500002</v>
      </c>
    </row>
    <row r="41" spans="1:9" ht="15.75">
      <c r="A41" s="114">
        <f>+A40+1</f>
        <v>20</v>
      </c>
      <c r="B41" s="5"/>
      <c r="C41" s="68" t="s">
        <v>940</v>
      </c>
      <c r="D41" s="68"/>
      <c r="E41" s="1082" t="str">
        <f>"(Notes "&amp;A$305&amp;" &amp; "&amp;A$322&amp;")"</f>
        <v>(Notes B &amp; S)</v>
      </c>
      <c r="F41" s="279" t="str">
        <f>+"WP05 CapAds Line "&amp;'WP05 CapAds'!$A$22&amp;" Column "&amp;'WP05 CapAds'!$D$6</f>
        <v>WP05 CapAds Line 16 Column C</v>
      </c>
      <c r="G41" s="703"/>
      <c r="H41" s="1167">
        <f>+'WP05 CapAds'!D22</f>
        <v>81201607.556222245</v>
      </c>
    </row>
    <row r="42" spans="1:9" ht="14.45" customHeight="1">
      <c r="A42" s="114">
        <f>+A41+1</f>
        <v>21</v>
      </c>
      <c r="B42" s="33"/>
      <c r="C42" s="61" t="s">
        <v>232</v>
      </c>
      <c r="D42" s="9"/>
      <c r="E42" s="1065"/>
      <c r="F42" s="137" t="str">
        <f>"(Line"&amp;A40&amp;" + Line "&amp;A41&amp;")"</f>
        <v>(Line19 + Line 20)</v>
      </c>
      <c r="G42" s="102">
        <f>+G40+G41</f>
        <v>1570842008.670769</v>
      </c>
      <c r="H42" s="1166">
        <f>+H40+H41</f>
        <v>1703798251.6062224</v>
      </c>
    </row>
    <row r="43" spans="1:9" ht="15.75">
      <c r="A43" s="77"/>
      <c r="B43" s="33"/>
      <c r="C43" s="5"/>
      <c r="D43" s="9"/>
      <c r="E43" s="36"/>
      <c r="F43" s="137"/>
      <c r="G43" s="74"/>
      <c r="H43" s="1176"/>
    </row>
    <row r="44" spans="1:9">
      <c r="A44" s="77">
        <f>+A42+1</f>
        <v>22</v>
      </c>
      <c r="B44" s="33"/>
      <c r="C44" s="61" t="s">
        <v>397</v>
      </c>
      <c r="D44" s="9"/>
      <c r="E44" s="36" t="str">
        <f>"(Notes "&amp;A$305&amp;" &amp; "&amp;A$322&amp;")"</f>
        <v>(Notes B &amp; S)</v>
      </c>
      <c r="F44" s="137" t="str">
        <f>+"WP04 PIS Line "&amp;'WP04 PIS'!$A$23&amp;", Line "&amp;'WP04 PIS'!$A$21&amp;" Column "&amp;'WP04 PIS'!$K$5</f>
        <v>WP04 PIS Line 18, Line 16 Column J</v>
      </c>
      <c r="G44" s="102">
        <f>+'WP04 PIS'!K23</f>
        <v>175993559.52384621</v>
      </c>
      <c r="H44" s="1166">
        <f>+'WP04 PIS'!K21</f>
        <v>170366506.82000008</v>
      </c>
    </row>
    <row r="45" spans="1:9">
      <c r="A45" s="77">
        <f>+A44+1</f>
        <v>23</v>
      </c>
      <c r="B45" s="33"/>
      <c r="C45" s="61" t="s">
        <v>609</v>
      </c>
      <c r="D45" s="9"/>
      <c r="E45" s="36" t="str">
        <f>"(Notes "&amp;A$305&amp;" &amp; "&amp;A$322&amp;")"</f>
        <v>(Notes B &amp; S)</v>
      </c>
      <c r="F45" s="138" t="str">
        <f>+"WP04 PIS Line "&amp;'WP04 PIS'!$A$23&amp;", Line "&amp;'WP04 PIS'!$A$21&amp;" Column "&amp;'WP04 PIS'!$C$5</f>
        <v>WP04 PIS Line 18, Line 16 Column B</v>
      </c>
      <c r="G45" s="703">
        <f>+'WP04 PIS'!C23</f>
        <v>383200545.18615377</v>
      </c>
      <c r="H45" s="1167">
        <f>+'WP04 PIS'!C21</f>
        <v>379103289.29999995</v>
      </c>
    </row>
    <row r="46" spans="1:9">
      <c r="A46" s="77">
        <f>+A45+1</f>
        <v>24</v>
      </c>
      <c r="B46" s="33"/>
      <c r="C46" s="300" t="s">
        <v>608</v>
      </c>
      <c r="D46" s="303"/>
      <c r="E46" s="304"/>
      <c r="F46" s="137" t="str">
        <f>"(Line"&amp;A44&amp;" + Line "&amp;A45&amp;")"</f>
        <v>(Line22 + Line 23)</v>
      </c>
      <c r="G46" s="102">
        <f>SUM(G44:G45)</f>
        <v>559194104.71000004</v>
      </c>
      <c r="H46" s="1166">
        <f>SUM(H44:H45)</f>
        <v>549469796.12</v>
      </c>
    </row>
    <row r="47" spans="1:9">
      <c r="A47" s="77">
        <f>+A46+1</f>
        <v>25</v>
      </c>
      <c r="B47" s="33"/>
      <c r="C47" s="58" t="s">
        <v>305</v>
      </c>
      <c r="D47" s="61"/>
      <c r="E47" s="110"/>
      <c r="F47" s="138" t="str">
        <f>"(Line "&amp;A$24&amp;")"</f>
        <v>(Line 11)</v>
      </c>
      <c r="G47" s="83">
        <f>+G24</f>
        <v>7.5774921552056965E-2</v>
      </c>
      <c r="H47" s="1177">
        <f>H$24</f>
        <v>7.5774921552056965E-2</v>
      </c>
    </row>
    <row r="48" spans="1:9">
      <c r="A48" s="77">
        <f>+A47+1</f>
        <v>26</v>
      </c>
      <c r="B48" s="15"/>
      <c r="C48" s="300" t="s">
        <v>610</v>
      </c>
      <c r="D48" s="306"/>
      <c r="E48" s="302"/>
      <c r="F48" s="137" t="str">
        <f>"(Line "&amp;A46&amp;" * Line "&amp;A47&amp;")"</f>
        <v>(Line 24 * Line 25)</v>
      </c>
      <c r="G48" s="102">
        <f>+G46*G47</f>
        <v>42372889.416772984</v>
      </c>
      <c r="H48" s="1166">
        <f>+H46*H47</f>
        <v>41636030.696217738</v>
      </c>
    </row>
    <row r="49" spans="1:9" ht="15.75">
      <c r="A49" s="114"/>
      <c r="B49" s="15"/>
      <c r="C49" s="5"/>
      <c r="D49" s="15"/>
      <c r="E49" s="36"/>
      <c r="F49" s="133"/>
      <c r="G49" s="102"/>
      <c r="H49" s="1166"/>
    </row>
    <row r="50" spans="1:9" s="1" customFormat="1" ht="16.5" thickBot="1">
      <c r="A50" s="77">
        <f>+A48+1</f>
        <v>27</v>
      </c>
      <c r="B50" s="163" t="s">
        <v>751</v>
      </c>
      <c r="C50" s="163"/>
      <c r="D50" s="163"/>
      <c r="E50" s="164"/>
      <c r="F50" s="476" t="str">
        <f>"(Line "&amp;A42&amp;" + Line "&amp;A48&amp;")"</f>
        <v>(Line 21 + Line 26)</v>
      </c>
      <c r="G50" s="628">
        <f>+G48+G42</f>
        <v>1613214898.0875421</v>
      </c>
      <c r="H50" s="1178">
        <f>+H48+H42</f>
        <v>1745434282.3024402</v>
      </c>
      <c r="I50" s="1117"/>
    </row>
    <row r="51" spans="1:9" ht="15.75" thickTop="1">
      <c r="A51" s="114"/>
      <c r="B51" s="15"/>
      <c r="C51" s="15"/>
      <c r="D51" s="15"/>
      <c r="E51" s="36"/>
      <c r="F51" s="133"/>
      <c r="G51" s="694"/>
      <c r="H51" s="1171"/>
    </row>
    <row r="52" spans="1:9" ht="15.75">
      <c r="A52" s="77"/>
      <c r="B52" s="5" t="s">
        <v>277</v>
      </c>
      <c r="C52" s="5"/>
      <c r="D52" s="50"/>
      <c r="E52" s="110"/>
      <c r="F52" s="137"/>
      <c r="G52" s="102"/>
      <c r="H52" s="1166"/>
    </row>
    <row r="53" spans="1:9" s="281" customFormat="1">
      <c r="A53" s="77">
        <f>+A50+1</f>
        <v>28</v>
      </c>
      <c r="B53" s="33"/>
      <c r="C53" s="61" t="s">
        <v>359</v>
      </c>
      <c r="D53" s="34"/>
      <c r="E53" s="36" t="str">
        <f>"(Notes "&amp;A$305&amp;" &amp; "&amp;A$322&amp;")"</f>
        <v>(Notes B &amp; S)</v>
      </c>
      <c r="F53" s="137" t="str">
        <f>+"WP04 PIS Line "&amp;'WP04 PIS'!$A$42&amp;", Line "&amp;'WP04 PIS'!$A$40&amp;" Column "&amp;'WP04 PIS'!$G$5</f>
        <v>WP04 PIS Line 37, Line 35 Column F</v>
      </c>
      <c r="G53" s="779">
        <f>+'WP04 PIS'!G42</f>
        <v>450891603.1769231</v>
      </c>
      <c r="H53" s="1167">
        <f>+'WP04 PIS'!G40</f>
        <v>451320245.48999995</v>
      </c>
      <c r="I53" s="257"/>
    </row>
    <row r="54" spans="1:9" s="281" customFormat="1">
      <c r="A54" s="77"/>
      <c r="B54" s="33"/>
      <c r="C54" s="61"/>
      <c r="D54" s="34"/>
      <c r="E54" s="15"/>
      <c r="F54" s="137"/>
      <c r="G54" s="780"/>
      <c r="H54" s="1166"/>
      <c r="I54" s="257"/>
    </row>
    <row r="55" spans="1:9">
      <c r="A55" s="77">
        <f>+A53+1</f>
        <v>29</v>
      </c>
      <c r="B55" s="33"/>
      <c r="C55" s="61" t="s">
        <v>327</v>
      </c>
      <c r="D55" s="9"/>
      <c r="E55" s="36" t="str">
        <f>"(Notes "&amp;A$305&amp;" &amp; "&amp;A$322&amp;")"</f>
        <v>(Notes B &amp; S)</v>
      </c>
      <c r="F55" s="137" t="str">
        <f>+"WP04 PIS Line "&amp;'WP04 PIS'!$A$42&amp;", Line "&amp;'WP04 PIS'!$A$40&amp;" Column "&amp;'WP04 PIS'!$K$5</f>
        <v>WP04 PIS Line 37, Line 35 Column J</v>
      </c>
      <c r="G55" s="102">
        <f>+'WP04 PIS'!K42</f>
        <v>71754545.993076921</v>
      </c>
      <c r="H55" s="1166">
        <f>+'WP04 PIS'!K40</f>
        <v>70516170.209999993</v>
      </c>
    </row>
    <row r="56" spans="1:9">
      <c r="A56" s="77">
        <f>+A55+1</f>
        <v>30</v>
      </c>
      <c r="B56" s="33"/>
      <c r="C56" s="63" t="s">
        <v>358</v>
      </c>
      <c r="D56" s="68"/>
      <c r="E56" s="76" t="str">
        <f>"(Notes "&amp;A$305&amp;" &amp; "&amp;A$322&amp;")"</f>
        <v>(Notes B &amp; S)</v>
      </c>
      <c r="F56" s="138" t="str">
        <f>+"WP04 PIS Line "&amp;'WP04 PIS'!$A$42&amp;", Line "&amp;'WP04 PIS'!$A$40&amp;" Column "&amp;'WP04 PIS'!$C$5</f>
        <v>WP04 PIS Line 37, Line 35 Column B</v>
      </c>
      <c r="G56" s="703">
        <f>+'WP04 PIS'!C42</f>
        <v>310857978.32538462</v>
      </c>
      <c r="H56" s="1167">
        <f>+'WP04 PIS'!C40</f>
        <v>318944320.01000005</v>
      </c>
    </row>
    <row r="57" spans="1:9">
      <c r="A57" s="77">
        <f>+A56+1</f>
        <v>31</v>
      </c>
      <c r="B57" s="33"/>
      <c r="C57" s="61" t="s">
        <v>930</v>
      </c>
      <c r="D57" s="9"/>
      <c r="E57" s="110"/>
      <c r="F57" s="137" t="str">
        <f>"(Sum Line "&amp;A55&amp;" + Line "&amp;A56&amp;")"</f>
        <v>(Sum Line 29 + Line 30)</v>
      </c>
      <c r="G57" s="102">
        <f>SUM(G55:G56)</f>
        <v>382612524.31846154</v>
      </c>
      <c r="H57" s="1166">
        <f>SUM(H55:H56)</f>
        <v>389460490.22000003</v>
      </c>
    </row>
    <row r="58" spans="1:9">
      <c r="A58" s="77">
        <f>+A57+1</f>
        <v>32</v>
      </c>
      <c r="B58" s="33"/>
      <c r="C58" s="61" t="str">
        <f>+C47</f>
        <v>Wage &amp; Salary Allocation Factor</v>
      </c>
      <c r="D58" s="9"/>
      <c r="E58" s="110"/>
      <c r="F58" s="138" t="str">
        <f>"(Line "&amp;A$24&amp;")"</f>
        <v>(Line 11)</v>
      </c>
      <c r="G58" s="83">
        <f>+G24</f>
        <v>7.5774921552056965E-2</v>
      </c>
      <c r="H58" s="1177">
        <f>H$24</f>
        <v>7.5774921552056965E-2</v>
      </c>
    </row>
    <row r="59" spans="1:9">
      <c r="A59" s="77">
        <f>+A58+1</f>
        <v>33</v>
      </c>
      <c r="B59" s="15"/>
      <c r="C59" s="300" t="s">
        <v>611</v>
      </c>
      <c r="D59" s="306"/>
      <c r="E59" s="304"/>
      <c r="F59" s="137" t="str">
        <f>"(Line "&amp;A57&amp;" * Line "&amp;A58&amp;")"</f>
        <v>(Line 31 * Line 32)</v>
      </c>
      <c r="G59" s="102">
        <f>+G58*G57</f>
        <v>28992434.015065912</v>
      </c>
      <c r="H59" s="1166">
        <f>+H58*H57</f>
        <v>29511338.094046149</v>
      </c>
    </row>
    <row r="60" spans="1:9">
      <c r="A60" s="114"/>
      <c r="B60" s="15"/>
      <c r="C60" s="15"/>
      <c r="D60" s="15"/>
      <c r="E60" s="36"/>
      <c r="F60" s="133"/>
      <c r="G60" s="725"/>
      <c r="H60" s="1179"/>
    </row>
    <row r="61" spans="1:9" ht="16.5" thickBot="1">
      <c r="A61" s="77">
        <f>+A59+1</f>
        <v>34</v>
      </c>
      <c r="B61" s="163" t="s">
        <v>752</v>
      </c>
      <c r="C61" s="163"/>
      <c r="D61" s="163"/>
      <c r="E61" s="164"/>
      <c r="F61" s="476" t="str">
        <f>"(Line "&amp;A53&amp;" + Line "&amp;A59&amp;")"</f>
        <v>(Line 28 + Line 33)</v>
      </c>
      <c r="G61" s="628">
        <f>+G59+G53</f>
        <v>479884037.191989</v>
      </c>
      <c r="H61" s="1178">
        <f>+H59+H53</f>
        <v>480831583.58404613</v>
      </c>
    </row>
    <row r="62" spans="1:9" ht="15.75" thickTop="1">
      <c r="A62" s="114"/>
      <c r="B62" s="15"/>
      <c r="C62" s="15"/>
      <c r="D62" s="15"/>
      <c r="E62" s="36"/>
      <c r="F62" s="133"/>
      <c r="G62" s="694"/>
      <c r="H62" s="1171"/>
    </row>
    <row r="63" spans="1:9" ht="16.5" thickBot="1">
      <c r="A63" s="77">
        <f>+A61+1</f>
        <v>35</v>
      </c>
      <c r="B63" s="163" t="s">
        <v>753</v>
      </c>
      <c r="C63" s="163"/>
      <c r="D63" s="163"/>
      <c r="E63" s="164"/>
      <c r="F63" s="476" t="str">
        <f>"(Line "&amp;A50&amp;" - Line "&amp;A61&amp;")"</f>
        <v>(Line 27 - Line 34)</v>
      </c>
      <c r="G63" s="628">
        <f>+G50-G61</f>
        <v>1133330860.8955531</v>
      </c>
      <c r="H63" s="1178">
        <f>+H50-H61</f>
        <v>1264602698.718394</v>
      </c>
    </row>
    <row r="64" spans="1:9" ht="15.75" thickTop="1">
      <c r="A64" s="114"/>
      <c r="B64" s="15"/>
      <c r="C64" s="15"/>
      <c r="D64" s="15"/>
      <c r="E64" s="36"/>
      <c r="F64" s="133"/>
      <c r="G64" s="70"/>
      <c r="H64" s="1180"/>
    </row>
    <row r="65" spans="1:20" ht="15.75">
      <c r="A65" s="1161" t="s">
        <v>867</v>
      </c>
      <c r="B65" s="263"/>
      <c r="C65" s="264"/>
      <c r="D65" s="264"/>
      <c r="E65" s="265"/>
      <c r="F65" s="266"/>
      <c r="G65" s="267"/>
      <c r="H65" s="1173"/>
    </row>
    <row r="66" spans="1:20">
      <c r="A66" s="115"/>
      <c r="B66" s="116"/>
      <c r="C66" s="116"/>
      <c r="D66" s="116"/>
      <c r="E66" s="28"/>
      <c r="F66" s="136"/>
      <c r="G66" s="87"/>
      <c r="H66" s="1170"/>
    </row>
    <row r="67" spans="1:20" ht="15.75">
      <c r="A67" s="111"/>
      <c r="B67" s="5" t="s">
        <v>340</v>
      </c>
      <c r="C67" s="1079"/>
      <c r="D67" s="1079"/>
      <c r="E67" s="478" t="str">
        <f>"(Note "&amp;A$332&amp;")"</f>
        <v>(Note CC)</v>
      </c>
      <c r="F67" s="133"/>
      <c r="G67" s="87"/>
      <c r="H67" s="1170"/>
    </row>
    <row r="68" spans="1:20">
      <c r="A68" s="111">
        <f>+A63+1</f>
        <v>36</v>
      </c>
      <c r="B68" s="116"/>
      <c r="C68" s="9" t="s">
        <v>331</v>
      </c>
      <c r="D68" s="9"/>
      <c r="E68" s="36" t="str">
        <f>"(Note "&amp;A$339&amp;")"</f>
        <v>(Note JJ)</v>
      </c>
      <c r="F68" s="133" t="str">
        <f>+"WP06 ADIT Line "&amp;'WP06 ADIT'!$A$13&amp;" Columns "&amp;'WP06 ADIT'!$G$5&amp;", "&amp;'WP06 ADIT'!$K$5</f>
        <v>WP06 ADIT Line 7 Columns F, J</v>
      </c>
      <c r="G68" s="694">
        <f>+'WP06 ADIT'!G$13</f>
        <v>-20390870.315000001</v>
      </c>
      <c r="H68" s="1171">
        <f>+'WP06 ADIT'!K13</f>
        <v>-20620624.279999997</v>
      </c>
    </row>
    <row r="69" spans="1:20">
      <c r="A69" s="111">
        <f t="shared" ref="A69:A75" si="0">+A68+1</f>
        <v>37</v>
      </c>
      <c r="B69" s="116"/>
      <c r="C69" s="9" t="s">
        <v>354</v>
      </c>
      <c r="D69" s="9"/>
      <c r="E69" s="36" t="str">
        <f>"(Note "&amp;A$339&amp;")"</f>
        <v>(Note JJ)</v>
      </c>
      <c r="F69" s="133" t="str">
        <f>+"WP06 ADIT Line "&amp;'WP06 ADIT'!$A$13&amp;" Columns "&amp;'WP06 ADIT'!$H$5&amp;", "&amp;'WP06 ADIT'!$L$5</f>
        <v>WP06 ADIT Line 7 Columns G, K</v>
      </c>
      <c r="G69" s="694">
        <f>+'WP06 ADIT'!H13</f>
        <v>-806339919.88000011</v>
      </c>
      <c r="H69" s="1171">
        <f>+'WP06 ADIT'!L13</f>
        <v>-819008093.75000024</v>
      </c>
    </row>
    <row r="70" spans="1:20">
      <c r="A70" s="111">
        <f t="shared" si="0"/>
        <v>38</v>
      </c>
      <c r="B70" s="116"/>
      <c r="C70" s="58" t="str">
        <f>+B32</f>
        <v>Gross Plant Allocator</v>
      </c>
      <c r="D70" s="14"/>
      <c r="E70" s="33"/>
      <c r="F70" s="137" t="str">
        <f>"(Line "&amp;A$32&amp;")"</f>
        <v>(Line 16)</v>
      </c>
      <c r="G70" s="94">
        <f>+G$32</f>
        <v>0.18028362815939813</v>
      </c>
      <c r="H70" s="1181">
        <f>+H$32</f>
        <v>0.19163308230143583</v>
      </c>
    </row>
    <row r="71" spans="1:20">
      <c r="A71" s="111">
        <f t="shared" si="0"/>
        <v>39</v>
      </c>
      <c r="B71" s="116"/>
      <c r="C71" s="58" t="str">
        <f>+"Total Transmission Allocated "&amp;C69</f>
        <v>Total Transmission Allocated Plant</v>
      </c>
      <c r="D71" s="9"/>
      <c r="E71" s="36"/>
      <c r="F71" s="137" t="str">
        <f>"(Line "&amp;A69&amp;" * Line "&amp;A70&amp;")"</f>
        <v>(Line 37 * Line 38)</v>
      </c>
      <c r="G71" s="673">
        <f>+G69*G70</f>
        <v>-145369886.28572482</v>
      </c>
      <c r="H71" s="1182">
        <f>+H69*H70</f>
        <v>-156949045.43513587</v>
      </c>
    </row>
    <row r="72" spans="1:20">
      <c r="A72" s="111">
        <f t="shared" si="0"/>
        <v>40</v>
      </c>
      <c r="B72" s="116"/>
      <c r="C72" s="9" t="s">
        <v>339</v>
      </c>
      <c r="D72" s="9"/>
      <c r="E72" s="36" t="str">
        <f>"(Note "&amp;A$339&amp;")"</f>
        <v>(Note JJ)</v>
      </c>
      <c r="F72" s="133" t="str">
        <f>+"WP06 ADIT Line "&amp;'WP06 ADIT'!$A$13&amp;" Columns "&amp;'WP06 ADIT'!$I$5&amp;", "&amp;'WP06 ADIT'!$M$5</f>
        <v>WP06 ADIT Line 7 Columns H, L</v>
      </c>
      <c r="G72" s="694">
        <f>+'WP06 ADIT'!I13</f>
        <v>-13784097.925000001</v>
      </c>
      <c r="H72" s="1171">
        <f>+'WP06 ADIT'!M13</f>
        <v>-13251923.450000001</v>
      </c>
    </row>
    <row r="73" spans="1:20" ht="15.75">
      <c r="A73" s="111">
        <f t="shared" si="0"/>
        <v>41</v>
      </c>
      <c r="B73" s="116"/>
      <c r="C73" s="9" t="s">
        <v>305</v>
      </c>
      <c r="D73" s="9"/>
      <c r="E73" s="52"/>
      <c r="F73" s="133" t="str">
        <f>"(Line "&amp;A$24&amp;")"</f>
        <v>(Line 11)</v>
      </c>
      <c r="G73" s="271">
        <f>+G$24</f>
        <v>7.5774921552056965E-2</v>
      </c>
      <c r="H73" s="1177">
        <f>H$24</f>
        <v>7.5774921552056965E-2</v>
      </c>
    </row>
    <row r="74" spans="1:20">
      <c r="A74" s="111">
        <f t="shared" si="0"/>
        <v>42</v>
      </c>
      <c r="B74" s="117"/>
      <c r="C74" s="25" t="str">
        <f>+"Total Transmission Allocated "&amp;C72</f>
        <v>Total Transmission Allocated Labor</v>
      </c>
      <c r="D74" s="68"/>
      <c r="E74" s="76"/>
      <c r="F74" s="138" t="str">
        <f>"(Line "&amp;A72&amp;" * Line "&amp;A73&amp;")"</f>
        <v>(Line 40 * Line 41)</v>
      </c>
      <c r="G74" s="970">
        <f>+G72*G73</f>
        <v>-1044488.9389327463</v>
      </c>
      <c r="H74" s="1183">
        <f>+H72*H73</f>
        <v>-1004163.4598376142</v>
      </c>
      <c r="J74" s="281"/>
      <c r="K74" s="281"/>
      <c r="L74" s="281"/>
      <c r="M74" s="281"/>
    </row>
    <row r="75" spans="1:20" s="281" customFormat="1">
      <c r="A75" s="111">
        <f t="shared" si="0"/>
        <v>43</v>
      </c>
      <c r="B75" s="9" t="s">
        <v>1532</v>
      </c>
      <c r="C75" s="9"/>
      <c r="D75" s="15"/>
      <c r="F75" s="137" t="str">
        <f>"(Line "&amp;A68&amp;" + Line "&amp;A71&amp;" + Line "&amp;A74&amp;")"</f>
        <v>(Line 36 + Line 39 + Line 42)</v>
      </c>
      <c r="G75" s="102">
        <f>+G68+G71+G74</f>
        <v>-166805245.53965756</v>
      </c>
      <c r="H75" s="1166">
        <f>+H68+H71+H74</f>
        <v>-178573833.17497349</v>
      </c>
      <c r="I75" s="257"/>
    </row>
    <row r="76" spans="1:20">
      <c r="A76" s="114"/>
      <c r="B76" s="15"/>
      <c r="C76" s="58"/>
      <c r="D76" s="15"/>
      <c r="E76" s="36"/>
      <c r="F76" s="133"/>
      <c r="G76" s="92"/>
      <c r="H76" s="1184"/>
      <c r="J76" s="281"/>
      <c r="K76" s="281"/>
      <c r="L76" s="281"/>
      <c r="M76" s="281"/>
    </row>
    <row r="77" spans="1:20">
      <c r="A77" s="114">
        <f>+A75+1</f>
        <v>44</v>
      </c>
      <c r="B77" s="15" t="s">
        <v>958</v>
      </c>
      <c r="C77" s="58"/>
      <c r="D77" s="15"/>
      <c r="E77" s="36" t="str">
        <f>"(Note "&amp;A312&amp;")"</f>
        <v>(Note I)</v>
      </c>
      <c r="F77" s="139" t="s">
        <v>1156</v>
      </c>
      <c r="G77" s="225">
        <v>0</v>
      </c>
      <c r="H77" s="1185">
        <v>0</v>
      </c>
      <c r="J77" s="281"/>
      <c r="K77" s="281"/>
      <c r="L77" s="281"/>
      <c r="M77" s="281"/>
      <c r="N77" s="281"/>
      <c r="O77" s="281"/>
      <c r="P77" s="281"/>
      <c r="Q77" s="281"/>
      <c r="R77" s="281"/>
      <c r="S77" s="281"/>
      <c r="T77" s="281"/>
    </row>
    <row r="78" spans="1:20">
      <c r="A78" s="114"/>
      <c r="B78" s="15"/>
      <c r="C78" s="58"/>
      <c r="D78" s="15"/>
      <c r="E78" s="36"/>
      <c r="F78" s="133"/>
      <c r="G78" s="92"/>
      <c r="H78" s="1184"/>
      <c r="J78" s="281"/>
      <c r="K78" s="281"/>
      <c r="L78" s="281"/>
      <c r="M78" s="281"/>
    </row>
    <row r="79" spans="1:20" ht="15.75">
      <c r="A79" s="77"/>
      <c r="B79" s="37" t="s">
        <v>1192</v>
      </c>
      <c r="C79" s="9"/>
      <c r="D79" s="9"/>
      <c r="E79" s="36"/>
      <c r="F79" s="142"/>
      <c r="G79" s="89"/>
      <c r="H79" s="1170"/>
      <c r="J79" s="281"/>
      <c r="K79" s="281"/>
      <c r="L79" s="281"/>
      <c r="M79" s="281"/>
    </row>
    <row r="80" spans="1:20" ht="15.75">
      <c r="A80" s="77">
        <f>+A77+1</f>
        <v>45</v>
      </c>
      <c r="B80" s="41"/>
      <c r="C80" s="9" t="s">
        <v>331</v>
      </c>
      <c r="D80" s="9"/>
      <c r="E80" s="36" t="str">
        <f>"(Notes "&amp;A$335&amp;" &amp; "&amp;A$340&amp;")"</f>
        <v>(Notes FF &amp; KK)</v>
      </c>
      <c r="F80" s="133" t="str">
        <f>+"WP02 Support Line "&amp;'WP02 Support'!A$85&amp;" Column "&amp;'WP02 Support'!F$41</f>
        <v>WP02 Support Line 27 Column E</v>
      </c>
      <c r="G80" s="694">
        <f>+'WP02 Support'!F85</f>
        <v>0</v>
      </c>
      <c r="H80" s="1171">
        <f>+'WP02 Support'!F85</f>
        <v>0</v>
      </c>
      <c r="J80" s="281"/>
      <c r="K80" s="281"/>
      <c r="L80" s="281"/>
      <c r="M80" s="281"/>
    </row>
    <row r="81" spans="1:13">
      <c r="A81" s="77">
        <f>+A80+1</f>
        <v>46</v>
      </c>
      <c r="B81" s="117"/>
      <c r="C81" s="9" t="s">
        <v>354</v>
      </c>
      <c r="D81" s="9"/>
      <c r="E81" s="36" t="str">
        <f>"(Notes "&amp;A$335&amp;" &amp; "&amp;A$340&amp;")"</f>
        <v>(Notes FF &amp; KK)</v>
      </c>
      <c r="F81" s="133" t="str">
        <f>+"WP02 Support Line "&amp;'WP02 Support'!A$85&amp;" Column "&amp;'WP02 Support'!G$41</f>
        <v>WP02 Support Line 27 Column F</v>
      </c>
      <c r="G81" s="694">
        <f>+'WP02 Support'!G85</f>
        <v>0</v>
      </c>
      <c r="H81" s="1171">
        <f>+'WP02 Support'!G85</f>
        <v>0</v>
      </c>
      <c r="J81" s="281"/>
      <c r="K81" s="281"/>
      <c r="L81" s="281"/>
      <c r="M81" s="281"/>
    </row>
    <row r="82" spans="1:13">
      <c r="A82" s="77">
        <f t="shared" ref="A82:A87" si="1">+A81+1</f>
        <v>47</v>
      </c>
      <c r="B82" s="33"/>
      <c r="C82" s="58" t="s">
        <v>282</v>
      </c>
      <c r="D82" s="14"/>
      <c r="E82" s="33"/>
      <c r="F82" s="137" t="str">
        <f>"(Line "&amp;A$35&amp;")"</f>
        <v>(Line 18)</v>
      </c>
      <c r="G82" s="94">
        <f>+G$35</f>
        <v>0.23326922089520993</v>
      </c>
      <c r="H82" s="1181">
        <f>+H$35</f>
        <v>0.25560650511058786</v>
      </c>
      <c r="J82" s="281"/>
      <c r="K82" s="281"/>
      <c r="L82" s="281"/>
      <c r="M82" s="281"/>
    </row>
    <row r="83" spans="1:13">
      <c r="A83" s="77">
        <f t="shared" si="1"/>
        <v>48</v>
      </c>
      <c r="B83" s="117"/>
      <c r="C83" s="58" t="str">
        <f>+"Total Transmission Allocated "&amp;C81</f>
        <v>Total Transmission Allocated Plant</v>
      </c>
      <c r="D83" s="9"/>
      <c r="E83" s="36"/>
      <c r="F83" s="137" t="str">
        <f>"(Line "&amp;A81&amp;" * Line "&amp;A82&amp;")"</f>
        <v>(Line 46 * Line 47)</v>
      </c>
      <c r="G83" s="673">
        <f>+G81*G82</f>
        <v>0</v>
      </c>
      <c r="H83" s="1182">
        <f>+H81*H82</f>
        <v>0</v>
      </c>
      <c r="J83" s="281"/>
      <c r="K83" s="281"/>
      <c r="L83" s="281"/>
      <c r="M83" s="281"/>
    </row>
    <row r="84" spans="1:13">
      <c r="A84" s="77">
        <f t="shared" si="1"/>
        <v>49</v>
      </c>
      <c r="B84" s="117"/>
      <c r="C84" s="9" t="s">
        <v>339</v>
      </c>
      <c r="D84" s="9"/>
      <c r="E84" s="36" t="str">
        <f>"(Notes "&amp;A$335&amp;" &amp; "&amp;A$340&amp;")"</f>
        <v>(Notes FF &amp; KK)</v>
      </c>
      <c r="F84" s="133" t="str">
        <f>+"WP02 Support Line "&amp;'WP02 Support'!A$85&amp;" Column "&amp;'WP02 Support'!H$41</f>
        <v>WP02 Support Line 27 Column G</v>
      </c>
      <c r="G84" s="694">
        <f>+'WP02 Support'!H85</f>
        <v>-11392858.306153849</v>
      </c>
      <c r="H84" s="1171">
        <f>+'WP02 Support'!H85</f>
        <v>-11392858.306153849</v>
      </c>
      <c r="J84" s="281"/>
      <c r="K84" s="281"/>
      <c r="L84" s="281"/>
      <c r="M84" s="281"/>
    </row>
    <row r="85" spans="1:13" s="281" customFormat="1" ht="15.75">
      <c r="A85" s="77">
        <f t="shared" si="1"/>
        <v>50</v>
      </c>
      <c r="B85" s="51"/>
      <c r="C85" s="9" t="s">
        <v>305</v>
      </c>
      <c r="D85" s="9"/>
      <c r="E85" s="52"/>
      <c r="F85" s="133" t="str">
        <f>"(Line "&amp;A$24&amp;")"</f>
        <v>(Line 11)</v>
      </c>
      <c r="G85" s="271">
        <f>+G$24</f>
        <v>7.5774921552056965E-2</v>
      </c>
      <c r="H85" s="1177">
        <f>H$24</f>
        <v>7.5774921552056965E-2</v>
      </c>
      <c r="I85" s="257"/>
    </row>
    <row r="86" spans="1:13">
      <c r="A86" s="77">
        <f t="shared" si="1"/>
        <v>51</v>
      </c>
      <c r="B86" s="117"/>
      <c r="C86" s="25" t="str">
        <f>+"Total Transmission Allocated "&amp;C84</f>
        <v>Total Transmission Allocated Labor</v>
      </c>
      <c r="D86" s="68"/>
      <c r="E86" s="76"/>
      <c r="F86" s="138" t="str">
        <f>"(Line "&amp;A84&amp;" * Line "&amp;A85&amp;")"</f>
        <v>(Line 49 * Line 50)</v>
      </c>
      <c r="G86" s="970">
        <f>+G84*G85</f>
        <v>-863292.94440250844</v>
      </c>
      <c r="H86" s="1183">
        <f>+H84*H85</f>
        <v>-863292.94440250844</v>
      </c>
      <c r="J86" s="281"/>
      <c r="K86" s="281"/>
      <c r="L86" s="281"/>
      <c r="M86" s="281"/>
    </row>
    <row r="87" spans="1:13">
      <c r="A87" s="114">
        <f t="shared" si="1"/>
        <v>52</v>
      </c>
      <c r="B87" s="15" t="s">
        <v>754</v>
      </c>
      <c r="C87" s="15"/>
      <c r="D87" s="15"/>
      <c r="E87" s="36" t="str">
        <f>"(Note "&amp;A$325&amp;")"</f>
        <v>(Note V)</v>
      </c>
      <c r="F87" s="137" t="str">
        <f>"(Line "&amp;A80&amp;" + Line "&amp;A83&amp;" + Line "&amp;A86&amp;")"</f>
        <v>(Line 45 + Line 48 + Line 51)</v>
      </c>
      <c r="G87" s="673">
        <f>+G80+G83+G86</f>
        <v>-863292.94440250844</v>
      </c>
      <c r="H87" s="1182">
        <f>+H80+H83+H86</f>
        <v>-863292.94440250844</v>
      </c>
      <c r="J87" s="281"/>
      <c r="K87" s="281"/>
      <c r="L87" s="281"/>
      <c r="M87" s="281"/>
    </row>
    <row r="88" spans="1:13" ht="15.75">
      <c r="A88" s="77"/>
      <c r="B88" s="5"/>
      <c r="C88" s="9"/>
      <c r="D88" s="84"/>
      <c r="E88" s="36"/>
      <c r="F88" s="137"/>
      <c r="G88" s="91"/>
      <c r="H88" s="1186"/>
      <c r="J88" s="281"/>
      <c r="K88" s="281"/>
      <c r="L88" s="281"/>
      <c r="M88" s="281"/>
    </row>
    <row r="89" spans="1:13" ht="15.75">
      <c r="A89" s="77"/>
      <c r="B89" s="41" t="s">
        <v>276</v>
      </c>
      <c r="C89" s="15"/>
      <c r="D89" s="15"/>
      <c r="E89" s="36"/>
      <c r="F89" s="143"/>
      <c r="G89" s="93"/>
      <c r="H89" s="1187"/>
      <c r="J89" s="281"/>
      <c r="K89" s="281"/>
      <c r="L89" s="281"/>
      <c r="M89" s="281"/>
    </row>
    <row r="90" spans="1:13">
      <c r="A90" s="77">
        <f>+A87+1</f>
        <v>53</v>
      </c>
      <c r="B90" s="117"/>
      <c r="C90" s="58" t="s">
        <v>267</v>
      </c>
      <c r="D90" s="9"/>
      <c r="E90" s="36" t="str">
        <f>"(Note "&amp;A$340&amp;")"</f>
        <v>(Note KK)</v>
      </c>
      <c r="F90" s="15" t="str">
        <f>+"WP07 M&amp;S Line "&amp;'WP07 M&amp;S'!A9&amp;" Column "&amp;'WP07 M&amp;S'!Q$6</f>
        <v>WP07 M&amp;S Line 2 Column P</v>
      </c>
      <c r="G90" s="695">
        <f>'WP07 M&amp;S'!Q9</f>
        <v>17452204.301027898</v>
      </c>
      <c r="H90" s="1188">
        <f>'WP07 M&amp;S'!Q9</f>
        <v>17452204.301027898</v>
      </c>
      <c r="J90" s="281"/>
      <c r="K90" s="281"/>
      <c r="L90" s="281"/>
      <c r="M90" s="281"/>
    </row>
    <row r="91" spans="1:13">
      <c r="A91" s="114">
        <f>+A90+1</f>
        <v>54</v>
      </c>
      <c r="B91" s="15"/>
      <c r="C91" s="15" t="s">
        <v>1093</v>
      </c>
      <c r="D91" s="9"/>
      <c r="E91" s="36" t="str">
        <f>"(Notes "&amp;A$304&amp;" &amp; "&amp;A$340&amp;")"</f>
        <v>(Notes A &amp; KK)</v>
      </c>
      <c r="F91" s="15" t="str">
        <f>+"WP07 M&amp;S Line "&amp;'WP07 M&amp;S'!A10&amp;" Column "&amp;'WP07 M&amp;S'!Q$6</f>
        <v>WP07 M&amp;S Line 3 Column P</v>
      </c>
      <c r="G91" s="709">
        <f>'WP07 M&amp;S'!Q10</f>
        <v>20183339.818684626</v>
      </c>
      <c r="H91" s="1189">
        <f>'WP07 M&amp;S'!Q10</f>
        <v>20183339.818684626</v>
      </c>
      <c r="J91" s="281"/>
      <c r="K91" s="281"/>
      <c r="L91" s="281"/>
      <c r="M91" s="281"/>
    </row>
    <row r="92" spans="1:13" s="281" customFormat="1" ht="15.75">
      <c r="A92" s="114">
        <f>+A91+1</f>
        <v>55</v>
      </c>
      <c r="B92" s="51"/>
      <c r="C92" s="9" t="s">
        <v>305</v>
      </c>
      <c r="D92" s="9"/>
      <c r="E92" s="52"/>
      <c r="F92" s="15" t="str">
        <f>"(Line "&amp;A$24&amp;")"</f>
        <v>(Line 11)</v>
      </c>
      <c r="G92" s="271">
        <f>+G$24</f>
        <v>7.5774921552056965E-2</v>
      </c>
      <c r="H92" s="1177">
        <f>H$24</f>
        <v>7.5774921552056965E-2</v>
      </c>
      <c r="I92" s="257"/>
    </row>
    <row r="93" spans="1:13">
      <c r="A93" s="77">
        <f>+A92+1</f>
        <v>56</v>
      </c>
      <c r="B93" s="117"/>
      <c r="C93" s="58" t="s">
        <v>312</v>
      </c>
      <c r="D93" s="9"/>
      <c r="E93" s="36"/>
      <c r="F93" s="138" t="str">
        <f>"(Line "&amp;A91&amp;" * Line "&amp;A92&amp;")"</f>
        <v>(Line 54 * Line 55)</v>
      </c>
      <c r="G93" s="695">
        <f>+G91*G92</f>
        <v>1529390.9914193351</v>
      </c>
      <c r="H93" s="1188">
        <f>+H91*H92</f>
        <v>1529390.9914193351</v>
      </c>
      <c r="J93" s="281"/>
      <c r="K93" s="281"/>
      <c r="L93" s="281"/>
      <c r="M93" s="281"/>
    </row>
    <row r="94" spans="1:13" ht="15.75">
      <c r="A94" s="77">
        <f>+A93+1</f>
        <v>57</v>
      </c>
      <c r="B94" s="117"/>
      <c r="C94" s="307" t="s">
        <v>275</v>
      </c>
      <c r="D94" s="308"/>
      <c r="E94" s="309"/>
      <c r="F94" s="137" t="str">
        <f>"(Line "&amp;A93&amp;" + Line "&amp;A90&amp;")"</f>
        <v>(Line 56 + Line 53)</v>
      </c>
      <c r="G94" s="696">
        <f>+G90+G93</f>
        <v>18981595.292447232</v>
      </c>
      <c r="H94" s="1190">
        <f>+H90+H93</f>
        <v>18981595.292447232</v>
      </c>
      <c r="J94" s="281"/>
      <c r="K94" s="281"/>
      <c r="L94" s="281"/>
      <c r="M94" s="281"/>
    </row>
    <row r="95" spans="1:13">
      <c r="A95" s="77"/>
      <c r="B95" s="117"/>
      <c r="C95" s="9"/>
      <c r="D95" s="9"/>
      <c r="E95" s="36"/>
      <c r="F95" s="142"/>
      <c r="G95" s="89"/>
      <c r="H95" s="1170"/>
      <c r="J95" s="281"/>
      <c r="K95" s="281"/>
      <c r="L95" s="281"/>
      <c r="M95" s="281"/>
    </row>
    <row r="96" spans="1:13" ht="15.75">
      <c r="A96" s="77"/>
      <c r="B96" s="41" t="s">
        <v>278</v>
      </c>
      <c r="C96" s="9"/>
      <c r="D96" s="9"/>
      <c r="E96" s="36"/>
      <c r="F96" s="142"/>
      <c r="G96" s="89"/>
      <c r="H96" s="1170"/>
      <c r="J96" s="281"/>
      <c r="K96" s="281"/>
      <c r="L96" s="281"/>
      <c r="M96" s="281"/>
    </row>
    <row r="97" spans="1:21" ht="15.75">
      <c r="A97" s="77">
        <f>+A94+1</f>
        <v>58</v>
      </c>
      <c r="B97" s="41"/>
      <c r="C97" s="9" t="s">
        <v>331</v>
      </c>
      <c r="D97" s="9"/>
      <c r="E97" s="36" t="str">
        <f>"(Note "&amp;A$340&amp;")"</f>
        <v>(Note KK)</v>
      </c>
      <c r="F97" s="133" t="str">
        <f>+"WP08 Prepay Line "&amp;'WP08 Prepay'!A$51&amp;" Column "&amp;'WP08 Prepay'!F$5</f>
        <v>WP08 Prepay Line 8 Column E</v>
      </c>
      <c r="G97" s="694">
        <f>+'WP08 Prepay'!F$51</f>
        <v>0</v>
      </c>
      <c r="H97" s="1171">
        <f>+'WP08 Prepay'!F51</f>
        <v>0</v>
      </c>
      <c r="J97" s="281"/>
      <c r="K97" s="281"/>
      <c r="L97" s="281"/>
      <c r="M97" s="281"/>
    </row>
    <row r="98" spans="1:21">
      <c r="A98" s="77">
        <f>+A97+1</f>
        <v>59</v>
      </c>
      <c r="B98" s="117"/>
      <c r="C98" s="9" t="s">
        <v>354</v>
      </c>
      <c r="D98" s="9"/>
      <c r="E98" s="36" t="str">
        <f>"(Note "&amp;A$340&amp;")"</f>
        <v>(Note KK)</v>
      </c>
      <c r="F98" s="133" t="str">
        <f>+"WP08 Prepay Line "&amp;'WP08 Prepay'!A51&amp;" Column "&amp;'WP08 Prepay'!G$5</f>
        <v>WP08 Prepay Line 8 Column F</v>
      </c>
      <c r="G98" s="694">
        <f>+'WP08 Prepay'!G51</f>
        <v>4113886.998461538</v>
      </c>
      <c r="H98" s="1171">
        <f>+'WP08 Prepay'!G51</f>
        <v>4113886.998461538</v>
      </c>
      <c r="J98" s="281"/>
      <c r="K98" s="281"/>
      <c r="L98" s="281"/>
      <c r="M98" s="281"/>
    </row>
    <row r="99" spans="1:21">
      <c r="A99" s="77">
        <f t="shared" ref="A99:A104" si="2">+A98+1</f>
        <v>60</v>
      </c>
      <c r="B99" s="33"/>
      <c r="C99" s="58" t="s">
        <v>282</v>
      </c>
      <c r="D99" s="14"/>
      <c r="E99" s="33"/>
      <c r="F99" s="137" t="str">
        <f>"(Line "&amp;A$35&amp;")"</f>
        <v>(Line 18)</v>
      </c>
      <c r="G99" s="94">
        <f>+G$35</f>
        <v>0.23326922089520993</v>
      </c>
      <c r="H99" s="1181">
        <f>+H$35</f>
        <v>0.25560650511058786</v>
      </c>
      <c r="J99" s="281"/>
      <c r="K99" s="281"/>
      <c r="L99" s="281"/>
      <c r="M99" s="281"/>
    </row>
    <row r="100" spans="1:21">
      <c r="A100" s="77">
        <f t="shared" si="2"/>
        <v>61</v>
      </c>
      <c r="B100" s="117"/>
      <c r="C100" s="58" t="str">
        <f>+"Total Transmission Allocated "&amp;C98</f>
        <v>Total Transmission Allocated Plant</v>
      </c>
      <c r="D100" s="9"/>
      <c r="E100" s="36"/>
      <c r="F100" s="137" t="str">
        <f>"(Line "&amp;A98&amp;" * Line "&amp;A99&amp;")"</f>
        <v>(Line 59 * Line 60)</v>
      </c>
      <c r="G100" s="673">
        <f>+G98*G99</f>
        <v>959643.21498205664</v>
      </c>
      <c r="H100" s="1182">
        <f>+H98*H99</f>
        <v>1051536.27809664</v>
      </c>
      <c r="J100" s="281"/>
      <c r="K100" s="281"/>
      <c r="L100" s="281"/>
      <c r="M100" s="281"/>
    </row>
    <row r="101" spans="1:21">
      <c r="A101" s="77">
        <f t="shared" si="2"/>
        <v>62</v>
      </c>
      <c r="B101" s="117"/>
      <c r="C101" s="9" t="s">
        <v>339</v>
      </c>
      <c r="D101" s="9"/>
      <c r="E101" s="36" t="str">
        <f>"(Note "&amp;A$340&amp;")"</f>
        <v>(Note KK)</v>
      </c>
      <c r="F101" s="133" t="str">
        <f>+"WP08 Prepay Line "&amp;'WP08 Prepay'!A$51&amp;" Column "&amp;'WP08 Prepay'!H$5</f>
        <v>WP08 Prepay Line 8 Column G</v>
      </c>
      <c r="G101" s="694">
        <f>+'WP08 Prepay'!H51</f>
        <v>1268401.6676923078</v>
      </c>
      <c r="H101" s="1171">
        <f>+'WP08 Prepay'!H51</f>
        <v>1268401.6676923078</v>
      </c>
      <c r="J101" s="281"/>
      <c r="K101" s="281"/>
      <c r="L101" s="281"/>
      <c r="M101" s="281"/>
    </row>
    <row r="102" spans="1:21" s="281" customFormat="1" ht="15.75">
      <c r="A102" s="114">
        <f t="shared" si="2"/>
        <v>63</v>
      </c>
      <c r="B102" s="51"/>
      <c r="C102" s="9" t="s">
        <v>305</v>
      </c>
      <c r="D102" s="9"/>
      <c r="E102" s="52"/>
      <c r="F102" s="133" t="str">
        <f>"(Line "&amp;A$24&amp;")"</f>
        <v>(Line 11)</v>
      </c>
      <c r="G102" s="271">
        <f>+G$24</f>
        <v>7.5774921552056965E-2</v>
      </c>
      <c r="H102" s="1177">
        <f>H$24</f>
        <v>7.5774921552056965E-2</v>
      </c>
      <c r="I102" s="257"/>
    </row>
    <row r="103" spans="1:21">
      <c r="A103" s="77">
        <f t="shared" si="2"/>
        <v>64</v>
      </c>
      <c r="B103" s="117"/>
      <c r="C103" s="25" t="str">
        <f>+"Total Transmission Allocated "&amp;C101</f>
        <v>Total Transmission Allocated Labor</v>
      </c>
      <c r="D103" s="68"/>
      <c r="E103" s="76"/>
      <c r="F103" s="138" t="str">
        <f>"(Line "&amp;A101&amp;" * Line "&amp;A102&amp;")"</f>
        <v>(Line 62 * Line 63)</v>
      </c>
      <c r="G103" s="970">
        <f>+G101*G102</f>
        <v>96113.036865882852</v>
      </c>
      <c r="H103" s="1183">
        <f>+H101*H102</f>
        <v>96113.036865882852</v>
      </c>
      <c r="J103" s="281"/>
      <c r="K103" s="281"/>
      <c r="L103" s="281"/>
      <c r="M103" s="281"/>
    </row>
    <row r="104" spans="1:21">
      <c r="A104" s="77">
        <f t="shared" si="2"/>
        <v>65</v>
      </c>
      <c r="B104" s="58" t="s">
        <v>755</v>
      </c>
      <c r="C104" s="58"/>
      <c r="D104" s="34"/>
      <c r="E104" s="478" t="str">
        <f>"(Note "&amp;A$304&amp;")"</f>
        <v>(Note A)</v>
      </c>
      <c r="F104" s="137" t="str">
        <f>"(Line "&amp;A97&amp;" + Line "&amp;A100&amp;" + Line "&amp;A103&amp;")"</f>
        <v>(Line 58 + Line 61 + Line 64)</v>
      </c>
      <c r="G104" s="673">
        <f>+G97+G100+G103</f>
        <v>1055756.2518479396</v>
      </c>
      <c r="H104" s="1182">
        <f>+H97+H100+H103</f>
        <v>1147649.3149625228</v>
      </c>
      <c r="J104" s="281"/>
      <c r="K104" s="281"/>
      <c r="L104" s="281"/>
      <c r="M104" s="281"/>
    </row>
    <row r="105" spans="1:21">
      <c r="A105" s="77"/>
      <c r="B105" s="117"/>
      <c r="C105" s="15"/>
      <c r="D105" s="9"/>
      <c r="E105" s="33"/>
      <c r="F105" s="137"/>
      <c r="G105" s="92"/>
      <c r="H105" s="1184"/>
      <c r="J105" s="281"/>
      <c r="K105" s="281"/>
      <c r="L105" s="281"/>
      <c r="M105" s="281"/>
    </row>
    <row r="106" spans="1:21">
      <c r="A106" s="77">
        <f>+A104+1</f>
        <v>66</v>
      </c>
      <c r="B106" s="61" t="s">
        <v>756</v>
      </c>
      <c r="C106" s="9"/>
      <c r="D106" s="84"/>
      <c r="E106" s="36" t="str">
        <f>"(Notes "&amp;A$305&amp;" &amp; "&amp;A$306&amp;")"</f>
        <v>(Notes B &amp; C)</v>
      </c>
      <c r="F106" s="1080" t="str">
        <f>+"WP09 PHFU Line "&amp;'WP09 PHFU'!A11&amp;" Columns "&amp;'WP09 PHFU'!P5&amp;", "&amp;'WP09 PHFU'!O5</f>
        <v>WP09 PHFU Line 5 Columns O, N</v>
      </c>
      <c r="G106" s="71">
        <f>+'WP09 PHFU'!P11</f>
        <v>550438.64153846144</v>
      </c>
      <c r="H106" s="1175">
        <f>+'WP09 PHFU'!O11</f>
        <v>532590.64</v>
      </c>
      <c r="J106" s="281"/>
      <c r="K106" s="281"/>
      <c r="L106" s="281"/>
      <c r="M106" s="281"/>
    </row>
    <row r="107" spans="1:21">
      <c r="A107" s="77"/>
      <c r="B107" s="117"/>
      <c r="C107" s="58"/>
      <c r="D107" s="9"/>
      <c r="E107" s="33"/>
      <c r="F107" s="143"/>
      <c r="G107" s="89"/>
      <c r="H107" s="1170"/>
      <c r="J107" s="281"/>
      <c r="K107" s="281"/>
      <c r="L107" s="281"/>
      <c r="M107" s="281"/>
    </row>
    <row r="108" spans="1:21" ht="15.75">
      <c r="A108" s="77"/>
      <c r="B108" s="41" t="s">
        <v>279</v>
      </c>
      <c r="C108" s="15"/>
      <c r="D108" s="9"/>
      <c r="E108" s="36"/>
      <c r="F108" s="143"/>
      <c r="G108" s="89"/>
      <c r="H108" s="1170"/>
      <c r="J108" s="281"/>
      <c r="K108" s="281"/>
      <c r="L108" s="281"/>
      <c r="M108" s="281"/>
    </row>
    <row r="109" spans="1:21">
      <c r="A109" s="77">
        <f>+A106+1</f>
        <v>67</v>
      </c>
      <c r="B109" s="117"/>
      <c r="C109" s="58" t="s">
        <v>311</v>
      </c>
      <c r="D109" s="14"/>
      <c r="E109" s="36"/>
      <c r="F109" s="137" t="str">
        <f>"(Line "&amp;A$156&amp;")"</f>
        <v>(Line 102)</v>
      </c>
      <c r="G109" s="673">
        <f>+G156</f>
        <v>38207807.530910723</v>
      </c>
      <c r="H109" s="1182">
        <f>+H156</f>
        <v>38343283.494736254</v>
      </c>
      <c r="J109" s="281"/>
      <c r="K109" s="281"/>
      <c r="L109" s="281"/>
      <c r="M109" s="281"/>
      <c r="N109" s="281"/>
      <c r="O109" s="281"/>
      <c r="P109" s="281"/>
      <c r="Q109" s="281"/>
      <c r="R109" s="281"/>
      <c r="S109" s="281"/>
      <c r="T109" s="281"/>
      <c r="U109" s="281"/>
    </row>
    <row r="110" spans="1:21">
      <c r="A110" s="77">
        <f>+A109+1</f>
        <v>68</v>
      </c>
      <c r="B110" s="117"/>
      <c r="C110" s="14" t="s">
        <v>337</v>
      </c>
      <c r="D110" s="14"/>
      <c r="E110" s="36" t="str">
        <f>"(Note "&amp;A$311&amp;")"</f>
        <v>(Note H)</v>
      </c>
      <c r="F110" s="974"/>
      <c r="G110" s="706">
        <v>0</v>
      </c>
      <c r="H110" s="1202">
        <v>0</v>
      </c>
      <c r="J110" s="281"/>
      <c r="K110" s="281"/>
      <c r="L110" s="281"/>
      <c r="M110" s="281"/>
    </row>
    <row r="111" spans="1:21" s="1" customFormat="1" ht="15.75">
      <c r="A111" s="77">
        <f>+A110+1</f>
        <v>69</v>
      </c>
      <c r="B111" s="118"/>
      <c r="C111" s="971" t="s">
        <v>266</v>
      </c>
      <c r="D111" s="972"/>
      <c r="E111" s="973"/>
      <c r="F111" s="137" t="str">
        <f>"(Line "&amp;A109&amp;" * Line "&amp;A110&amp;")"</f>
        <v>(Line 67 * Line 68)</v>
      </c>
      <c r="G111" s="673">
        <f>+G109*G110</f>
        <v>0</v>
      </c>
      <c r="H111" s="1182">
        <f>+H109*H110</f>
        <v>0</v>
      </c>
      <c r="I111" s="1117"/>
      <c r="J111" s="37"/>
      <c r="K111" s="37"/>
      <c r="L111" s="37"/>
      <c r="M111" s="37"/>
    </row>
    <row r="112" spans="1:21" s="1" customFormat="1" ht="15.75">
      <c r="A112" s="77"/>
      <c r="B112" s="118"/>
      <c r="C112" s="41"/>
      <c r="D112" s="1081"/>
      <c r="E112" s="206"/>
      <c r="F112" s="137"/>
      <c r="G112" s="697"/>
      <c r="H112" s="1192"/>
      <c r="I112" s="1117"/>
      <c r="J112" s="37"/>
      <c r="K112" s="37"/>
      <c r="L112" s="37"/>
      <c r="M112" s="37"/>
    </row>
    <row r="113" spans="1:15" s="1" customFormat="1" ht="15.75">
      <c r="A113" s="119"/>
      <c r="B113" s="41" t="s">
        <v>344</v>
      </c>
      <c r="C113" s="38"/>
      <c r="D113" s="56"/>
      <c r="E113" s="38"/>
      <c r="F113" s="132"/>
      <c r="G113" s="697"/>
      <c r="H113" s="1192"/>
      <c r="I113" s="1117"/>
      <c r="J113" s="37"/>
      <c r="K113" s="37"/>
      <c r="L113" s="37"/>
      <c r="M113" s="37"/>
    </row>
    <row r="114" spans="1:15" ht="15.75">
      <c r="A114" s="77">
        <f>+A111+1</f>
        <v>70</v>
      </c>
      <c r="B114" s="10"/>
      <c r="C114" s="15" t="s">
        <v>346</v>
      </c>
      <c r="D114" s="10"/>
      <c r="E114" s="36" t="str">
        <f>"(Notes "&amp;A$305&amp;" &amp; "&amp;A$317&amp;")"</f>
        <v>(Notes B &amp; N)</v>
      </c>
      <c r="F114" s="133"/>
      <c r="G114" s="225">
        <v>0</v>
      </c>
      <c r="H114" s="1185">
        <v>0</v>
      </c>
      <c r="J114" s="37"/>
      <c r="K114" s="37"/>
      <c r="L114" s="37"/>
      <c r="M114" s="37"/>
      <c r="N114" s="1"/>
      <c r="O114" s="1"/>
    </row>
    <row r="115" spans="1:15" ht="15.75">
      <c r="A115" s="111">
        <f>+A114+1</f>
        <v>71</v>
      </c>
      <c r="B115" s="15"/>
      <c r="C115" s="479" t="s">
        <v>1094</v>
      </c>
      <c r="D115" s="479"/>
      <c r="E115" s="76" t="str">
        <f>"(Notes "&amp;A$305&amp;" &amp; "&amp;A$317&amp;")"</f>
        <v>(Notes B &amp; N)</v>
      </c>
      <c r="F115" s="279"/>
      <c r="G115" s="761">
        <v>0</v>
      </c>
      <c r="H115" s="1193">
        <v>0</v>
      </c>
      <c r="J115" s="37"/>
      <c r="K115" s="37"/>
      <c r="L115" s="37"/>
      <c r="M115" s="37"/>
      <c r="N115" s="1"/>
      <c r="O115" s="1"/>
    </row>
    <row r="116" spans="1:15" ht="15.75">
      <c r="A116" s="111">
        <f>+A115+1</f>
        <v>72</v>
      </c>
      <c r="B116" s="10"/>
      <c r="C116" s="10" t="s">
        <v>347</v>
      </c>
      <c r="D116" s="10"/>
      <c r="E116" s="36"/>
      <c r="F116" s="132" t="str">
        <f>"(Line "&amp;A114&amp;" - Line "&amp;A115&amp;")"</f>
        <v>(Line 70 - Line 71)</v>
      </c>
      <c r="G116" s="696">
        <f>+G114-G115</f>
        <v>0</v>
      </c>
      <c r="H116" s="1190">
        <f>+H114-H115</f>
        <v>0</v>
      </c>
      <c r="J116" s="37"/>
      <c r="K116" s="37"/>
      <c r="L116" s="37"/>
      <c r="M116" s="37"/>
      <c r="N116" s="1"/>
      <c r="O116" s="1"/>
    </row>
    <row r="117" spans="1:15" ht="15.75">
      <c r="A117" s="111"/>
      <c r="B117" s="10"/>
      <c r="C117" s="10"/>
      <c r="D117" s="10"/>
      <c r="E117" s="36"/>
      <c r="F117" s="136"/>
      <c r="G117" s="698"/>
      <c r="H117" s="1194"/>
      <c r="J117" s="37"/>
      <c r="K117" s="37"/>
      <c r="L117" s="37"/>
      <c r="M117" s="37"/>
      <c r="N117" s="1"/>
      <c r="O117" s="1"/>
    </row>
    <row r="118" spans="1:15" ht="16.5" thickBot="1">
      <c r="A118" s="111">
        <f>+A116+1</f>
        <v>73</v>
      </c>
      <c r="B118" s="4" t="s">
        <v>306</v>
      </c>
      <c r="C118" s="4"/>
      <c r="D118" s="4"/>
      <c r="E118" s="164"/>
      <c r="F118" s="1088" t="str">
        <f>"(Line "&amp;A75&amp;" + Line "&amp;A77&amp;" + Line "&amp;A87&amp;" + Line "&amp;A94&amp;" + Line "&amp;A104&amp;" + Line "&amp;A106&amp;" + Line "&amp;A111&amp;" - Line "&amp;A116&amp;" )"</f>
        <v>(Line 43 + Line 44 + Line 52 + Line 57 + Line 65 + Line 66 + Line 69 - Line 72 )</v>
      </c>
      <c r="G118" s="628">
        <f>SUM(G75,G77,G87,G104,G106,G94,G111)-G116</f>
        <v>-147080748.29822642</v>
      </c>
      <c r="H118" s="1178">
        <f>SUM(H75,H87,H104,H106,H94,H111)-H116+H77</f>
        <v>-158775290.87196624</v>
      </c>
      <c r="J118" s="37"/>
      <c r="K118" s="37"/>
      <c r="L118" s="37"/>
      <c r="M118" s="37"/>
      <c r="N118" s="1"/>
      <c r="O118" s="1"/>
    </row>
    <row r="119" spans="1:15" ht="16.5" thickTop="1">
      <c r="A119" s="111"/>
      <c r="B119" s="10"/>
      <c r="C119" s="10"/>
      <c r="D119" s="10"/>
      <c r="E119" s="28"/>
      <c r="F119" s="136"/>
      <c r="G119" s="698"/>
      <c r="H119" s="1194"/>
      <c r="J119" s="37"/>
      <c r="K119" s="37"/>
      <c r="L119" s="37"/>
      <c r="M119" s="37"/>
      <c r="N119" s="1"/>
      <c r="O119" s="1"/>
    </row>
    <row r="120" spans="1:15" ht="16.5" thickBot="1">
      <c r="A120" s="108">
        <f>+A118+1</f>
        <v>74</v>
      </c>
      <c r="B120" s="4" t="s">
        <v>302</v>
      </c>
      <c r="C120" s="4"/>
      <c r="D120" s="4"/>
      <c r="E120" s="29"/>
      <c r="F120" s="134" t="str">
        <f>"(Line "&amp;A63&amp;" + Line "&amp;A118&amp;")"</f>
        <v>(Line 35 + Line 73)</v>
      </c>
      <c r="G120" s="699">
        <f>+G63+G118</f>
        <v>986250112.59732676</v>
      </c>
      <c r="H120" s="1195">
        <f>+H63+H118</f>
        <v>1105827407.8464279</v>
      </c>
      <c r="J120" s="37"/>
      <c r="K120" s="37"/>
      <c r="L120" s="37"/>
      <c r="M120" s="37"/>
      <c r="N120" s="1"/>
      <c r="O120" s="1"/>
    </row>
    <row r="121" spans="1:15" ht="16.5" thickTop="1">
      <c r="A121" s="120"/>
      <c r="B121" s="10"/>
      <c r="C121" s="10"/>
      <c r="D121" s="10"/>
      <c r="E121" s="28"/>
      <c r="F121" s="136"/>
      <c r="G121" s="698"/>
      <c r="H121" s="1194"/>
      <c r="J121" s="37"/>
      <c r="K121" s="37"/>
      <c r="L121" s="37"/>
      <c r="M121" s="37"/>
      <c r="N121" s="1"/>
      <c r="O121" s="1"/>
    </row>
    <row r="122" spans="1:15" s="281" customFormat="1" ht="15.75">
      <c r="A122" s="1161" t="s">
        <v>321</v>
      </c>
      <c r="B122" s="263"/>
      <c r="C122" s="264"/>
      <c r="D122" s="264"/>
      <c r="E122" s="964"/>
      <c r="F122" s="266"/>
      <c r="G122" s="700"/>
      <c r="H122" s="1196"/>
      <c r="I122" s="257"/>
      <c r="J122" s="37"/>
      <c r="K122" s="37"/>
      <c r="L122" s="37"/>
      <c r="M122" s="37"/>
      <c r="N122" s="1"/>
      <c r="O122" s="1"/>
    </row>
    <row r="123" spans="1:15" s="281" customFormat="1" ht="15.75">
      <c r="A123" s="121"/>
      <c r="B123" s="9"/>
      <c r="C123" s="9"/>
      <c r="D123" s="9"/>
      <c r="E123" s="52"/>
      <c r="F123" s="133"/>
      <c r="G123" s="701"/>
      <c r="H123" s="1197"/>
      <c r="I123" s="257"/>
      <c r="J123" s="37"/>
      <c r="K123" s="37"/>
      <c r="L123" s="37"/>
      <c r="M123" s="37"/>
      <c r="N123" s="1"/>
      <c r="O123" s="1"/>
    </row>
    <row r="124" spans="1:15" ht="15.75">
      <c r="A124" s="108"/>
      <c r="B124" s="5" t="s">
        <v>931</v>
      </c>
      <c r="C124" s="6"/>
      <c r="D124" s="49"/>
      <c r="E124" s="55"/>
      <c r="F124" s="136"/>
      <c r="G124" s="702"/>
      <c r="H124" s="1198"/>
      <c r="J124" s="37"/>
      <c r="K124" s="37"/>
      <c r="L124" s="37"/>
      <c r="M124" s="37"/>
      <c r="N124" s="1"/>
      <c r="O124" s="1"/>
    </row>
    <row r="125" spans="1:15" ht="15.75">
      <c r="A125" s="77">
        <f>+A120+1</f>
        <v>75</v>
      </c>
      <c r="B125" s="33"/>
      <c r="C125" s="61" t="s">
        <v>295</v>
      </c>
      <c r="D125" s="9"/>
      <c r="E125" s="36" t="str">
        <f>"(Note "&amp;A$318&amp;")"</f>
        <v>(Note O)</v>
      </c>
      <c r="F125" s="137" t="s">
        <v>1159</v>
      </c>
      <c r="G125" s="225">
        <v>43308957</v>
      </c>
      <c r="H125" s="1185">
        <v>43308957</v>
      </c>
      <c r="J125" s="37"/>
      <c r="K125" s="37"/>
      <c r="L125" s="37"/>
      <c r="M125" s="37"/>
      <c r="N125" s="1"/>
      <c r="O125" s="1"/>
    </row>
    <row r="126" spans="1:15" ht="15.75">
      <c r="A126" s="77">
        <f>+A125+1</f>
        <v>76</v>
      </c>
      <c r="B126" s="33"/>
      <c r="C126" s="193" t="s">
        <v>945</v>
      </c>
      <c r="D126" s="9"/>
      <c r="E126" s="36" t="str">
        <f>"(Note "&amp;A$334&amp;")"</f>
        <v>(Note EE)</v>
      </c>
      <c r="F126" s="137" t="s">
        <v>1529</v>
      </c>
      <c r="G126" s="225">
        <v>8434299</v>
      </c>
      <c r="H126" s="1185">
        <v>8434299</v>
      </c>
      <c r="J126" s="37"/>
      <c r="K126" s="37"/>
      <c r="L126" s="37"/>
      <c r="M126" s="37"/>
      <c r="N126" s="1"/>
      <c r="O126" s="1"/>
    </row>
    <row r="127" spans="1:15" ht="15.75">
      <c r="A127" s="77">
        <f>+A126+1</f>
        <v>77</v>
      </c>
      <c r="B127" s="33"/>
      <c r="C127" s="193" t="s">
        <v>1095</v>
      </c>
      <c r="D127" s="9"/>
      <c r="E127" s="975"/>
      <c r="F127" s="61" t="s">
        <v>1245</v>
      </c>
      <c r="G127" s="225">
        <v>7147114</v>
      </c>
      <c r="H127" s="1185">
        <v>7147114</v>
      </c>
      <c r="J127" s="37"/>
      <c r="K127" s="37"/>
      <c r="L127" s="37"/>
      <c r="M127" s="37"/>
      <c r="N127" s="1"/>
      <c r="O127" s="1"/>
    </row>
    <row r="128" spans="1:15" ht="15.75">
      <c r="A128" s="77">
        <f t="shared" ref="A128:A129" si="3">+A127+1</f>
        <v>78</v>
      </c>
      <c r="B128" s="33"/>
      <c r="C128" s="193" t="s">
        <v>1530</v>
      </c>
      <c r="D128" s="9"/>
      <c r="E128" s="975"/>
      <c r="F128" s="61" t="s">
        <v>1531</v>
      </c>
      <c r="G128" s="225">
        <v>0</v>
      </c>
      <c r="H128" s="1185">
        <v>0</v>
      </c>
      <c r="J128" s="37"/>
      <c r="K128" s="37"/>
      <c r="L128" s="37"/>
      <c r="M128" s="37"/>
      <c r="N128" s="1"/>
      <c r="O128" s="1"/>
    </row>
    <row r="129" spans="1:15" ht="15.75">
      <c r="A129" s="77">
        <f t="shared" si="3"/>
        <v>79</v>
      </c>
      <c r="B129" s="33"/>
      <c r="C129" s="976" t="s">
        <v>974</v>
      </c>
      <c r="D129" s="9"/>
      <c r="E129" s="36" t="str">
        <f>"(Note "&amp;A$335&amp;")"</f>
        <v>(Note FF)</v>
      </c>
      <c r="F129" s="720" t="str">
        <f>+"WP02 Support Line "&amp;'WP02 Support'!A98&amp;" Column "&amp;'WP02 Support'!D88</f>
        <v>WP02 Support Line 32 Column C</v>
      </c>
      <c r="G129" s="703">
        <f>+'WP02 Support'!D98</f>
        <v>-2646849.3499999996</v>
      </c>
      <c r="H129" s="1167">
        <f>+'WP02 Support'!D98</f>
        <v>-2646849.3499999996</v>
      </c>
      <c r="J129" s="37"/>
      <c r="K129" s="37"/>
      <c r="L129" s="37"/>
      <c r="M129" s="37"/>
      <c r="N129" s="1"/>
      <c r="O129" s="1"/>
    </row>
    <row r="130" spans="1:15" ht="15.75">
      <c r="A130" s="77">
        <f>+A129+1</f>
        <v>80</v>
      </c>
      <c r="B130" s="9"/>
      <c r="C130" s="305" t="s">
        <v>295</v>
      </c>
      <c r="D130" s="303"/>
      <c r="E130" s="304"/>
      <c r="F130" s="137" t="str">
        <f>"(Line "&amp;A125&amp;" - Line "&amp;A126&amp;" - Line "&amp;A127&amp;" + Line "&amp;A128&amp;" + "&amp;" Line "&amp;A129&amp;")"</f>
        <v>(Line 75 - Line 76 - Line 77 + Line 78 +  Line 79)</v>
      </c>
      <c r="G130" s="74">
        <f>+G125-G126-G127+G128+G129</f>
        <v>25080694.649999999</v>
      </c>
      <c r="H130" s="1567">
        <f>+H125-H126-H127+H128+H129</f>
        <v>25080694.649999999</v>
      </c>
      <c r="J130" s="37"/>
      <c r="K130" s="37"/>
      <c r="L130" s="37"/>
      <c r="M130" s="37"/>
      <c r="N130" s="1"/>
      <c r="O130" s="1"/>
    </row>
    <row r="131" spans="1:15" ht="15.75">
      <c r="A131" s="77"/>
      <c r="B131" s="33"/>
      <c r="C131" s="5"/>
      <c r="D131" s="9"/>
      <c r="E131" s="110"/>
      <c r="F131" s="144"/>
      <c r="G131" s="74"/>
      <c r="H131" s="1176"/>
      <c r="J131" s="37"/>
      <c r="K131" s="37"/>
      <c r="L131" s="37"/>
      <c r="M131" s="37"/>
      <c r="N131" s="1"/>
      <c r="O131" s="1"/>
    </row>
    <row r="132" spans="1:15" ht="15.75">
      <c r="A132" s="77"/>
      <c r="B132" s="5" t="s">
        <v>932</v>
      </c>
      <c r="C132" s="9"/>
      <c r="D132" s="9"/>
      <c r="E132" s="110"/>
      <c r="F132" s="144"/>
      <c r="G132" s="74"/>
      <c r="H132" s="1176"/>
      <c r="J132" s="37"/>
      <c r="K132" s="37"/>
      <c r="L132" s="37"/>
      <c r="M132" s="37"/>
      <c r="N132" s="1"/>
      <c r="O132" s="1"/>
    </row>
    <row r="133" spans="1:15" ht="15.75">
      <c r="A133" s="77">
        <f>+A130+1</f>
        <v>81</v>
      </c>
      <c r="B133" s="33"/>
      <c r="C133" s="61" t="s">
        <v>298</v>
      </c>
      <c r="D133" s="9"/>
      <c r="E133" s="36" t="str">
        <f>"(Note "&amp;A$318&amp;")"</f>
        <v>(Note O)</v>
      </c>
      <c r="F133" s="137" t="s">
        <v>1160</v>
      </c>
      <c r="G133" s="225">
        <v>181181998</v>
      </c>
      <c r="H133" s="1185">
        <v>181181998</v>
      </c>
      <c r="J133" s="37"/>
      <c r="K133" s="37"/>
      <c r="L133" s="37"/>
      <c r="M133" s="37"/>
      <c r="N133" s="1"/>
      <c r="O133" s="1"/>
    </row>
    <row r="134" spans="1:15">
      <c r="A134" s="77">
        <f>+A133+1</f>
        <v>82</v>
      </c>
      <c r="B134" s="33"/>
      <c r="C134" s="193" t="s">
        <v>1219</v>
      </c>
      <c r="D134" s="9"/>
      <c r="E134" s="36" t="str">
        <f>"(Note "&amp;A$307&amp;")"</f>
        <v>(Note D)</v>
      </c>
      <c r="F134" s="1087" t="str">
        <f>+"WP12 PBOP Line "&amp;'WP12 PBOP'!A11&amp;" Column "&amp;'WP12 PBOP'!C6</f>
        <v>WP12 PBOP Line 3 Column B</v>
      </c>
      <c r="G134" s="102">
        <f>+'WP12 PBOP'!$C11</f>
        <v>0</v>
      </c>
      <c r="H134" s="1166">
        <f>+'WP12 PBOP'!$C11</f>
        <v>0</v>
      </c>
      <c r="J134" s="281"/>
      <c r="K134" s="281"/>
      <c r="L134" s="281"/>
      <c r="M134" s="281"/>
    </row>
    <row r="135" spans="1:15">
      <c r="A135" s="77">
        <f>+A134+1</f>
        <v>83</v>
      </c>
      <c r="B135" s="33"/>
      <c r="C135" s="193" t="s">
        <v>970</v>
      </c>
      <c r="D135" s="50"/>
      <c r="E135" s="36"/>
      <c r="F135" s="145" t="s">
        <v>1161</v>
      </c>
      <c r="G135" s="225">
        <v>29122139</v>
      </c>
      <c r="H135" s="1185">
        <v>29122139</v>
      </c>
      <c r="J135" s="281"/>
      <c r="K135" s="281"/>
      <c r="L135" s="281"/>
      <c r="M135" s="281"/>
    </row>
    <row r="136" spans="1:15">
      <c r="A136" s="77">
        <f t="shared" ref="A136:A143" si="4">+A135+1</f>
        <v>84</v>
      </c>
      <c r="B136" s="33"/>
      <c r="C136" s="193" t="s">
        <v>1096</v>
      </c>
      <c r="D136" s="50"/>
      <c r="E136" s="36" t="str">
        <f>"(Note "&amp;A$308&amp;")"</f>
        <v>(Note E)</v>
      </c>
      <c r="F136" s="145" t="s">
        <v>1162</v>
      </c>
      <c r="G136" s="225">
        <v>3320796</v>
      </c>
      <c r="H136" s="1185">
        <v>3320796</v>
      </c>
      <c r="J136" s="281"/>
      <c r="K136" s="281"/>
      <c r="L136" s="281"/>
      <c r="M136" s="281"/>
    </row>
    <row r="137" spans="1:15">
      <c r="A137" s="77">
        <f t="shared" si="4"/>
        <v>85</v>
      </c>
      <c r="B137" s="33"/>
      <c r="C137" s="193" t="s">
        <v>1097</v>
      </c>
      <c r="D137" s="50"/>
      <c r="E137" s="36"/>
      <c r="F137" s="145" t="s">
        <v>1163</v>
      </c>
      <c r="G137" s="225">
        <v>68089</v>
      </c>
      <c r="H137" s="1185">
        <v>68089</v>
      </c>
      <c r="J137" s="281"/>
      <c r="K137" s="281"/>
      <c r="L137" s="281"/>
      <c r="M137" s="281"/>
    </row>
    <row r="138" spans="1:15">
      <c r="A138" s="77">
        <f>+A137+1</f>
        <v>86</v>
      </c>
      <c r="B138" s="33"/>
      <c r="C138" s="193" t="s">
        <v>971</v>
      </c>
      <c r="D138" s="50"/>
      <c r="E138" s="36" t="str">
        <f>"(Notes "&amp;A$327&amp;" &amp; "&amp;A$335&amp;")"</f>
        <v>(Notes X &amp; FF)</v>
      </c>
      <c r="F138" s="133" t="str">
        <f>+"WP02 Support Line "&amp;'WP02 Support'!A118&amp;" Column "&amp;'WP02 Support'!$D$5</f>
        <v>WP02 Support Line 38 Column C</v>
      </c>
      <c r="G138" s="102">
        <f>'WP02 Support'!D118</f>
        <v>833084</v>
      </c>
      <c r="H138" s="1166">
        <f>+G138</f>
        <v>833084</v>
      </c>
      <c r="J138" s="281"/>
      <c r="K138" s="281"/>
      <c r="L138" s="281"/>
      <c r="M138" s="281"/>
    </row>
    <row r="139" spans="1:15">
      <c r="A139" s="77">
        <f>+A138+1</f>
        <v>87</v>
      </c>
      <c r="B139" s="33"/>
      <c r="C139" s="193" t="s">
        <v>969</v>
      </c>
      <c r="D139" s="15"/>
      <c r="E139" s="36"/>
      <c r="F139" s="137" t="s">
        <v>1157</v>
      </c>
      <c r="G139" s="225">
        <v>107940</v>
      </c>
      <c r="H139" s="1185">
        <v>107940</v>
      </c>
      <c r="J139" s="281"/>
      <c r="K139" s="281"/>
      <c r="L139" s="281"/>
      <c r="M139" s="281"/>
    </row>
    <row r="140" spans="1:15">
      <c r="A140" s="77">
        <f>+A139+1</f>
        <v>88</v>
      </c>
      <c r="B140" s="33"/>
      <c r="C140" s="193" t="s">
        <v>1246</v>
      </c>
      <c r="D140" s="9"/>
      <c r="E140" s="36" t="str">
        <f>"(Note "&amp;A$335&amp;")"</f>
        <v>(Note FF)</v>
      </c>
      <c r="F140" s="720" t="str">
        <f>+"WP02 Support Line "&amp;'WP02 Support'!A108&amp;" Column "&amp;'WP02 Support'!D5</f>
        <v>WP02 Support Line 35 Column C</v>
      </c>
      <c r="G140" s="703">
        <f>+'WP02 Support'!D108</f>
        <v>-6524583.6599999992</v>
      </c>
      <c r="H140" s="1167">
        <f>+'WP02 Support'!D108</f>
        <v>-6524583.6599999992</v>
      </c>
      <c r="J140" s="281"/>
      <c r="K140" s="281"/>
      <c r="L140" s="281"/>
      <c r="M140" s="281"/>
    </row>
    <row r="141" spans="1:15" ht="15.75">
      <c r="A141" s="77">
        <f>+A140+1</f>
        <v>89</v>
      </c>
      <c r="B141" s="33"/>
      <c r="C141" s="305" t="s">
        <v>933</v>
      </c>
      <c r="D141" s="303"/>
      <c r="E141" s="302"/>
      <c r="F141" s="132" t="str">
        <f>"(Line "&amp;A133&amp;" -  Sum ("&amp;A134&amp;" to "&amp;A139&amp;")"&amp;" + "&amp;A140&amp;")"</f>
        <v>(Line 81 -  Sum (82 to 87) + 88)</v>
      </c>
      <c r="G141" s="102">
        <f>+G133-G134-G135-G136-G137-G138-G139+G140</f>
        <v>141205366.34</v>
      </c>
      <c r="H141" s="1166">
        <f>+H133-H134-H135-H136-H137-H138-H139+H140</f>
        <v>141205366.34</v>
      </c>
      <c r="J141" s="281"/>
      <c r="K141" s="281"/>
      <c r="L141" s="281"/>
      <c r="M141" s="281"/>
    </row>
    <row r="142" spans="1:15">
      <c r="A142" s="77">
        <f t="shared" si="4"/>
        <v>90</v>
      </c>
      <c r="B142" s="33"/>
      <c r="C142" s="61" t="s">
        <v>305</v>
      </c>
      <c r="D142" s="12"/>
      <c r="E142" s="76"/>
      <c r="F142" s="146" t="str">
        <f>"(Line "&amp;A$24&amp;")"</f>
        <v>(Line 11)</v>
      </c>
      <c r="G142" s="721">
        <f>+G24</f>
        <v>7.5774921552056965E-2</v>
      </c>
      <c r="H142" s="1177">
        <f>H$24</f>
        <v>7.5774921552056965E-2</v>
      </c>
      <c r="J142" s="281"/>
      <c r="K142" s="281"/>
      <c r="L142" s="281"/>
      <c r="M142" s="281"/>
    </row>
    <row r="143" spans="1:15" ht="15.75">
      <c r="A143" s="77">
        <f t="shared" si="4"/>
        <v>91</v>
      </c>
      <c r="B143" s="33"/>
      <c r="C143" s="300" t="str">
        <f>+B132</f>
        <v>Allocated General Expenses (EOY)</v>
      </c>
      <c r="D143" s="9"/>
      <c r="E143" s="9"/>
      <c r="F143" s="137" t="str">
        <f>"(Line "&amp;A141&amp;" * "&amp;A142&amp;")"</f>
        <v>(Line 89 * 90)</v>
      </c>
      <c r="G143" s="74">
        <f>+G142*G141</f>
        <v>10699825.557142965</v>
      </c>
      <c r="H143" s="1176">
        <f>+H142*H141</f>
        <v>10699825.557142965</v>
      </c>
      <c r="J143" s="281"/>
      <c r="K143" s="281"/>
      <c r="L143" s="281"/>
      <c r="M143" s="281"/>
    </row>
    <row r="144" spans="1:15" ht="15.75">
      <c r="A144" s="77"/>
      <c r="B144" s="33"/>
      <c r="C144" s="5"/>
      <c r="D144" s="9"/>
      <c r="E144" s="110"/>
      <c r="F144" s="144"/>
      <c r="G144" s="102"/>
      <c r="H144" s="1166"/>
      <c r="J144" s="281"/>
      <c r="K144" s="281"/>
      <c r="L144" s="281"/>
      <c r="M144" s="281"/>
    </row>
    <row r="145" spans="1:13" ht="15.75">
      <c r="A145" s="77"/>
      <c r="B145" s="5" t="s">
        <v>268</v>
      </c>
      <c r="C145" s="15"/>
      <c r="D145" s="9"/>
      <c r="E145" s="110"/>
      <c r="F145" s="144"/>
      <c r="G145" s="102"/>
      <c r="H145" s="1166"/>
      <c r="J145" s="281"/>
      <c r="K145" s="281"/>
      <c r="L145" s="281"/>
      <c r="M145" s="281"/>
    </row>
    <row r="146" spans="1:13">
      <c r="A146" s="77">
        <f>+A143+1</f>
        <v>92</v>
      </c>
      <c r="B146" s="117"/>
      <c r="C146" s="58" t="s">
        <v>976</v>
      </c>
      <c r="D146" s="34"/>
      <c r="E146" s="36" t="str">
        <f>"(Notes "&amp;A$310&amp;" &amp; "&amp;A$335&amp;")"</f>
        <v>(Notes G &amp; FF)</v>
      </c>
      <c r="F146" s="133" t="str">
        <f>+"WP02 Support Line "&amp;'WP02 Support'!A127&amp;" Column "&amp;'WP02 Support'!$D$5</f>
        <v>WP02 Support Line 42 Column C</v>
      </c>
      <c r="G146" s="102">
        <f>+'WP02 Support'!D127</f>
        <v>1012506</v>
      </c>
      <c r="H146" s="1166">
        <f>+'WP02 Support'!D127</f>
        <v>1012506</v>
      </c>
      <c r="J146" s="281"/>
      <c r="K146" s="281"/>
      <c r="L146" s="281"/>
      <c r="M146" s="281"/>
    </row>
    <row r="147" spans="1:13">
      <c r="A147" s="77">
        <f t="shared" ref="A147:A156" si="5">+A146+1</f>
        <v>93</v>
      </c>
      <c r="B147" s="117"/>
      <c r="C147" s="25" t="s">
        <v>1098</v>
      </c>
      <c r="D147" s="35"/>
      <c r="E147" s="76" t="str">
        <f>"(Notes "&amp;A$314&amp;" &amp; "&amp;A$335&amp;")"</f>
        <v>(Notes K &amp; FF)</v>
      </c>
      <c r="F147" s="720"/>
      <c r="G147" s="761">
        <v>0</v>
      </c>
      <c r="H147" s="1193">
        <v>0</v>
      </c>
      <c r="J147" s="281"/>
      <c r="K147" s="281"/>
      <c r="L147" s="281"/>
      <c r="M147" s="281"/>
    </row>
    <row r="148" spans="1:13" ht="15.75">
      <c r="A148" s="77">
        <f t="shared" si="5"/>
        <v>94</v>
      </c>
      <c r="B148" s="117"/>
      <c r="C148" s="58" t="s">
        <v>317</v>
      </c>
      <c r="D148" s="122"/>
      <c r="E148" s="36"/>
      <c r="F148" s="137" t="str">
        <f>"(Line "&amp;A146&amp;" + "&amp;A147&amp;")"</f>
        <v>(Line 92 + 93)</v>
      </c>
      <c r="G148" s="697">
        <f>+G147+G146</f>
        <v>1012506</v>
      </c>
      <c r="H148" s="1192">
        <f>+H147+H146</f>
        <v>1012506</v>
      </c>
      <c r="J148" s="281"/>
      <c r="K148" s="281"/>
      <c r="L148" s="281"/>
      <c r="M148" s="281"/>
    </row>
    <row r="149" spans="1:13">
      <c r="A149" s="77">
        <f t="shared" si="5"/>
        <v>95</v>
      </c>
      <c r="B149" s="117"/>
      <c r="C149" s="58"/>
      <c r="D149" s="122"/>
      <c r="E149" s="36"/>
      <c r="F149" s="147"/>
      <c r="G149" s="704"/>
      <c r="H149" s="1199"/>
      <c r="J149" s="281"/>
      <c r="K149" s="281"/>
      <c r="L149" s="281"/>
      <c r="M149" s="281"/>
    </row>
    <row r="150" spans="1:13">
      <c r="A150" s="77">
        <f t="shared" si="5"/>
        <v>96</v>
      </c>
      <c r="B150" s="117"/>
      <c r="C150" s="58" t="s">
        <v>1231</v>
      </c>
      <c r="D150" s="122"/>
      <c r="E150" s="36" t="str">
        <f>"(Note "&amp;A$309&amp;")"</f>
        <v>(Note F)</v>
      </c>
      <c r="F150" s="1087" t="str">
        <f>+"WP10 Storm Line "&amp;'WP10 Storm'!A65&amp;" Column "&amp;'WP10 Storm'!E6</f>
        <v xml:space="preserve">WP10 Storm Line 28 Column D </v>
      </c>
      <c r="G150" s="673">
        <f>+'WP10 Storm'!$E$65</f>
        <v>6065015</v>
      </c>
      <c r="H150" s="1182">
        <f>+'WP10 Storm'!$E$65</f>
        <v>6065015</v>
      </c>
      <c r="J150" s="281"/>
      <c r="K150" s="281"/>
      <c r="L150" s="281"/>
      <c r="M150" s="281"/>
    </row>
    <row r="151" spans="1:13">
      <c r="A151" s="77">
        <f t="shared" si="5"/>
        <v>97</v>
      </c>
      <c r="B151" s="117"/>
      <c r="C151" s="61" t="s">
        <v>1019</v>
      </c>
      <c r="D151" s="12"/>
      <c r="E151" s="76" t="str">
        <f>"(Notes "&amp;A$338&amp;" &amp; "&amp;A$335&amp;")"</f>
        <v>(Notes II &amp; FF)</v>
      </c>
      <c r="F151" s="1517"/>
      <c r="G151" s="761">
        <v>0</v>
      </c>
      <c r="H151" s="1193">
        <v>0</v>
      </c>
      <c r="J151" s="281"/>
      <c r="K151" s="281"/>
      <c r="L151" s="281"/>
      <c r="M151" s="281"/>
    </row>
    <row r="152" spans="1:13">
      <c r="A152" s="77">
        <f t="shared" si="5"/>
        <v>98</v>
      </c>
      <c r="B152" s="117"/>
      <c r="C152" s="672" t="s">
        <v>308</v>
      </c>
      <c r="D152" s="310"/>
      <c r="E152" s="304"/>
      <c r="F152" s="137" t="str">
        <f>"(Line "&amp;A150&amp;" + "&amp;A151&amp;")"</f>
        <v>(Line 96 + 97)</v>
      </c>
      <c r="G152" s="673">
        <f>+G150+G151</f>
        <v>6065015</v>
      </c>
      <c r="H152" s="1182">
        <f>+H150+H151</f>
        <v>6065015</v>
      </c>
      <c r="J152" s="281"/>
      <c r="K152" s="281"/>
      <c r="L152" s="281"/>
      <c r="M152" s="281"/>
    </row>
    <row r="153" spans="1:13">
      <c r="A153" s="77">
        <f t="shared" si="5"/>
        <v>99</v>
      </c>
      <c r="B153" s="33"/>
      <c r="C153" s="25" t="s">
        <v>282</v>
      </c>
      <c r="D153" s="14"/>
      <c r="E153" s="30"/>
      <c r="F153" s="138" t="str">
        <f>"(Line "&amp;A$35&amp;")"</f>
        <v>(Line 18)</v>
      </c>
      <c r="G153" s="94">
        <f>+G$35</f>
        <v>0.23326922089520993</v>
      </c>
      <c r="H153" s="1181">
        <f>+H$35</f>
        <v>0.25560650511058786</v>
      </c>
      <c r="J153" s="281"/>
      <c r="K153" s="281"/>
      <c r="L153" s="281"/>
      <c r="M153" s="281"/>
    </row>
    <row r="154" spans="1:13" ht="15.75">
      <c r="A154" s="77">
        <f t="shared" si="5"/>
        <v>100</v>
      </c>
      <c r="B154" s="33"/>
      <c r="C154" s="305" t="s">
        <v>269</v>
      </c>
      <c r="D154" s="303"/>
      <c r="E154" s="36"/>
      <c r="F154" s="137" t="str">
        <f>"(Line "&amp;A152&amp;" * "&amp;A153&amp;")"</f>
        <v>(Line 98 * 99)</v>
      </c>
      <c r="G154" s="697">
        <f>+G153*G152</f>
        <v>1414781.3237677617</v>
      </c>
      <c r="H154" s="1192">
        <f>+H153*H152</f>
        <v>1550257.2875932921</v>
      </c>
      <c r="J154" s="281"/>
      <c r="K154" s="281"/>
      <c r="L154" s="281"/>
      <c r="M154" s="281"/>
    </row>
    <row r="155" spans="1:13" ht="15.75">
      <c r="A155" s="77">
        <f t="shared" si="5"/>
        <v>101</v>
      </c>
      <c r="B155" s="7"/>
      <c r="C155" s="5"/>
      <c r="D155" s="9"/>
      <c r="E155" s="55"/>
      <c r="F155" s="135"/>
      <c r="G155" s="702"/>
      <c r="H155" s="1198"/>
      <c r="J155" s="281"/>
      <c r="K155" s="281"/>
      <c r="L155" s="281"/>
      <c r="M155" s="281"/>
    </row>
    <row r="156" spans="1:13" ht="16.5" thickBot="1">
      <c r="A156" s="77">
        <f t="shared" si="5"/>
        <v>102</v>
      </c>
      <c r="B156" s="3" t="s">
        <v>297</v>
      </c>
      <c r="C156" s="3"/>
      <c r="D156" s="19"/>
      <c r="E156" s="57"/>
      <c r="F156" s="72" t="str">
        <f>"(Line "&amp;A130&amp;" + "&amp;A143&amp;" + "&amp;A148&amp;" + "&amp;A154&amp;")"</f>
        <v>(Line 80 + 91 + 94 + 100)</v>
      </c>
      <c r="G156" s="705">
        <f>+G130+G143+G148+G154</f>
        <v>38207807.530910723</v>
      </c>
      <c r="H156" s="1200">
        <f>+H130+H143+H148+H154</f>
        <v>38343283.494736254</v>
      </c>
      <c r="J156" s="281"/>
      <c r="K156" s="281"/>
      <c r="L156" s="281"/>
      <c r="M156" s="281"/>
    </row>
    <row r="157" spans="1:13" ht="16.5" thickTop="1">
      <c r="A157" s="112"/>
      <c r="B157" s="7"/>
      <c r="C157" s="5"/>
      <c r="D157" s="9"/>
      <c r="E157" s="55"/>
      <c r="F157" s="135"/>
      <c r="G157" s="73"/>
      <c r="H157" s="1172"/>
      <c r="J157" s="281"/>
      <c r="K157" s="281"/>
      <c r="L157" s="281"/>
      <c r="M157" s="281"/>
    </row>
    <row r="158" spans="1:13" ht="15.75">
      <c r="A158" s="1161" t="s">
        <v>291</v>
      </c>
      <c r="B158" s="263"/>
      <c r="C158" s="264"/>
      <c r="D158" s="264"/>
      <c r="E158" s="265"/>
      <c r="F158" s="266"/>
      <c r="G158" s="267"/>
      <c r="H158" s="1173"/>
      <c r="J158" s="281"/>
      <c r="K158" s="281"/>
      <c r="L158" s="281"/>
      <c r="M158" s="281"/>
    </row>
    <row r="159" spans="1:13" ht="15.75">
      <c r="A159" s="123"/>
      <c r="B159" s="7"/>
      <c r="C159" s="5"/>
      <c r="D159" s="9"/>
      <c r="E159" s="55"/>
      <c r="F159" s="135"/>
      <c r="G159" s="73"/>
      <c r="H159" s="1172"/>
      <c r="J159" s="281"/>
      <c r="K159" s="281"/>
      <c r="L159" s="281"/>
      <c r="M159" s="281"/>
    </row>
    <row r="160" spans="1:13" ht="15.75">
      <c r="A160" s="111"/>
      <c r="B160" s="26" t="s">
        <v>934</v>
      </c>
      <c r="C160" s="15"/>
      <c r="D160" s="9"/>
      <c r="E160" s="36"/>
      <c r="F160" s="161"/>
      <c r="G160" s="162"/>
      <c r="H160" s="1201"/>
      <c r="J160" s="281"/>
      <c r="K160" s="281"/>
      <c r="L160" s="281"/>
      <c r="M160" s="281"/>
    </row>
    <row r="161" spans="1:13">
      <c r="A161" s="108">
        <f>+A156+1</f>
        <v>103</v>
      </c>
      <c r="B161" s="124"/>
      <c r="C161" s="61" t="s">
        <v>256</v>
      </c>
      <c r="D161" s="33"/>
      <c r="E161" s="36" t="str">
        <f>"(Note "&amp;A$319&amp;")"</f>
        <v>(Note P)</v>
      </c>
      <c r="F161" s="139" t="s">
        <v>935</v>
      </c>
      <c r="G161" s="706">
        <v>28887117</v>
      </c>
      <c r="H161" s="1202">
        <v>28887117</v>
      </c>
      <c r="J161" s="281"/>
      <c r="K161" s="281"/>
      <c r="L161" s="281"/>
      <c r="M161" s="281"/>
    </row>
    <row r="162" spans="1:13" ht="15.75">
      <c r="A162" s="108">
        <f t="shared" ref="A162:A170" si="6">+A161+1</f>
        <v>104</v>
      </c>
      <c r="B162" s="124"/>
      <c r="C162" s="58"/>
      <c r="D162" s="9"/>
      <c r="E162" s="33"/>
      <c r="F162" s="147"/>
      <c r="G162" s="697"/>
      <c r="H162" s="1192"/>
      <c r="J162" s="281"/>
      <c r="K162" s="281"/>
      <c r="L162" s="281"/>
      <c r="M162" s="281"/>
    </row>
    <row r="163" spans="1:13">
      <c r="A163" s="108">
        <f t="shared" si="6"/>
        <v>105</v>
      </c>
      <c r="B163" s="117"/>
      <c r="C163" s="58" t="s">
        <v>283</v>
      </c>
      <c r="D163" s="9"/>
      <c r="E163" s="36" t="str">
        <f>"(Note "&amp;A$304&amp;")"</f>
        <v>(Note A)</v>
      </c>
      <c r="F163" s="147" t="s">
        <v>937</v>
      </c>
      <c r="G163" s="707">
        <v>16674018</v>
      </c>
      <c r="H163" s="1203">
        <v>16674018</v>
      </c>
      <c r="J163" s="281"/>
      <c r="K163" s="281"/>
      <c r="L163" s="281"/>
      <c r="M163" s="281"/>
    </row>
    <row r="164" spans="1:13" s="281" customFormat="1">
      <c r="A164" s="108">
        <f t="shared" si="6"/>
        <v>106</v>
      </c>
      <c r="B164" s="124"/>
      <c r="C164" s="58" t="s">
        <v>1020</v>
      </c>
      <c r="D164" s="9"/>
      <c r="E164" s="33" t="str">
        <f>"(Note "&amp;A$304&amp;")"</f>
        <v>(Note A)</v>
      </c>
      <c r="F164" s="147" t="s">
        <v>936</v>
      </c>
      <c r="G164" s="707">
        <v>19147493</v>
      </c>
      <c r="H164" s="1203">
        <v>19147493</v>
      </c>
      <c r="I164" s="257"/>
    </row>
    <row r="165" spans="1:13" s="281" customFormat="1">
      <c r="A165" s="108">
        <f t="shared" si="6"/>
        <v>107</v>
      </c>
      <c r="B165" s="480"/>
      <c r="C165" s="25" t="s">
        <v>1247</v>
      </c>
      <c r="D165" s="479"/>
      <c r="E165" s="30" t="str">
        <f>"(Note "&amp;A$335&amp;")"</f>
        <v>(Note FF)</v>
      </c>
      <c r="F165" s="279" t="str">
        <f>+"WP02 Support Line "&amp;'WP02 Support'!A140&amp;" Column "&amp;'WP02 Support'!$D$5</f>
        <v>WP02 Support Line 48 Column C</v>
      </c>
      <c r="G165" s="986">
        <f>+'WP02 Support'!D140</f>
        <v>-81887.909999999989</v>
      </c>
      <c r="H165" s="1204">
        <f>+'WP02 Support'!D140</f>
        <v>-81887.909999999989</v>
      </c>
      <c r="I165" s="257"/>
    </row>
    <row r="166" spans="1:13">
      <c r="A166" s="108">
        <f t="shared" si="6"/>
        <v>108</v>
      </c>
      <c r="B166" s="117"/>
      <c r="C166" s="58" t="s">
        <v>308</v>
      </c>
      <c r="D166" s="9"/>
      <c r="E166" s="33"/>
      <c r="F166" s="1090" t="str">
        <f>"(Line "&amp;A163&amp;" + "&amp;A164&amp;" + "&amp;A165&amp;")"</f>
        <v>(Line 105 + 106 + 107)</v>
      </c>
      <c r="G166" s="673">
        <f>+G164+G165+G163</f>
        <v>35739623.090000004</v>
      </c>
      <c r="H166" s="1182">
        <f>+H164+H165+H163</f>
        <v>35739623.090000004</v>
      </c>
      <c r="J166" s="281"/>
      <c r="K166" s="281"/>
      <c r="L166" s="281"/>
      <c r="M166" s="281"/>
    </row>
    <row r="167" spans="1:13">
      <c r="A167" s="77">
        <f t="shared" si="6"/>
        <v>109</v>
      </c>
      <c r="B167" s="117"/>
      <c r="C167" s="25" t="s">
        <v>305</v>
      </c>
      <c r="D167" s="12"/>
      <c r="E167" s="76"/>
      <c r="F167" s="146" t="str">
        <f>"(Line "&amp;A$24&amp;")"</f>
        <v>(Line 11)</v>
      </c>
      <c r="G167" s="94">
        <f>+G24</f>
        <v>7.5774921552056965E-2</v>
      </c>
      <c r="H167" s="1177">
        <f>H$24</f>
        <v>7.5774921552056965E-2</v>
      </c>
      <c r="J167" s="281"/>
      <c r="K167" s="281"/>
      <c r="L167" s="281"/>
      <c r="M167" s="281"/>
    </row>
    <row r="168" spans="1:13" ht="15.75">
      <c r="A168" s="77">
        <f t="shared" si="6"/>
        <v>110</v>
      </c>
      <c r="B168" s="117"/>
      <c r="C168" s="41" t="s">
        <v>611</v>
      </c>
      <c r="D168" s="9"/>
      <c r="E168" s="9"/>
      <c r="F168" s="137" t="str">
        <f>"(Line "&amp;A166&amp;" * "&amp;A167&amp;")"</f>
        <v>(Line 108 * 109)</v>
      </c>
      <c r="G168" s="697">
        <f>(+G166*G167)</f>
        <v>2708167.135944834</v>
      </c>
      <c r="H168" s="1192">
        <f>(+H166*H167)</f>
        <v>2708167.135944834</v>
      </c>
      <c r="J168" s="281"/>
      <c r="K168" s="281"/>
      <c r="L168" s="281"/>
      <c r="M168" s="281"/>
    </row>
    <row r="169" spans="1:13">
      <c r="A169" s="77">
        <f t="shared" si="6"/>
        <v>111</v>
      </c>
      <c r="B169" s="125"/>
      <c r="C169" s="58"/>
      <c r="D169" s="9"/>
      <c r="E169" s="33"/>
      <c r="F169" s="147"/>
      <c r="G169" s="673"/>
      <c r="H169" s="1182"/>
      <c r="J169" s="281"/>
      <c r="K169" s="281"/>
      <c r="L169" s="281"/>
      <c r="M169" s="281"/>
    </row>
    <row r="170" spans="1:13" s="1" customFormat="1" ht="16.5" thickBot="1">
      <c r="A170" s="77">
        <f t="shared" si="6"/>
        <v>112</v>
      </c>
      <c r="B170" s="59" t="s">
        <v>292</v>
      </c>
      <c r="C170" s="59"/>
      <c r="D170" s="16"/>
      <c r="E170" s="60"/>
      <c r="F170" s="72" t="str">
        <f>"(Line "&amp;A161&amp;" + "&amp;A168&amp;")"</f>
        <v>(Line 103 + 110)</v>
      </c>
      <c r="G170" s="101">
        <f>+G161+G168</f>
        <v>31595284.135944836</v>
      </c>
      <c r="H170" s="1205">
        <f>+H161+H168</f>
        <v>31595284.135944836</v>
      </c>
      <c r="I170" s="1117"/>
      <c r="J170" s="37"/>
      <c r="K170" s="37"/>
      <c r="L170" s="37"/>
      <c r="M170" s="37"/>
    </row>
    <row r="171" spans="1:13" ht="15.75" thickTop="1">
      <c r="A171" s="120"/>
      <c r="B171" s="6"/>
      <c r="C171" s="6"/>
      <c r="D171" s="6"/>
      <c r="E171" s="28"/>
      <c r="F171" s="136"/>
      <c r="G171" s="698"/>
      <c r="H171" s="1194"/>
      <c r="J171" s="281"/>
      <c r="K171" s="281"/>
      <c r="L171" s="281"/>
      <c r="M171" s="281"/>
    </row>
    <row r="172" spans="1:13" ht="15.75">
      <c r="A172" s="1161" t="s">
        <v>233</v>
      </c>
      <c r="B172" s="263"/>
      <c r="C172" s="264"/>
      <c r="D172" s="264"/>
      <c r="E172" s="265"/>
      <c r="F172" s="266"/>
      <c r="G172" s="700"/>
      <c r="H172" s="1206"/>
      <c r="J172" s="281"/>
      <c r="K172" s="281"/>
      <c r="L172" s="281"/>
      <c r="M172" s="281"/>
    </row>
    <row r="173" spans="1:13" ht="15.75">
      <c r="A173" s="115"/>
      <c r="B173" s="7"/>
      <c r="C173" s="5"/>
      <c r="D173" s="9"/>
      <c r="E173" s="110"/>
      <c r="F173" s="135"/>
      <c r="G173" s="708"/>
      <c r="H173" s="1207"/>
      <c r="J173" s="281"/>
      <c r="K173" s="281"/>
      <c r="L173" s="281"/>
      <c r="M173" s="281"/>
    </row>
    <row r="174" spans="1:13" ht="15.75">
      <c r="A174" s="77">
        <f>+A170+1</f>
        <v>113</v>
      </c>
      <c r="B174" s="41"/>
      <c r="C174" s="9" t="s">
        <v>1014</v>
      </c>
      <c r="D174" s="9"/>
      <c r="E174" s="36"/>
      <c r="F174" s="133" t="str">
        <f>+"WP13 TOTI Line "&amp;'WP13 TOTI'!A36&amp;" Column "&amp;'WP13 TOTI'!E$5</f>
        <v>WP13 TOTI Line 2 Column D</v>
      </c>
      <c r="G174" s="694">
        <f>+'WP13 TOTI'!E36</f>
        <v>0</v>
      </c>
      <c r="H174" s="1171">
        <f>+'WP13 TOTI'!E36</f>
        <v>0</v>
      </c>
      <c r="J174" s="281"/>
      <c r="K174" s="281"/>
      <c r="L174" s="281"/>
      <c r="M174" s="281"/>
    </row>
    <row r="175" spans="1:13">
      <c r="A175" s="77">
        <f t="shared" ref="A175:A185" si="7">+A174+1</f>
        <v>114</v>
      </c>
      <c r="B175" s="117"/>
      <c r="C175" s="9"/>
      <c r="D175" s="9"/>
      <c r="E175" s="36"/>
      <c r="F175" s="133"/>
      <c r="G175" s="694"/>
      <c r="H175" s="1171"/>
      <c r="J175" s="281"/>
      <c r="K175" s="281"/>
      <c r="L175" s="281"/>
      <c r="M175" s="281"/>
    </row>
    <row r="176" spans="1:13">
      <c r="A176" s="77">
        <f t="shared" si="7"/>
        <v>115</v>
      </c>
      <c r="B176" s="117"/>
      <c r="C176" s="9" t="s">
        <v>1021</v>
      </c>
      <c r="D176" s="9"/>
      <c r="E176" s="36"/>
      <c r="F176" s="133" t="str">
        <f>+"WP13 TOTI Line "&amp;'WP13 TOTI'!A$36&amp;" Column "&amp;'WP13 TOTI'!F$5</f>
        <v>WP13 TOTI Line 2 Column E</v>
      </c>
      <c r="G176" s="694">
        <f>+'WP13 TOTI'!F36</f>
        <v>35879763.780000001</v>
      </c>
      <c r="H176" s="1171">
        <f>+'WP13 TOTI'!F36</f>
        <v>35879763.780000001</v>
      </c>
      <c r="J176" s="281"/>
      <c r="K176" s="281"/>
      <c r="L176" s="281"/>
      <c r="M176" s="281"/>
    </row>
    <row r="177" spans="1:13">
      <c r="A177" s="77">
        <f t="shared" si="7"/>
        <v>116</v>
      </c>
      <c r="B177" s="117"/>
      <c r="C177" s="983" t="s">
        <v>1022</v>
      </c>
      <c r="D177" s="9"/>
      <c r="E177" s="36" t="str">
        <f>"(Note "&amp;A$335&amp;")"</f>
        <v>(Note FF)</v>
      </c>
      <c r="F177" s="133" t="str">
        <f>+"WP02 Support Line "&amp;'WP02 Support'!A152&amp;" Column "&amp;'WP02 Support'!$D$5</f>
        <v>WP02 Support Line 53 Column C</v>
      </c>
      <c r="G177" s="477">
        <f>+'WP02 Support'!D152</f>
        <v>-157866.42999999996</v>
      </c>
      <c r="H177" s="1208">
        <f>+'WP02 Support'!D152</f>
        <v>-157866.42999999996</v>
      </c>
      <c r="J177" s="281"/>
      <c r="K177" s="281"/>
      <c r="L177" s="281"/>
      <c r="M177" s="281"/>
    </row>
    <row r="178" spans="1:13">
      <c r="A178" s="77">
        <f t="shared" si="7"/>
        <v>117</v>
      </c>
      <c r="B178" s="117"/>
      <c r="C178" s="984" t="s">
        <v>1023</v>
      </c>
      <c r="D178" s="9"/>
      <c r="E178" s="36"/>
      <c r="F178" s="137" t="str">
        <f>"(Line "&amp;A176&amp;" + "&amp;A177&amp;")"</f>
        <v>(Line 115 + 116)</v>
      </c>
      <c r="G178" s="694">
        <f>+G176+G177</f>
        <v>35721897.350000001</v>
      </c>
      <c r="H178" s="1171">
        <f>+H176+H177</f>
        <v>35721897.350000001</v>
      </c>
      <c r="J178" s="281"/>
      <c r="K178" s="281"/>
      <c r="L178" s="281"/>
      <c r="M178" s="281"/>
    </row>
    <row r="179" spans="1:13">
      <c r="A179" s="77">
        <f t="shared" si="7"/>
        <v>118</v>
      </c>
      <c r="B179" s="33"/>
      <c r="C179" s="58" t="str">
        <f>+B32</f>
        <v>Gross Plant Allocator</v>
      </c>
      <c r="D179" s="14"/>
      <c r="E179" s="33"/>
      <c r="F179" s="137" t="str">
        <f>"(Line "&amp;A$32&amp;")"</f>
        <v>(Line 16)</v>
      </c>
      <c r="G179" s="94">
        <f>+G$32</f>
        <v>0.18028362815939813</v>
      </c>
      <c r="H179" s="1181">
        <f>+H$32</f>
        <v>0.19163308230143583</v>
      </c>
      <c r="J179" s="281"/>
      <c r="K179" s="281"/>
      <c r="L179" s="281"/>
      <c r="M179" s="281"/>
    </row>
    <row r="180" spans="1:13">
      <c r="A180" s="77">
        <f t="shared" si="7"/>
        <v>119</v>
      </c>
      <c r="B180" s="117"/>
      <c r="C180" s="193" t="str">
        <f>+"Total Transmission Allocated "&amp;C178</f>
        <v>Total Transmission Allocated Total Plant Associated</v>
      </c>
      <c r="D180" s="9"/>
      <c r="E180" s="36"/>
      <c r="F180" s="137" t="str">
        <f>"(Line "&amp;A178&amp;" * "&amp;A179&amp;")"</f>
        <v>(Line 117 * 118)</v>
      </c>
      <c r="G180" s="673">
        <f>+G178*G179</f>
        <v>6440073.2589955898</v>
      </c>
      <c r="H180" s="1182">
        <f>+H178*H179</f>
        <v>6845497.2948359931</v>
      </c>
      <c r="J180" s="281"/>
      <c r="K180" s="281"/>
      <c r="L180" s="281"/>
      <c r="M180" s="281"/>
    </row>
    <row r="181" spans="1:13">
      <c r="A181" s="77">
        <f t="shared" si="7"/>
        <v>120</v>
      </c>
      <c r="B181" s="117"/>
      <c r="C181" s="9"/>
      <c r="D181" s="9"/>
      <c r="E181" s="36"/>
      <c r="F181" s="133"/>
      <c r="G181" s="694"/>
      <c r="H181" s="1171"/>
      <c r="J181" s="281"/>
      <c r="K181" s="281"/>
      <c r="L181" s="281"/>
      <c r="M181" s="281"/>
    </row>
    <row r="182" spans="1:13">
      <c r="A182" s="77">
        <f t="shared" si="7"/>
        <v>121</v>
      </c>
      <c r="B182" s="117"/>
      <c r="C182" s="9" t="s">
        <v>339</v>
      </c>
      <c r="D182" s="9"/>
      <c r="E182" s="36"/>
      <c r="F182" s="133" t="str">
        <f>+"WP13 TOTI Line "&amp;'WP13 TOTI'!A$36&amp;" Column "&amp;'WP13 TOTI'!G$5</f>
        <v>WP13 TOTI Line 2 Column F</v>
      </c>
      <c r="G182" s="694">
        <f>+'WP13 TOTI'!G36</f>
        <v>12921573.400000002</v>
      </c>
      <c r="H182" s="1171">
        <f>+'WP13 TOTI'!G36</f>
        <v>12921573.400000002</v>
      </c>
      <c r="J182" s="281"/>
      <c r="K182" s="281"/>
      <c r="L182" s="281"/>
      <c r="M182" s="281"/>
    </row>
    <row r="183" spans="1:13" s="281" customFormat="1" ht="15.75">
      <c r="A183" s="114">
        <f t="shared" si="7"/>
        <v>122</v>
      </c>
      <c r="B183" s="51"/>
      <c r="C183" s="9" t="s">
        <v>305</v>
      </c>
      <c r="D183" s="9"/>
      <c r="E183" s="52"/>
      <c r="F183" s="133" t="str">
        <f>"(Line "&amp;A$24&amp;")"</f>
        <v>(Line 11)</v>
      </c>
      <c r="G183" s="271">
        <f>+G$24</f>
        <v>7.5774921552056965E-2</v>
      </c>
      <c r="H183" s="1177">
        <f>H$24</f>
        <v>7.5774921552056965E-2</v>
      </c>
      <c r="I183" s="257"/>
    </row>
    <row r="184" spans="1:13">
      <c r="A184" s="77">
        <f t="shared" si="7"/>
        <v>123</v>
      </c>
      <c r="B184" s="117"/>
      <c r="C184" s="25" t="str">
        <f>+"Total Transmission Allocated "&amp;C182</f>
        <v>Total Transmission Allocated Labor</v>
      </c>
      <c r="D184" s="68"/>
      <c r="E184" s="76"/>
      <c r="F184" s="138" t="str">
        <f>"(Line "&amp;A182&amp;" * "&amp;A183&amp;")"</f>
        <v>(Line 121 * 122)</v>
      </c>
      <c r="G184" s="970">
        <f>+G182*G183</f>
        <v>979131.21071414615</v>
      </c>
      <c r="H184" s="1183">
        <f>+H182*H183</f>
        <v>979131.21071414615</v>
      </c>
      <c r="J184" s="281"/>
      <c r="K184" s="281"/>
      <c r="L184" s="281"/>
      <c r="M184" s="281"/>
    </row>
    <row r="185" spans="1:13" s="1" customFormat="1" ht="16.5" thickBot="1">
      <c r="A185" s="77">
        <f t="shared" si="7"/>
        <v>124</v>
      </c>
      <c r="B185" s="3" t="s">
        <v>938</v>
      </c>
      <c r="C185" s="3"/>
      <c r="D185" s="481"/>
      <c r="E185" s="164"/>
      <c r="F185" s="72" t="str">
        <f>"(Line "&amp;A174&amp;" + "&amp;A180&amp;" + "&amp;A184&amp;")"</f>
        <v>(Line 113 + 119 + 123)</v>
      </c>
      <c r="G185" s="628">
        <f>+G174+G180+G184</f>
        <v>7419204.4697097363</v>
      </c>
      <c r="H185" s="1178">
        <f>+H174+H180+H184</f>
        <v>7824628.5055501396</v>
      </c>
      <c r="I185" s="257"/>
      <c r="J185" s="37"/>
      <c r="K185" s="37"/>
      <c r="L185" s="37"/>
      <c r="M185" s="37"/>
    </row>
    <row r="186" spans="1:13" ht="15.75" thickTop="1">
      <c r="A186" s="111"/>
      <c r="B186" s="6"/>
      <c r="C186" s="6"/>
      <c r="D186" s="6"/>
      <c r="E186" s="28"/>
      <c r="F186" s="136"/>
      <c r="G186" s="87"/>
      <c r="H186" s="1191"/>
      <c r="J186" s="281"/>
      <c r="K186" s="281"/>
      <c r="L186" s="281"/>
      <c r="M186" s="281"/>
    </row>
    <row r="187" spans="1:13" ht="15.75">
      <c r="A187" s="1162" t="s">
        <v>1249</v>
      </c>
      <c r="B187" s="263"/>
      <c r="C187" s="263"/>
      <c r="D187" s="264"/>
      <c r="E187" s="265"/>
      <c r="F187" s="268"/>
      <c r="G187" s="262"/>
      <c r="H187" s="1209"/>
      <c r="I187" s="1118"/>
      <c r="J187" s="281"/>
      <c r="K187" s="281"/>
      <c r="L187" s="281"/>
      <c r="M187" s="281"/>
    </row>
    <row r="188" spans="1:13" ht="15.75">
      <c r="A188" s="115"/>
      <c r="B188" s="7"/>
      <c r="C188" s="5"/>
      <c r="D188" s="9"/>
      <c r="E188" s="55"/>
      <c r="F188" s="135"/>
      <c r="G188" s="73"/>
      <c r="H188" s="1172"/>
      <c r="I188" s="1118"/>
      <c r="J188" s="281"/>
      <c r="K188" s="281"/>
      <c r="L188" s="281"/>
      <c r="M188" s="281"/>
    </row>
    <row r="189" spans="1:13" ht="15.75">
      <c r="A189" s="77">
        <f>+A185+1</f>
        <v>125</v>
      </c>
      <c r="B189" s="33"/>
      <c r="C189" s="58" t="s">
        <v>1250</v>
      </c>
      <c r="D189" s="9"/>
      <c r="E189" s="160" t="s">
        <v>1253</v>
      </c>
      <c r="F189" s="133"/>
      <c r="G189" s="225">
        <v>-3121.16</v>
      </c>
      <c r="H189" s="1185">
        <v>-3121.16</v>
      </c>
      <c r="I189" s="1118"/>
      <c r="J189" s="281"/>
      <c r="K189" s="281"/>
      <c r="L189" s="281"/>
      <c r="M189" s="281"/>
    </row>
    <row r="190" spans="1:13" ht="15.75">
      <c r="A190" s="77">
        <f>+A189+1</f>
        <v>126</v>
      </c>
      <c r="B190" s="33"/>
      <c r="C190" s="58" t="s">
        <v>1251</v>
      </c>
      <c r="D190" s="9"/>
      <c r="E190" s="160" t="s">
        <v>1253</v>
      </c>
      <c r="F190" s="133"/>
      <c r="G190" s="225">
        <v>0</v>
      </c>
      <c r="H190" s="1185">
        <v>0</v>
      </c>
      <c r="I190" s="1118"/>
      <c r="J190" s="281"/>
      <c r="K190" s="281"/>
      <c r="L190" s="281"/>
      <c r="M190" s="281"/>
    </row>
    <row r="191" spans="1:13" ht="15.75">
      <c r="A191" s="77">
        <f>+A190+1</f>
        <v>127</v>
      </c>
      <c r="B191" s="33"/>
      <c r="C191" s="9" t="s">
        <v>305</v>
      </c>
      <c r="D191" s="9"/>
      <c r="E191" s="52"/>
      <c r="F191" s="133" t="str">
        <f>"(Line "&amp;A$24&amp;")"</f>
        <v>(Line 11)</v>
      </c>
      <c r="G191" s="271">
        <f>+G$24</f>
        <v>7.5774921552056965E-2</v>
      </c>
      <c r="H191" s="1177">
        <f>H$24</f>
        <v>7.5774921552056965E-2</v>
      </c>
      <c r="J191" s="281"/>
      <c r="K191" s="281"/>
      <c r="L191" s="281"/>
      <c r="M191" s="281"/>
    </row>
    <row r="192" spans="1:13">
      <c r="A192" s="77">
        <f>+A191+1</f>
        <v>128</v>
      </c>
      <c r="B192" s="33"/>
      <c r="C192" s="25" t="str">
        <f>+"Total Allocated "&amp;C190</f>
        <v>Total Allocated (Gain) or Loss on Sales of General Plant Assets</v>
      </c>
      <c r="D192" s="68"/>
      <c r="E192" s="76"/>
      <c r="F192" s="138" t="str">
        <f>"(Line "&amp;A190&amp;" * "&amp;A191&amp;")"</f>
        <v>(Line 126 * 127)</v>
      </c>
      <c r="G192" s="970">
        <f>+G190*G191</f>
        <v>0</v>
      </c>
      <c r="H192" s="1183">
        <f>+H190*H191</f>
        <v>0</v>
      </c>
      <c r="J192" s="281"/>
      <c r="K192" s="281"/>
      <c r="L192" s="281"/>
      <c r="M192" s="281"/>
    </row>
    <row r="193" spans="1:13" ht="16.5" thickBot="1">
      <c r="A193" s="77">
        <f>+A192+1</f>
        <v>129</v>
      </c>
      <c r="B193" s="1263" t="s">
        <v>1252</v>
      </c>
      <c r="C193" s="1263"/>
      <c r="D193" s="481"/>
      <c r="E193" s="965" t="str">
        <f>"(Note "&amp;A$333&amp;")"</f>
        <v>(Note DD)</v>
      </c>
      <c r="F193" s="72" t="str">
        <f>"(Line "&amp;A189&amp;" + "&amp;A192&amp;")"</f>
        <v>(Line 125 + 128)</v>
      </c>
      <c r="G193" s="101">
        <f>+G189+G192</f>
        <v>-3121.16</v>
      </c>
      <c r="H193" s="1205">
        <f>+H189+H192</f>
        <v>-3121.16</v>
      </c>
      <c r="J193" s="281"/>
      <c r="K193" s="281"/>
      <c r="L193" s="281"/>
      <c r="M193" s="281"/>
    </row>
    <row r="194" spans="1:13" ht="15.75" thickTop="1">
      <c r="A194" s="111"/>
      <c r="B194" s="6"/>
      <c r="C194" s="6"/>
      <c r="D194" s="6"/>
      <c r="E194" s="28"/>
      <c r="F194" s="136"/>
      <c r="G194" s="698"/>
      <c r="H194" s="1194"/>
      <c r="J194" s="281"/>
      <c r="K194" s="281"/>
      <c r="L194" s="281"/>
      <c r="M194" s="281"/>
    </row>
    <row r="195" spans="1:13" ht="15.75">
      <c r="A195" s="1161" t="s">
        <v>284</v>
      </c>
      <c r="B195" s="263"/>
      <c r="C195" s="264"/>
      <c r="D195" s="264"/>
      <c r="E195" s="265"/>
      <c r="F195" s="266"/>
      <c r="G195" s="700"/>
      <c r="H195" s="1206"/>
      <c r="J195" s="281"/>
      <c r="K195" s="281"/>
      <c r="L195" s="281"/>
      <c r="M195" s="281"/>
    </row>
    <row r="196" spans="1:13" ht="15.75">
      <c r="A196" s="127"/>
      <c r="B196" s="33"/>
      <c r="C196" s="5"/>
      <c r="D196" s="9"/>
      <c r="E196" s="110"/>
      <c r="F196" s="144"/>
      <c r="G196" s="708"/>
      <c r="H196" s="1207"/>
      <c r="J196" s="281"/>
      <c r="K196" s="281"/>
      <c r="L196" s="281"/>
      <c r="M196" s="281"/>
    </row>
    <row r="197" spans="1:13">
      <c r="A197" s="77">
        <f>+A193+1</f>
        <v>130</v>
      </c>
      <c r="B197" s="158" t="s">
        <v>912</v>
      </c>
      <c r="C197" s="158"/>
      <c r="D197" s="281"/>
      <c r="E197" s="36" t="str">
        <f>"(Notes "&amp;A$321&amp;" &amp; "&amp;A$337&amp;")"</f>
        <v>(Notes R &amp; HH)</v>
      </c>
      <c r="F197" s="1091" t="str">
        <f>+"WP14 COC Line "&amp;'WP14 COC'!A12&amp;" Column "&amp;'WP14 COC'!Q5&amp;", Column O"</f>
        <v>WP14 COC Line 6 Column P, Column O</v>
      </c>
      <c r="G197" s="694">
        <f>+'WP14 COC'!$Q12</f>
        <v>2168863448.6161537</v>
      </c>
      <c r="H197" s="1171">
        <f>+'WP14 COC'!$P12</f>
        <v>2393116985</v>
      </c>
      <c r="J197" s="281"/>
      <c r="K197" s="281"/>
      <c r="L197" s="281"/>
      <c r="M197" s="281"/>
    </row>
    <row r="198" spans="1:13">
      <c r="A198" s="77">
        <f>+A197+1</f>
        <v>131</v>
      </c>
      <c r="B198" s="158" t="s">
        <v>913</v>
      </c>
      <c r="C198" s="158"/>
      <c r="D198" s="281"/>
      <c r="E198" s="36" t="str">
        <f>"(Notes "&amp;A$321&amp;" &amp; "&amp;A$337&amp;")"</f>
        <v>(Notes R &amp; HH)</v>
      </c>
      <c r="F198" s="1091" t="str">
        <f>+"WP14 COC Line "&amp;'WP14 COC'!A20&amp;" Column "&amp;'WP14 COC'!Q5&amp;", Column O"</f>
        <v>WP14 COC Line 14 Column P, Column O</v>
      </c>
      <c r="G198" s="694">
        <f>+'WP14 COC'!Q20</f>
        <v>2113062102.6484613</v>
      </c>
      <c r="H198" s="1171">
        <f>+'WP14 COC'!P20</f>
        <v>2335223319</v>
      </c>
      <c r="J198" s="281"/>
      <c r="K198" s="281"/>
      <c r="L198" s="281"/>
      <c r="M198" s="281"/>
    </row>
    <row r="199" spans="1:13">
      <c r="A199" s="77">
        <f>+A198+1</f>
        <v>132</v>
      </c>
      <c r="B199" s="158" t="s">
        <v>757</v>
      </c>
      <c r="C199" s="158"/>
      <c r="D199" s="281"/>
      <c r="E199" s="36" t="str">
        <f>"(Notes "&amp;A$320&amp;" &amp; "&amp;A$321&amp;")"</f>
        <v>(Notes Q &amp; R)</v>
      </c>
      <c r="F199" s="1091" t="str">
        <f>+"WP14 COC Line "&amp;'WP14 COC'!A30&amp;" Column O"</f>
        <v>WP14 COC Line 24 Column O</v>
      </c>
      <c r="G199" s="694">
        <f>'WP14 COC'!$P30</f>
        <v>90353986</v>
      </c>
      <c r="H199" s="1171">
        <f>'WP14 COC'!$P30</f>
        <v>90353986</v>
      </c>
      <c r="J199" s="281"/>
      <c r="K199" s="281"/>
      <c r="L199" s="281"/>
      <c r="M199" s="281"/>
    </row>
    <row r="200" spans="1:13">
      <c r="A200" s="77">
        <f>+A199+1</f>
        <v>133</v>
      </c>
      <c r="B200" s="158" t="s">
        <v>264</v>
      </c>
      <c r="C200" s="158"/>
      <c r="D200" s="281"/>
      <c r="E200" s="36" t="str">
        <f>"(Note "&amp;A$337&amp;")"</f>
        <v>(Note HH)</v>
      </c>
      <c r="F200" s="1091" t="str">
        <f>+"WP14 COC Line "&amp;'WP14 COC'!A39&amp;" Column P, Column O"</f>
        <v>WP14 COC Line 33 Column P, Column O</v>
      </c>
      <c r="G200" s="102">
        <f>+'WP14 COC'!Q39</f>
        <v>114733614.75</v>
      </c>
      <c r="H200" s="1171">
        <f>+'WP14 COC'!P39</f>
        <v>114733614.75</v>
      </c>
      <c r="J200" s="281"/>
      <c r="K200" s="281"/>
      <c r="L200" s="281"/>
      <c r="M200" s="281"/>
    </row>
    <row r="201" spans="1:13">
      <c r="A201" s="77">
        <f>+A200+1</f>
        <v>134</v>
      </c>
      <c r="B201" s="158" t="s">
        <v>237</v>
      </c>
      <c r="C201" s="985"/>
      <c r="D201" s="281"/>
      <c r="E201" s="1264"/>
      <c r="F201" s="1091" t="str">
        <f>+"WP14 COC Line "&amp;'WP14 COC'!A41&amp;" Column O"</f>
        <v>WP14 COC Line 35 Column O</v>
      </c>
      <c r="G201" s="102">
        <f>+'WP14 COC'!P41</f>
        <v>6873220</v>
      </c>
      <c r="H201" s="1171">
        <f>+'WP14 COC'!P41</f>
        <v>6873220</v>
      </c>
      <c r="J201" s="281"/>
      <c r="K201" s="281"/>
      <c r="L201" s="281"/>
      <c r="M201" s="281"/>
    </row>
    <row r="202" spans="1:13">
      <c r="A202" s="77">
        <f>+A201+1</f>
        <v>135</v>
      </c>
      <c r="B202" s="158" t="s">
        <v>758</v>
      </c>
      <c r="C202" s="158"/>
      <c r="D202" s="281"/>
      <c r="E202" s="36" t="str">
        <f>"(Note "&amp;A$337&amp;")"</f>
        <v>(Note HH)</v>
      </c>
      <c r="F202" s="1091" t="str">
        <f>+"WP14 COC Line "&amp;'WP14 COC'!A48&amp;" Column P, Column O"</f>
        <v>WP14 COC Line 42 Column P, Column O</v>
      </c>
      <c r="G202" s="102">
        <f>+'WP14 COC'!Q48</f>
        <v>1782563148.8773079</v>
      </c>
      <c r="H202" s="1171">
        <f>+'WP14 COC'!P48</f>
        <v>1829993326.0900002</v>
      </c>
      <c r="J202" s="281"/>
      <c r="K202" s="281"/>
      <c r="L202" s="281"/>
      <c r="M202" s="281"/>
    </row>
    <row r="203" spans="1:13">
      <c r="A203" s="77"/>
      <c r="B203" s="158"/>
      <c r="C203" s="158"/>
      <c r="D203" s="158"/>
      <c r="E203" s="158"/>
      <c r="F203" s="157"/>
      <c r="G203" s="159"/>
      <c r="H203" s="1210"/>
      <c r="J203" s="281"/>
      <c r="K203" s="281"/>
      <c r="L203" s="281"/>
      <c r="M203" s="281"/>
    </row>
    <row r="204" spans="1:13">
      <c r="A204" s="77">
        <f>+A202+1</f>
        <v>136</v>
      </c>
      <c r="B204" s="15"/>
      <c r="C204" s="58" t="s">
        <v>664</v>
      </c>
      <c r="D204" s="61" t="s">
        <v>251</v>
      </c>
      <c r="E204" s="36"/>
      <c r="F204" s="275" t="str">
        <f>"(1 - (Line "&amp;A205&amp;" + Line "&amp;A206&amp;"))"</f>
        <v>(1 - (Line 137 + Line 138))</v>
      </c>
      <c r="G204" s="95">
        <f>IF((1-G205-G206)=1,0,1-G205-G206)</f>
        <v>0.5333935052744776</v>
      </c>
      <c r="H204" s="1211">
        <f>IF((1-H205-H206)=1,0,1-H205-H206)</f>
        <v>0.55168351510862301</v>
      </c>
      <c r="J204" s="281"/>
      <c r="K204" s="281"/>
      <c r="L204" s="281"/>
      <c r="M204" s="281"/>
    </row>
    <row r="205" spans="1:13">
      <c r="A205" s="77">
        <f>+A204+1</f>
        <v>137</v>
      </c>
      <c r="B205" s="15"/>
      <c r="C205" s="58" t="s">
        <v>665</v>
      </c>
      <c r="D205" s="61" t="s">
        <v>264</v>
      </c>
      <c r="E205" s="36"/>
      <c r="F205" s="275" t="str">
        <f>"(Line "&amp;A200&amp;" / (Line "&amp;A$197&amp;" + Line "&amp;A$200&amp;" + Line "&amp;A$202&amp;"))"</f>
        <v>(Line 133 / (Line 130 + Line 133 + Line 135))</v>
      </c>
      <c r="G205" s="292">
        <f>IF((G197+G200+G202)=0,0,G200/(G197+G200+G202))</f>
        <v>2.8216698005290086E-2</v>
      </c>
      <c r="H205" s="1212">
        <f>IF((H197+H200+H202)=0,0,H200/(H197+H200+H202))</f>
        <v>2.6449456622112667E-2</v>
      </c>
      <c r="J205" s="281"/>
      <c r="K205" s="281"/>
      <c r="L205" s="281"/>
      <c r="M205" s="281"/>
    </row>
    <row r="206" spans="1:13">
      <c r="A206" s="77">
        <f>+A205+1</f>
        <v>138</v>
      </c>
      <c r="B206" s="15"/>
      <c r="C206" s="58" t="s">
        <v>666</v>
      </c>
      <c r="D206" s="61" t="s">
        <v>247</v>
      </c>
      <c r="E206" s="36"/>
      <c r="F206" s="275" t="str">
        <f>"(Line "&amp;A202&amp;" / (Line "&amp;A$197&amp;" + Line "&amp;A$200&amp;" + Line "&amp;A$202&amp;"))"</f>
        <v>(Line 135 / (Line 130 + Line 133 + Line 135))</v>
      </c>
      <c r="G206" s="292">
        <f>IF((G197+G200+G202)=0,0,G202/(G197+G200+G202))</f>
        <v>0.43838979672023232</v>
      </c>
      <c r="H206" s="1212">
        <f>IF((H197+H200+H202)=0,0,H202/(H197+H200+H202))</f>
        <v>0.42186702826926437</v>
      </c>
      <c r="J206" s="281"/>
      <c r="K206" s="281"/>
      <c r="L206" s="281"/>
      <c r="M206" s="281"/>
    </row>
    <row r="207" spans="1:13" ht="15.75">
      <c r="A207" s="77"/>
      <c r="B207" s="15"/>
      <c r="C207" s="160"/>
      <c r="D207" s="9"/>
      <c r="E207" s="36"/>
      <c r="F207" s="137"/>
      <c r="G207" s="570"/>
      <c r="H207" s="1212"/>
      <c r="J207" s="281"/>
      <c r="K207" s="281"/>
      <c r="L207" s="281"/>
      <c r="M207" s="281"/>
    </row>
    <row r="208" spans="1:13">
      <c r="A208" s="77"/>
      <c r="B208" s="15"/>
      <c r="C208" s="160"/>
      <c r="D208" s="9"/>
      <c r="E208" s="36"/>
      <c r="F208" s="137"/>
      <c r="G208" s="87"/>
      <c r="H208" s="1212"/>
      <c r="J208" s="281"/>
      <c r="K208" s="281"/>
      <c r="L208" s="281"/>
      <c r="M208" s="281"/>
    </row>
    <row r="209" spans="1:13">
      <c r="A209" s="254">
        <f>+A206+1</f>
        <v>139</v>
      </c>
      <c r="B209" s="255"/>
      <c r="C209" s="256" t="s">
        <v>323</v>
      </c>
      <c r="D209" s="1696" t="s">
        <v>983</v>
      </c>
      <c r="E209" s="1696"/>
      <c r="F209" s="269" t="str">
        <f>"(Line "&amp;A199&amp;" / Line "&amp;A198&amp;")"</f>
        <v>(Line 132 / Line 131)</v>
      </c>
      <c r="G209" s="95">
        <f>IF(G198=0,0,G199/G198)</f>
        <v>4.2759739946475063E-2</v>
      </c>
      <c r="H209" s="1211">
        <f>IF(H198=0,0,H199/H198)</f>
        <v>3.8691796739462075E-2</v>
      </c>
      <c r="J209" s="281"/>
      <c r="K209" s="281"/>
      <c r="L209" s="281"/>
      <c r="M209" s="281"/>
    </row>
    <row r="210" spans="1:13">
      <c r="A210" s="254">
        <f>+A209+1</f>
        <v>140</v>
      </c>
      <c r="B210" s="255"/>
      <c r="C210" s="256" t="s">
        <v>328</v>
      </c>
      <c r="D210" s="1696" t="s">
        <v>982</v>
      </c>
      <c r="E210" s="1696"/>
      <c r="F210" s="269" t="str">
        <f>"(Line "&amp;A201&amp;" / Line "&amp;A200&amp;")"</f>
        <v>(Line 134 / Line 133)</v>
      </c>
      <c r="G210" s="95">
        <f>IF(G201=0,0,G201/G200)</f>
        <v>5.9905896061729372E-2</v>
      </c>
      <c r="H210" s="1211">
        <f>IF(H201=0,0,H201/H200)</f>
        <v>5.9905896061729372E-2</v>
      </c>
      <c r="J210" s="281"/>
      <c r="K210" s="281"/>
      <c r="L210" s="281"/>
      <c r="M210" s="281"/>
    </row>
    <row r="211" spans="1:13">
      <c r="A211" s="77">
        <f>+A210+1</f>
        <v>141</v>
      </c>
      <c r="B211" s="15"/>
      <c r="C211" s="160" t="s">
        <v>324</v>
      </c>
      <c r="D211" s="61" t="s">
        <v>247</v>
      </c>
      <c r="E211" s="36" t="str">
        <f>"(Note "&amp;A313&amp;")"</f>
        <v>(Note J)</v>
      </c>
      <c r="F211" s="137"/>
      <c r="G211" s="224">
        <v>0.12379999999999999</v>
      </c>
      <c r="H211" s="1213">
        <v>0.12379999999999999</v>
      </c>
      <c r="J211" s="281"/>
      <c r="K211" s="281"/>
      <c r="L211" s="281"/>
      <c r="M211" s="281"/>
    </row>
    <row r="212" spans="1:13">
      <c r="A212" s="77"/>
      <c r="B212" s="15"/>
      <c r="C212" s="160"/>
      <c r="D212" s="61"/>
      <c r="E212" s="36"/>
      <c r="F212" s="137"/>
      <c r="G212" s="95"/>
      <c r="H212" s="1211"/>
      <c r="J212" s="281"/>
      <c r="K212" s="281"/>
      <c r="L212" s="281"/>
      <c r="M212" s="281"/>
    </row>
    <row r="213" spans="1:13">
      <c r="A213" s="77">
        <f>+A211+1</f>
        <v>142</v>
      </c>
      <c r="B213" s="33"/>
      <c r="C213" s="58" t="s">
        <v>325</v>
      </c>
      <c r="D213" s="61"/>
      <c r="E213" s="36"/>
      <c r="F213" s="137" t="str">
        <f>"(Line "&amp;A204&amp;" * "&amp;A209&amp;")"</f>
        <v>(Line 136 * 139)</v>
      </c>
      <c r="G213" s="95">
        <f t="shared" ref="G213:H215" si="8">+G204*G209</f>
        <v>2.2807767574675435E-2</v>
      </c>
      <c r="H213" s="1211">
        <f t="shared" si="8"/>
        <v>2.1345626431094798E-2</v>
      </c>
      <c r="J213" s="281"/>
      <c r="K213" s="281"/>
      <c r="L213" s="281"/>
      <c r="M213" s="281"/>
    </row>
    <row r="214" spans="1:13">
      <c r="A214" s="77">
        <f>+A213+1</f>
        <v>143</v>
      </c>
      <c r="B214" s="33"/>
      <c r="C214" s="58" t="s">
        <v>330</v>
      </c>
      <c r="D214" s="61"/>
      <c r="E214" s="36"/>
      <c r="F214" s="137" t="str">
        <f>"(Line "&amp;A205&amp;" * "&amp;A210&amp;")"</f>
        <v>(Line 137 * 140)</v>
      </c>
      <c r="G214" s="95">
        <f t="shared" si="8"/>
        <v>1.6903465779101144E-3</v>
      </c>
      <c r="H214" s="1211">
        <f t="shared" si="8"/>
        <v>1.5844783992935011E-3</v>
      </c>
      <c r="J214" s="281"/>
      <c r="K214" s="281"/>
      <c r="L214" s="281"/>
      <c r="M214" s="281"/>
    </row>
    <row r="215" spans="1:13">
      <c r="A215" s="77">
        <f>+A214+1</f>
        <v>144</v>
      </c>
      <c r="B215" s="27"/>
      <c r="C215" s="13" t="s">
        <v>326</v>
      </c>
      <c r="D215" s="48"/>
      <c r="E215" s="31"/>
      <c r="F215" s="138" t="str">
        <f>"(Line "&amp;A206&amp;" * "&amp;A211&amp;")"</f>
        <v>(Line 138 * 141)</v>
      </c>
      <c r="G215" s="273">
        <f t="shared" si="8"/>
        <v>5.4272656833964761E-2</v>
      </c>
      <c r="H215" s="1214">
        <f t="shared" si="8"/>
        <v>5.2227138099734928E-2</v>
      </c>
      <c r="J215" s="281"/>
      <c r="K215" s="281"/>
      <c r="L215" s="281"/>
      <c r="M215" s="281"/>
    </row>
    <row r="216" spans="1:13" s="1" customFormat="1" ht="15.75">
      <c r="A216" s="108">
        <f>+A215+1</f>
        <v>145</v>
      </c>
      <c r="B216" s="11" t="s">
        <v>252</v>
      </c>
      <c r="C216" s="11"/>
      <c r="D216" s="21"/>
      <c r="E216" s="32"/>
      <c r="F216" s="137" t="str">
        <f>"(Line "&amp;A213&amp;" + Line "&amp;A214&amp;" + Line "&amp;A215&amp;")"</f>
        <v>(Line 142 + Line 143 + Line 144)</v>
      </c>
      <c r="G216" s="274">
        <f>SUM(G213:G215)</f>
        <v>7.8770770986550304E-2</v>
      </c>
      <c r="H216" s="1215">
        <f>SUM(H213:H215)</f>
        <v>7.5157242930123228E-2</v>
      </c>
      <c r="I216" s="1117"/>
      <c r="J216" s="37"/>
      <c r="K216" s="37"/>
      <c r="L216" s="37"/>
      <c r="M216" s="37"/>
    </row>
    <row r="217" spans="1:13" s="1" customFormat="1" ht="15.75">
      <c r="A217" s="126"/>
      <c r="B217" s="65"/>
      <c r="C217" s="11"/>
      <c r="D217" s="21"/>
      <c r="E217" s="32"/>
      <c r="F217" s="148"/>
      <c r="G217" s="96"/>
      <c r="H217" s="1216"/>
      <c r="I217" s="1117"/>
      <c r="J217" s="37"/>
      <c r="K217" s="37"/>
      <c r="L217" s="37"/>
      <c r="M217" s="37"/>
    </row>
    <row r="218" spans="1:13" ht="16.5" thickBot="1">
      <c r="A218" s="108">
        <f>+A216+1</f>
        <v>146</v>
      </c>
      <c r="B218" s="18" t="s">
        <v>288</v>
      </c>
      <c r="C218" s="17"/>
      <c r="D218" s="16"/>
      <c r="E218" s="205"/>
      <c r="F218" s="141" t="str">
        <f>"(Line "&amp;A120&amp;" * Line "&amp;A216&amp;")"</f>
        <v>(Line 74 * Line 145)</v>
      </c>
      <c r="G218" s="141">
        <f>+G120*G216</f>
        <v>77687681.754863471</v>
      </c>
      <c r="H218" s="1217">
        <f>+H120*H216</f>
        <v>83110939.130302444</v>
      </c>
      <c r="J218" s="281"/>
      <c r="K218" s="281"/>
      <c r="L218" s="281"/>
      <c r="M218" s="281"/>
    </row>
    <row r="219" spans="1:13" ht="15.75" thickTop="1">
      <c r="A219" s="108"/>
      <c r="B219" s="7"/>
      <c r="C219" s="54"/>
      <c r="D219" s="6"/>
      <c r="E219" s="28"/>
      <c r="F219" s="132"/>
      <c r="G219" s="97"/>
      <c r="H219" s="1218"/>
      <c r="J219" s="281"/>
      <c r="K219" s="281"/>
      <c r="L219" s="281"/>
      <c r="M219" s="281"/>
    </row>
    <row r="220" spans="1:13" ht="15.75">
      <c r="A220" s="1161" t="s">
        <v>215</v>
      </c>
      <c r="B220" s="263"/>
      <c r="C220" s="264"/>
      <c r="D220" s="264"/>
      <c r="E220" s="265"/>
      <c r="F220" s="266"/>
      <c r="G220" s="267"/>
      <c r="H220" s="1173"/>
      <c r="J220" s="281"/>
      <c r="K220" s="281"/>
      <c r="L220" s="281"/>
      <c r="M220" s="281"/>
    </row>
    <row r="221" spans="1:13" ht="15.75">
      <c r="A221" s="127"/>
      <c r="B221" s="7"/>
      <c r="C221" s="5"/>
      <c r="D221" s="9"/>
      <c r="E221" s="55"/>
      <c r="F221" s="135"/>
      <c r="G221" s="73"/>
      <c r="H221" s="1172"/>
      <c r="J221" s="281"/>
      <c r="K221" s="281"/>
      <c r="L221" s="281"/>
      <c r="M221" s="281"/>
    </row>
    <row r="222" spans="1:13" ht="15.75">
      <c r="A222" s="108" t="s">
        <v>259</v>
      </c>
      <c r="B222" s="22" t="s">
        <v>289</v>
      </c>
      <c r="C222" s="6"/>
      <c r="D222" s="6"/>
      <c r="E222" s="55"/>
      <c r="F222" s="132"/>
      <c r="G222" s="292"/>
      <c r="H222" s="1212"/>
      <c r="J222" s="281"/>
      <c r="K222" s="281"/>
      <c r="L222" s="281"/>
      <c r="M222" s="281"/>
    </row>
    <row r="223" spans="1:13">
      <c r="A223" s="108">
        <f>+A218+1</f>
        <v>147</v>
      </c>
      <c r="B223" s="7"/>
      <c r="C223" s="6" t="s">
        <v>287</v>
      </c>
      <c r="D223" s="9"/>
      <c r="E223" s="36" t="str">
        <f>"(Note "&amp;A$312&amp;")"</f>
        <v>(Note I)</v>
      </c>
      <c r="F223" s="135"/>
      <c r="G223" s="753">
        <v>0.35</v>
      </c>
      <c r="H223" s="1219">
        <v>0.35</v>
      </c>
      <c r="J223" s="281"/>
      <c r="K223" s="281"/>
      <c r="L223" s="281"/>
      <c r="M223" s="281"/>
    </row>
    <row r="224" spans="1:13">
      <c r="A224" s="108">
        <f>+A223+1</f>
        <v>148</v>
      </c>
      <c r="B224" s="7"/>
      <c r="C224" s="128" t="s">
        <v>286</v>
      </c>
      <c r="D224" s="293"/>
      <c r="E224" s="36" t="str">
        <f>"(Note "&amp;A$312&amp;")"</f>
        <v>(Note I)</v>
      </c>
      <c r="F224" s="135"/>
      <c r="G224" s="753">
        <v>6.5000000000000002E-2</v>
      </c>
      <c r="H224" s="1219">
        <v>6.5000000000000002E-2</v>
      </c>
      <c r="J224" s="281"/>
      <c r="K224" s="281"/>
      <c r="L224" s="281"/>
      <c r="M224" s="281"/>
    </row>
    <row r="225" spans="1:17">
      <c r="A225" s="108">
        <f>+A224+1</f>
        <v>149</v>
      </c>
      <c r="B225" s="7"/>
      <c r="C225" s="128" t="s">
        <v>981</v>
      </c>
      <c r="D225" s="731"/>
      <c r="E225" s="36" t="str">
        <f>"(Note "&amp;A$312&amp;")"</f>
        <v>(Note I)</v>
      </c>
      <c r="F225" s="135"/>
      <c r="G225" s="753">
        <v>0</v>
      </c>
      <c r="H225" s="1219">
        <v>0</v>
      </c>
      <c r="J225" s="622"/>
      <c r="K225" s="281"/>
      <c r="L225" s="281"/>
      <c r="M225" s="281"/>
    </row>
    <row r="226" spans="1:17">
      <c r="A226" s="108">
        <f>+A225+1</f>
        <v>150</v>
      </c>
      <c r="B226" s="7"/>
      <c r="C226" s="128" t="s">
        <v>218</v>
      </c>
      <c r="D226" s="1083"/>
      <c r="E226" s="36"/>
      <c r="F226" s="135"/>
      <c r="G226" s="292">
        <f>IF(G223&gt;0,1-(((1-G224)*(1-G223))/(1-G224*G223*G225)),0)</f>
        <v>0.39224999999999999</v>
      </c>
      <c r="H226" s="1212">
        <f>IF(H223&gt;0,1-(((1-H224)*(1-H223))/(1-H224*H223*H225)),0)</f>
        <v>0.39224999999999999</v>
      </c>
      <c r="J226" s="622"/>
      <c r="K226" s="281"/>
      <c r="L226" s="281"/>
      <c r="M226" s="281"/>
    </row>
    <row r="227" spans="1:17">
      <c r="A227" s="108">
        <f>+A226+1</f>
        <v>151</v>
      </c>
      <c r="B227" s="7"/>
      <c r="C227" s="128" t="s">
        <v>318</v>
      </c>
      <c r="D227" s="129"/>
      <c r="E227" s="28"/>
      <c r="F227" s="135"/>
      <c r="G227" s="98">
        <f>+G226/(1-G226)</f>
        <v>0.64541341011929243</v>
      </c>
      <c r="H227" s="1220">
        <f>+H226/(1-H226)</f>
        <v>0.64541341011929243</v>
      </c>
      <c r="J227" s="623"/>
      <c r="K227" s="281"/>
      <c r="L227" s="281"/>
      <c r="M227" s="281"/>
    </row>
    <row r="228" spans="1:17">
      <c r="A228" s="108"/>
      <c r="B228" s="7"/>
      <c r="C228" s="6"/>
      <c r="D228" s="6"/>
      <c r="E228" s="130"/>
      <c r="F228" s="149"/>
      <c r="G228" s="99"/>
      <c r="H228" s="1221"/>
      <c r="J228" s="281"/>
      <c r="K228" s="281"/>
      <c r="L228" s="281"/>
      <c r="M228" s="281"/>
    </row>
    <row r="229" spans="1:17" ht="15.75">
      <c r="A229" s="108"/>
      <c r="B229" s="22" t="s">
        <v>929</v>
      </c>
      <c r="C229" s="54"/>
      <c r="E229" s="36" t="str">
        <f>"(Note "&amp;A$312&amp;")"</f>
        <v>(Note I)</v>
      </c>
      <c r="F229" s="132"/>
      <c r="G229" s="100"/>
      <c r="H229" s="1222"/>
      <c r="J229" s="281"/>
      <c r="K229" s="281"/>
      <c r="L229" s="281"/>
      <c r="M229" s="281"/>
    </row>
    <row r="230" spans="1:17">
      <c r="A230" s="108">
        <f>+A227+1</f>
        <v>152</v>
      </c>
      <c r="B230" s="7"/>
      <c r="C230" s="61" t="s">
        <v>1099</v>
      </c>
      <c r="D230" s="110" t="s">
        <v>959</v>
      </c>
      <c r="E230" s="36" t="str">
        <f>"(Note "&amp;$A$304&amp;")"</f>
        <v>(Note A)</v>
      </c>
      <c r="F230" s="987" t="s">
        <v>605</v>
      </c>
      <c r="G230" s="225">
        <v>-1250711</v>
      </c>
      <c r="H230" s="1185">
        <v>-1250711</v>
      </c>
      <c r="J230" s="281"/>
      <c r="K230" s="281"/>
      <c r="L230" s="281"/>
      <c r="M230" s="281"/>
      <c r="O230" s="769" t="s">
        <v>1033</v>
      </c>
      <c r="P230" s="769"/>
      <c r="Q230" s="769"/>
    </row>
    <row r="231" spans="1:17">
      <c r="A231" s="108">
        <f>+A230+1</f>
        <v>153</v>
      </c>
      <c r="B231" s="7"/>
      <c r="C231" s="61" t="s">
        <v>357</v>
      </c>
      <c r="D231" s="9"/>
      <c r="E231" s="7"/>
      <c r="F231" s="137" t="str">
        <f>"(1 / (1 - Line "&amp;A226&amp;"))"</f>
        <v>(1 / (1 - Line 150))</v>
      </c>
      <c r="G231" s="1518">
        <f>IF(G226=0,0,1/(1-G226))</f>
        <v>1.6454134101192925</v>
      </c>
      <c r="H231" s="1518">
        <f>IF(H226=0,0,1/(1-H226))</f>
        <v>1.6454134101192925</v>
      </c>
      <c r="J231" s="281"/>
      <c r="K231" s="281"/>
      <c r="L231" s="281"/>
      <c r="M231" s="281"/>
    </row>
    <row r="232" spans="1:17">
      <c r="A232" s="108">
        <f>+A231+1</f>
        <v>154</v>
      </c>
      <c r="B232" s="7"/>
      <c r="C232" s="54" t="s">
        <v>282</v>
      </c>
      <c r="D232" s="12"/>
      <c r="E232" s="27"/>
      <c r="F232" s="140" t="str">
        <f>"(Line "&amp;A$35&amp;")"</f>
        <v>(Line 18)</v>
      </c>
      <c r="G232" s="93">
        <f>+G35</f>
        <v>0.23326922089520993</v>
      </c>
      <c r="H232" s="1187">
        <f>+H35</f>
        <v>0.25560650511058786</v>
      </c>
      <c r="J232" s="281"/>
      <c r="K232" s="281"/>
      <c r="L232" s="281"/>
      <c r="M232" s="281"/>
    </row>
    <row r="233" spans="1:17">
      <c r="A233" s="108">
        <f>+A232+1</f>
        <v>155</v>
      </c>
      <c r="B233" s="7"/>
      <c r="C233" s="717" t="s">
        <v>285</v>
      </c>
      <c r="D233" s="303"/>
      <c r="E233" s="36"/>
      <c r="F233" s="132" t="str">
        <f>"(Line "&amp;A230&amp;" * Line "&amp;A231&amp;" * Line "&amp;A232&amp;")"</f>
        <v>(Line 152 * Line 153 * Line 154)</v>
      </c>
      <c r="G233" s="709">
        <f>+G230*G231*G232</f>
        <v>-480053.27936662926</v>
      </c>
      <c r="H233" s="1519">
        <f>+H230*H231*H232</f>
        <v>-526021.99525029771</v>
      </c>
      <c r="J233" s="281"/>
      <c r="K233" s="281"/>
      <c r="L233" s="281"/>
      <c r="M233" s="281"/>
    </row>
    <row r="234" spans="1:17" ht="15.75">
      <c r="A234" s="108"/>
      <c r="B234" s="7"/>
      <c r="C234" s="26"/>
      <c r="D234" s="9"/>
      <c r="E234" s="33"/>
      <c r="F234" s="150"/>
      <c r="G234" s="1520"/>
      <c r="H234" s="1521"/>
      <c r="J234" s="281"/>
      <c r="K234" s="281"/>
      <c r="L234" s="281"/>
      <c r="M234" s="281"/>
    </row>
    <row r="235" spans="1:17" ht="15.75">
      <c r="A235" s="108">
        <f>+A233+1</f>
        <v>156</v>
      </c>
      <c r="B235" s="69" t="s">
        <v>303</v>
      </c>
      <c r="C235" s="10"/>
      <c r="D235" s="1702" t="s">
        <v>977</v>
      </c>
      <c r="E235" s="1702"/>
      <c r="F235" s="1704" t="str">
        <f>"[Line "&amp;A227&amp;" * Line "&amp;A218&amp;" * (1 - (Line "&amp;A213&amp;" / Line "&amp;A216&amp;"))]"</f>
        <v>[Line 151 * Line 146 * (1 - (Line 142 / Line 145))]</v>
      </c>
      <c r="G235" s="74">
        <f>IF(G216=0,0,+G227*(1-G213/G216)*G218)</f>
        <v>35622636.937511407</v>
      </c>
      <c r="H235" s="74">
        <f>IF(H216=0,0,+H227*(1-H213/H216)*H218)</f>
        <v>38406202.979965091</v>
      </c>
      <c r="J235" s="281"/>
      <c r="K235" s="281"/>
      <c r="L235" s="281"/>
      <c r="M235" s="281"/>
    </row>
    <row r="236" spans="1:17">
      <c r="A236" s="108"/>
      <c r="B236" s="7"/>
      <c r="C236" s="8"/>
      <c r="D236" s="1703"/>
      <c r="E236" s="1703"/>
      <c r="F236" s="1705"/>
      <c r="G236" s="710"/>
      <c r="H236" s="1223"/>
      <c r="J236" s="281"/>
      <c r="K236" s="281"/>
      <c r="L236" s="281"/>
      <c r="M236" s="281"/>
    </row>
    <row r="237" spans="1:17" ht="16.5" thickBot="1">
      <c r="A237" s="108">
        <f>+A235+1</f>
        <v>157</v>
      </c>
      <c r="B237" s="18" t="s">
        <v>244</v>
      </c>
      <c r="C237" s="18"/>
      <c r="D237" s="16"/>
      <c r="E237" s="29"/>
      <c r="F237" s="141" t="str">
        <f>"(Line "&amp;A233&amp;" + Line "&amp;A235&amp;")"</f>
        <v>(Line 155 + Line 156)</v>
      </c>
      <c r="G237" s="101">
        <f>+G235+G233</f>
        <v>35142583.65814478</v>
      </c>
      <c r="H237" s="1205">
        <f>+H235+H233</f>
        <v>37880180.984714791</v>
      </c>
      <c r="J237" s="281"/>
      <c r="K237" s="281"/>
      <c r="L237" s="281"/>
      <c r="M237" s="281"/>
    </row>
    <row r="238" spans="1:17" ht="15.75" thickTop="1">
      <c r="A238" s="108"/>
      <c r="B238" s="7"/>
      <c r="C238" s="62"/>
      <c r="D238" s="6"/>
      <c r="E238" s="28"/>
      <c r="F238" s="142"/>
      <c r="G238" s="673"/>
      <c r="H238" s="1182"/>
      <c r="J238" s="281"/>
      <c r="K238" s="281"/>
      <c r="L238" s="281"/>
      <c r="M238" s="281"/>
    </row>
    <row r="239" spans="1:17" s="276" customFormat="1" ht="15.75">
      <c r="A239" s="1161" t="s">
        <v>951</v>
      </c>
      <c r="B239" s="263"/>
      <c r="C239" s="264"/>
      <c r="D239" s="264"/>
      <c r="E239" s="265"/>
      <c r="F239" s="266"/>
      <c r="G239" s="700"/>
      <c r="H239" s="1206"/>
      <c r="I239" s="257"/>
      <c r="J239" s="277"/>
      <c r="K239" s="277"/>
      <c r="L239" s="277"/>
      <c r="M239" s="277"/>
    </row>
    <row r="240" spans="1:17">
      <c r="A240" s="111"/>
      <c r="B240" s="10"/>
      <c r="C240" s="10"/>
      <c r="D240" s="10"/>
      <c r="E240" s="28"/>
      <c r="F240" s="136"/>
      <c r="G240" s="698"/>
      <c r="H240" s="1194"/>
      <c r="J240" s="281"/>
      <c r="K240" s="281"/>
      <c r="L240" s="281"/>
      <c r="M240" s="281"/>
    </row>
    <row r="241" spans="1:13" ht="15.75">
      <c r="A241" s="111"/>
      <c r="B241" s="69" t="s">
        <v>245</v>
      </c>
      <c r="C241" s="10"/>
      <c r="D241" s="10"/>
      <c r="E241" s="28"/>
      <c r="F241" s="136"/>
      <c r="G241" s="698"/>
      <c r="H241" s="1194"/>
      <c r="J241" s="281"/>
      <c r="K241" s="281"/>
      <c r="L241" s="281"/>
      <c r="M241" s="281"/>
    </row>
    <row r="242" spans="1:13">
      <c r="A242" s="114">
        <f>+A237+1</f>
        <v>158</v>
      </c>
      <c r="B242" s="15"/>
      <c r="C242" s="15" t="str">
        <f>+B63</f>
        <v>TOTAL Net Property, Plant &amp; Equipment - Transmission</v>
      </c>
      <c r="D242" s="15"/>
      <c r="E242" s="36"/>
      <c r="F242" s="132" t="str">
        <f>"(Line "&amp;A63&amp;")"</f>
        <v>(Line 35)</v>
      </c>
      <c r="G242" s="698">
        <f>+G63</f>
        <v>1133330860.8955531</v>
      </c>
      <c r="H242" s="1194">
        <f>+H63</f>
        <v>1264602698.718394</v>
      </c>
      <c r="J242" s="281"/>
      <c r="K242" s="281"/>
      <c r="L242" s="281"/>
      <c r="M242" s="281"/>
    </row>
    <row r="243" spans="1:13">
      <c r="A243" s="77">
        <f>+A242+1</f>
        <v>159</v>
      </c>
      <c r="B243" s="15"/>
      <c r="C243" s="15" t="s">
        <v>299</v>
      </c>
      <c r="D243" s="15"/>
      <c r="E243" s="36"/>
      <c r="F243" s="140" t="str">
        <f>"(Line "&amp;A118&amp;")"</f>
        <v>(Line 73)</v>
      </c>
      <c r="G243" s="698">
        <f>+G118</f>
        <v>-147080748.29822642</v>
      </c>
      <c r="H243" s="1194">
        <f>+H118</f>
        <v>-158775290.87196624</v>
      </c>
      <c r="J243" s="281"/>
      <c r="K243" s="281"/>
      <c r="L243" s="281"/>
      <c r="M243" s="281"/>
    </row>
    <row r="244" spans="1:13" ht="15.75">
      <c r="A244" s="77">
        <f>+A243+1</f>
        <v>160</v>
      </c>
      <c r="B244" s="33"/>
      <c r="C244" s="307" t="s">
        <v>302</v>
      </c>
      <c r="D244" s="308"/>
      <c r="E244" s="482"/>
      <c r="F244" s="132" t="str">
        <f>"(Line "&amp;A120&amp;")"</f>
        <v>(Line 74)</v>
      </c>
      <c r="G244" s="711">
        <f>+G120</f>
        <v>986250112.59732676</v>
      </c>
      <c r="H244" s="1224">
        <f>+H120</f>
        <v>1105827407.8464279</v>
      </c>
      <c r="J244" s="281"/>
      <c r="K244" s="281"/>
      <c r="L244" s="281"/>
      <c r="M244" s="281"/>
    </row>
    <row r="245" spans="1:13">
      <c r="A245" s="77"/>
      <c r="B245" s="33"/>
      <c r="C245" s="61"/>
      <c r="D245" s="9"/>
      <c r="E245" s="110"/>
      <c r="F245" s="135"/>
      <c r="G245" s="698"/>
      <c r="H245" s="1194"/>
      <c r="J245" s="281"/>
      <c r="K245" s="281"/>
      <c r="L245" s="281"/>
      <c r="M245" s="281"/>
    </row>
    <row r="246" spans="1:13">
      <c r="A246" s="77">
        <f>+A244+1</f>
        <v>161</v>
      </c>
      <c r="B246" s="9"/>
      <c r="C246" s="61" t="s">
        <v>321</v>
      </c>
      <c r="D246" s="9"/>
      <c r="E246" s="36"/>
      <c r="F246" s="132" t="str">
        <f>"(Line "&amp;A156&amp;")"</f>
        <v>(Line 102)</v>
      </c>
      <c r="G246" s="698">
        <f>+G156</f>
        <v>38207807.530910723</v>
      </c>
      <c r="H246" s="1194">
        <f>+H156</f>
        <v>38343283.494736254</v>
      </c>
      <c r="J246" s="281"/>
      <c r="K246" s="281"/>
      <c r="L246" s="281"/>
      <c r="M246" s="281"/>
    </row>
    <row r="247" spans="1:13">
      <c r="A247" s="77">
        <f t="shared" ref="A247:A253" si="9">+A246+1</f>
        <v>162</v>
      </c>
      <c r="B247" s="9"/>
      <c r="C247" s="58" t="s">
        <v>290</v>
      </c>
      <c r="D247" s="9"/>
      <c r="E247" s="36"/>
      <c r="F247" s="132" t="str">
        <f>"(Line "&amp;A170&amp;")"</f>
        <v>(Line 112)</v>
      </c>
      <c r="G247" s="698">
        <f>+G170</f>
        <v>31595284.135944836</v>
      </c>
      <c r="H247" s="1194">
        <f>+H170</f>
        <v>31595284.135944836</v>
      </c>
      <c r="J247" s="281"/>
      <c r="K247" s="281"/>
      <c r="L247" s="281"/>
      <c r="M247" s="281"/>
    </row>
    <row r="248" spans="1:13">
      <c r="A248" s="77">
        <f t="shared" si="9"/>
        <v>163</v>
      </c>
      <c r="B248" s="33"/>
      <c r="C248" s="61" t="s">
        <v>246</v>
      </c>
      <c r="D248" s="9"/>
      <c r="E248" s="110"/>
      <c r="F248" s="137" t="str">
        <f>"(Line "&amp;A185&amp;")"</f>
        <v>(Line 124)</v>
      </c>
      <c r="G248" s="698">
        <f>+G185</f>
        <v>7419204.4697097363</v>
      </c>
      <c r="H248" s="1194">
        <f>+H185</f>
        <v>7824628.5055501396</v>
      </c>
      <c r="J248" s="281"/>
      <c r="K248" s="281"/>
      <c r="L248" s="281"/>
      <c r="M248" s="281"/>
    </row>
    <row r="249" spans="1:13">
      <c r="A249" s="77">
        <f t="shared" si="9"/>
        <v>164</v>
      </c>
      <c r="B249" s="33"/>
      <c r="C249" s="61" t="s">
        <v>1249</v>
      </c>
      <c r="D249" s="9"/>
      <c r="E249" s="110"/>
      <c r="F249" s="137" t="str">
        <f>"(Line "&amp;A193&amp;")"</f>
        <v>(Line 129)</v>
      </c>
      <c r="G249" s="694">
        <f>G193</f>
        <v>-3121.16</v>
      </c>
      <c r="H249" s="1171">
        <f>H193</f>
        <v>-3121.16</v>
      </c>
      <c r="J249" s="281"/>
      <c r="K249" s="281"/>
      <c r="L249" s="281"/>
      <c r="M249" s="281"/>
    </row>
    <row r="250" spans="1:13">
      <c r="A250" s="77">
        <f t="shared" si="9"/>
        <v>165</v>
      </c>
      <c r="B250" s="33"/>
      <c r="C250" s="272" t="s">
        <v>313</v>
      </c>
      <c r="D250" s="9"/>
      <c r="E250" s="110"/>
      <c r="F250" s="137" t="str">
        <f>"(Line "&amp;A218&amp;")"</f>
        <v>(Line 146)</v>
      </c>
      <c r="G250" s="698">
        <f>+G218</f>
        <v>77687681.754863471</v>
      </c>
      <c r="H250" s="1194">
        <f>+H218</f>
        <v>83110939.130302444</v>
      </c>
      <c r="J250" s="281"/>
      <c r="K250" s="281"/>
      <c r="L250" s="281"/>
      <c r="M250" s="281"/>
    </row>
    <row r="251" spans="1:13">
      <c r="A251" s="77">
        <f t="shared" si="9"/>
        <v>166</v>
      </c>
      <c r="B251" s="33"/>
      <c r="C251" s="272" t="s">
        <v>314</v>
      </c>
      <c r="D251" s="9"/>
      <c r="E251" s="110"/>
      <c r="F251" s="137" t="str">
        <f>"(Line "&amp;A237&amp;")"</f>
        <v>(Line 157)</v>
      </c>
      <c r="G251" s="698">
        <f>+G237</f>
        <v>35142583.65814478</v>
      </c>
      <c r="H251" s="1194">
        <f>+H237</f>
        <v>37880180.984714791</v>
      </c>
      <c r="J251" s="281"/>
      <c r="K251" s="281"/>
      <c r="L251" s="281"/>
      <c r="M251" s="281"/>
    </row>
    <row r="252" spans="1:13">
      <c r="A252" s="77">
        <f t="shared" si="9"/>
        <v>167</v>
      </c>
      <c r="B252" s="33"/>
      <c r="C252" s="272" t="s">
        <v>686</v>
      </c>
      <c r="D252" s="9"/>
      <c r="E252" s="36" t="str">
        <f>"(Note "&amp;A$323&amp;")"</f>
        <v>(Note T)</v>
      </c>
      <c r="F252" s="137"/>
      <c r="G252" s="225">
        <v>0</v>
      </c>
      <c r="H252" s="1185">
        <v>0</v>
      </c>
      <c r="J252" s="281"/>
      <c r="K252" s="281"/>
      <c r="L252" s="281"/>
      <c r="M252" s="281"/>
    </row>
    <row r="253" spans="1:13">
      <c r="A253" s="77">
        <f t="shared" si="9"/>
        <v>168</v>
      </c>
      <c r="B253" s="33"/>
      <c r="C253" s="272" t="s">
        <v>687</v>
      </c>
      <c r="D253" s="9"/>
      <c r="E253" s="36" t="str">
        <f>"(Note "&amp;A$324&amp;")"</f>
        <v>(Note U)</v>
      </c>
      <c r="F253" s="137"/>
      <c r="G253" s="225">
        <v>0</v>
      </c>
      <c r="H253" s="1185">
        <v>0</v>
      </c>
      <c r="J253" s="281"/>
      <c r="K253" s="281"/>
      <c r="L253" s="281"/>
      <c r="M253" s="281"/>
    </row>
    <row r="254" spans="1:13" ht="15.75" thickBot="1">
      <c r="A254" s="77"/>
      <c r="B254" s="33"/>
      <c r="C254" s="272"/>
      <c r="D254" s="9"/>
      <c r="E254" s="110"/>
      <c r="F254" s="144"/>
      <c r="G254" s="698"/>
      <c r="H254" s="1194"/>
      <c r="J254" s="281"/>
      <c r="K254" s="281"/>
      <c r="L254" s="281"/>
      <c r="M254" s="281"/>
    </row>
    <row r="255" spans="1:13" ht="16.5" thickBot="1">
      <c r="A255" s="612">
        <f>+A253+1</f>
        <v>169</v>
      </c>
      <c r="B255" s="613"/>
      <c r="C255" s="614" t="s">
        <v>316</v>
      </c>
      <c r="D255" s="615"/>
      <c r="E255" s="1265"/>
      <c r="F255" s="1084" t="str">
        <f>"Sum of (Line "&amp;A246&amp;" to Line "&amp;A251&amp;") - Line "&amp;A252&amp;" - Line "&amp;A253</f>
        <v>Sum of (Line 161 to Line 166) - Line 167 - Line 168</v>
      </c>
      <c r="G255" s="713">
        <f>SUM(G246:G251)-G252-G253</f>
        <v>190049440.38957354</v>
      </c>
      <c r="H255" s="1225">
        <f>SUM(H246:H251)-H252-H253</f>
        <v>198751195.09124851</v>
      </c>
      <c r="J255" s="281"/>
      <c r="K255" s="281"/>
      <c r="L255" s="281"/>
      <c r="M255" s="281"/>
    </row>
    <row r="256" spans="1:13" ht="15.75">
      <c r="A256" s="126"/>
      <c r="B256" s="7"/>
      <c r="C256" s="5"/>
      <c r="D256" s="51"/>
      <c r="E256" s="617"/>
      <c r="F256" s="1266"/>
      <c r="G256" s="712"/>
      <c r="H256" s="1226"/>
      <c r="J256" s="281"/>
      <c r="K256" s="281"/>
      <c r="L256" s="281"/>
      <c r="M256" s="281"/>
    </row>
    <row r="257" spans="1:13" ht="15.75">
      <c r="A257" s="126"/>
      <c r="B257" s="26" t="s">
        <v>270</v>
      </c>
      <c r="C257" s="5"/>
      <c r="D257" s="51"/>
      <c r="E257" s="617"/>
      <c r="F257" s="1266"/>
      <c r="G257" s="712"/>
      <c r="H257" s="1226"/>
      <c r="J257" s="281"/>
      <c r="K257" s="281"/>
      <c r="L257" s="281"/>
      <c r="M257" s="281"/>
    </row>
    <row r="258" spans="1:13" ht="15.75">
      <c r="A258" s="77">
        <f>+A255+1</f>
        <v>170</v>
      </c>
      <c r="B258" s="33"/>
      <c r="C258" s="61" t="str">
        <f>+C42</f>
        <v>Total Transmission Plant In Service</v>
      </c>
      <c r="D258" s="51"/>
      <c r="E258" s="617"/>
      <c r="F258" s="137" t="str">
        <f>"(Line "&amp;A42&amp;")"</f>
        <v>(Line 21)</v>
      </c>
      <c r="G258" s="694">
        <f>+G42</f>
        <v>1570842008.670769</v>
      </c>
      <c r="H258" s="1171">
        <f>+H42</f>
        <v>1703798251.6062224</v>
      </c>
      <c r="J258" s="281"/>
      <c r="K258" s="281"/>
      <c r="L258" s="281"/>
      <c r="M258" s="281"/>
    </row>
    <row r="259" spans="1:13" ht="15.75">
      <c r="A259" s="77">
        <f>+A258+1</f>
        <v>171</v>
      </c>
      <c r="B259" s="33"/>
      <c r="C259" s="63" t="s">
        <v>271</v>
      </c>
      <c r="D259" s="616"/>
      <c r="E259" s="76" t="str">
        <f>"(Notes "&amp;A$305&amp;", "&amp;A$316&amp;", "&amp;A$322&amp;")"</f>
        <v>(Notes B, M, S)</v>
      </c>
      <c r="F259" s="138" t="str">
        <f>+"WP02 Support Line "&amp;'WP02 Support'!A161&amp;" Columns "&amp;'WP02 Support'!$D$5&amp;" &amp; "&amp;'WP02 Support'!F5</f>
        <v>WP02 Support Line 58 Columns C &amp; E</v>
      </c>
      <c r="G259" s="477">
        <f>'WP02 Support'!D161</f>
        <v>110263082.64423075</v>
      </c>
      <c r="H259" s="1208">
        <f>'WP02 Support'!F161</f>
        <v>110010881.56999999</v>
      </c>
      <c r="J259" s="281"/>
      <c r="K259" s="281"/>
      <c r="L259" s="281"/>
      <c r="M259" s="281"/>
    </row>
    <row r="260" spans="1:13" ht="15.75">
      <c r="A260" s="77">
        <f>+A259+1</f>
        <v>172</v>
      </c>
      <c r="B260" s="33"/>
      <c r="C260" s="61" t="s">
        <v>272</v>
      </c>
      <c r="D260" s="51"/>
      <c r="E260" s="617"/>
      <c r="F260" s="137" t="str">
        <f>"(Line "&amp;A258&amp;" - Line "&amp;A259&amp;")"</f>
        <v>(Line 170 - Line 171)</v>
      </c>
      <c r="G260" s="694">
        <f>+G258-G259</f>
        <v>1460578926.0265381</v>
      </c>
      <c r="H260" s="1171">
        <f>+H258-H259</f>
        <v>1593787370.0362225</v>
      </c>
      <c r="J260" s="281"/>
      <c r="K260" s="281"/>
      <c r="L260" s="281"/>
      <c r="M260" s="281"/>
    </row>
    <row r="261" spans="1:13" s="281" customFormat="1" ht="15.75">
      <c r="A261" s="77">
        <f>+A260+1</f>
        <v>173</v>
      </c>
      <c r="B261" s="33"/>
      <c r="C261" s="61" t="s">
        <v>273</v>
      </c>
      <c r="D261" s="51"/>
      <c r="E261" s="617"/>
      <c r="F261" s="137" t="str">
        <f>"(Line "&amp;A260&amp;" / Line "&amp;A258&amp;")"</f>
        <v>(Line 172 / Line 170)</v>
      </c>
      <c r="G261" s="1522">
        <f>IF(G258 =0, 0,+G260/G258)</f>
        <v>0.92980638279623395</v>
      </c>
      <c r="H261" s="1522">
        <f>IF(H258 =0, 0,+H260/H258)</f>
        <v>0.93543197883535256</v>
      </c>
      <c r="I261" s="257"/>
    </row>
    <row r="262" spans="1:13" ht="15.75">
      <c r="A262" s="77">
        <f>+A261+1</f>
        <v>174</v>
      </c>
      <c r="B262" s="33"/>
      <c r="C262" s="63" t="s">
        <v>316</v>
      </c>
      <c r="D262" s="616"/>
      <c r="E262" s="1267"/>
      <c r="F262" s="138" t="str">
        <f>"(Line "&amp;A255&amp;")"</f>
        <v>(Line 169)</v>
      </c>
      <c r="G262" s="477">
        <f>+G255</f>
        <v>190049440.38957354</v>
      </c>
      <c r="H262" s="1208">
        <f>+H255</f>
        <v>198751195.09124851</v>
      </c>
      <c r="J262" s="281"/>
      <c r="K262" s="281"/>
      <c r="L262" s="281"/>
      <c r="M262" s="281"/>
    </row>
    <row r="263" spans="1:13" ht="15.75">
      <c r="A263" s="77">
        <f>+A262+1</f>
        <v>175</v>
      </c>
      <c r="B263" s="33"/>
      <c r="C263" s="5" t="s">
        <v>274</v>
      </c>
      <c r="D263" s="51"/>
      <c r="E263" s="617"/>
      <c r="F263" s="137" t="str">
        <f>"(Line "&amp;A261&amp;" * Line "&amp;A262&amp;")"</f>
        <v>(Line 173 * Line 174)</v>
      </c>
      <c r="G263" s="696">
        <f>+G262*G261</f>
        <v>176709182.72107786</v>
      </c>
      <c r="H263" s="1190">
        <f>+H262*H261</f>
        <v>185918223.72009781</v>
      </c>
      <c r="J263" s="281"/>
      <c r="K263" s="281"/>
      <c r="L263" s="281"/>
      <c r="M263" s="281"/>
    </row>
    <row r="264" spans="1:13" ht="15.75">
      <c r="A264" s="115"/>
      <c r="B264" s="7"/>
      <c r="C264" s="61"/>
      <c r="D264" s="9"/>
      <c r="E264" s="55"/>
      <c r="F264" s="135"/>
      <c r="G264" s="708"/>
      <c r="H264" s="1207"/>
      <c r="J264" s="281"/>
      <c r="K264" s="281"/>
      <c r="L264" s="281"/>
      <c r="M264" s="281"/>
    </row>
    <row r="265" spans="1:13" ht="15.75">
      <c r="A265" s="1163"/>
      <c r="B265" s="41" t="s">
        <v>349</v>
      </c>
      <c r="C265" s="61"/>
      <c r="D265" s="9"/>
      <c r="E265" s="55"/>
      <c r="F265" s="135"/>
      <c r="G265" s="702"/>
      <c r="H265" s="1198"/>
      <c r="J265" s="281"/>
      <c r="K265" s="281"/>
      <c r="L265" s="281"/>
      <c r="M265" s="281"/>
    </row>
    <row r="266" spans="1:13" ht="15.75">
      <c r="A266" s="1163"/>
      <c r="B266" s="41"/>
      <c r="C266" s="5" t="s">
        <v>1255</v>
      </c>
      <c r="D266" s="9"/>
      <c r="E266" s="55"/>
      <c r="F266" s="135"/>
      <c r="G266" s="702"/>
      <c r="H266" s="1198"/>
      <c r="J266" s="281"/>
      <c r="K266" s="281"/>
      <c r="L266" s="281"/>
      <c r="M266" s="281"/>
    </row>
    <row r="267" spans="1:13" ht="15.75">
      <c r="A267" s="114">
        <f>+A263+1</f>
        <v>176</v>
      </c>
      <c r="B267" s="41"/>
      <c r="C267" s="983" t="s">
        <v>331</v>
      </c>
      <c r="D267" s="9"/>
      <c r="E267" s="55"/>
      <c r="F267" s="133" t="str">
        <f>+"WP17 Rev Line "&amp;'WP17 Rev'!A$10&amp;" Column "&amp;'WP17 Rev'!D5</f>
        <v>WP17 Rev Line 2 Column C</v>
      </c>
      <c r="G267" s="694">
        <f>+'WP17 Rev'!D10</f>
        <v>32172.569999999996</v>
      </c>
      <c r="H267" s="1171">
        <f>+'WP17 Rev'!D10</f>
        <v>32172.569999999996</v>
      </c>
      <c r="J267" s="281"/>
      <c r="K267" s="281"/>
      <c r="L267" s="281"/>
      <c r="M267" s="281"/>
    </row>
    <row r="268" spans="1:13" ht="15.75">
      <c r="A268" s="114">
        <f>+A267+1</f>
        <v>177</v>
      </c>
      <c r="B268" s="41"/>
      <c r="C268" s="983" t="s">
        <v>369</v>
      </c>
      <c r="D268" s="9"/>
      <c r="E268" s="55"/>
      <c r="F268" s="133" t="str">
        <f>+"WP17 Rev Line "&amp;'WP17 Rev'!A$10&amp;" Column "&amp;'WP17 Rev'!F5</f>
        <v>WP17 Rev Line 2 Column E</v>
      </c>
      <c r="G268" s="694">
        <f>+'WP17 Rev'!F10</f>
        <v>324751.36000000004</v>
      </c>
      <c r="H268" s="1171">
        <f>+'WP17 Rev'!F10</f>
        <v>324751.36000000004</v>
      </c>
      <c r="J268" s="281"/>
      <c r="K268" s="281"/>
      <c r="L268" s="281"/>
      <c r="M268" s="281"/>
    </row>
    <row r="269" spans="1:13" ht="15.75">
      <c r="A269" s="114">
        <f t="shared" ref="A269:A271" si="10">+A268+1</f>
        <v>178</v>
      </c>
      <c r="B269" s="41"/>
      <c r="C269" s="983" t="str">
        <f>+B$24</f>
        <v>Wages &amp; Salary Allocator</v>
      </c>
      <c r="D269" s="9"/>
      <c r="E269" s="55"/>
      <c r="F269" s="133" t="str">
        <f>"(Line "&amp;A$24&amp;")"</f>
        <v>(Line 11)</v>
      </c>
      <c r="G269" s="271">
        <f>+G$24</f>
        <v>7.5774921552056965E-2</v>
      </c>
      <c r="H269" s="1177">
        <f>H$24</f>
        <v>7.5774921552056965E-2</v>
      </c>
      <c r="J269" s="281"/>
      <c r="K269" s="281"/>
      <c r="L269" s="281"/>
      <c r="M269" s="281"/>
    </row>
    <row r="270" spans="1:13" ht="15.75">
      <c r="A270" s="114">
        <f t="shared" si="10"/>
        <v>179</v>
      </c>
      <c r="B270" s="41"/>
      <c r="C270" s="982" t="str">
        <f>+"Total Transmission Allocated "&amp;C268</f>
        <v>Total Transmission Allocated General Plant</v>
      </c>
      <c r="D270" s="9"/>
      <c r="E270" s="55"/>
      <c r="F270" s="138" t="str">
        <f>"(Line "&amp;A268&amp;" * Line "&amp;A269&amp;")"</f>
        <v>(Line 177 * Line 178)</v>
      </c>
      <c r="G270" s="970">
        <f>+G268*G269</f>
        <v>24608.008827923812</v>
      </c>
      <c r="H270" s="1183">
        <f>+H268*H269</f>
        <v>24608.008827923812</v>
      </c>
      <c r="J270" s="281"/>
      <c r="K270" s="281"/>
      <c r="L270" s="281"/>
      <c r="M270" s="281"/>
    </row>
    <row r="271" spans="1:13" ht="15.75">
      <c r="A271" s="114">
        <f t="shared" si="10"/>
        <v>180</v>
      </c>
      <c r="B271" s="41"/>
      <c r="C271" s="58" t="s">
        <v>1256</v>
      </c>
      <c r="D271" s="9"/>
      <c r="E271" s="55"/>
      <c r="F271" s="137" t="str">
        <f>"(Line "&amp;A267&amp;" + Line "&amp;A270&amp;")"</f>
        <v>(Line 176 + Line 179)</v>
      </c>
      <c r="G271" s="102">
        <f>+G267+G270</f>
        <v>56780.578827923804</v>
      </c>
      <c r="H271" s="1166">
        <f>+H267+H270</f>
        <v>56780.578827923804</v>
      </c>
      <c r="J271" s="281"/>
      <c r="K271" s="281"/>
      <c r="L271" s="281"/>
      <c r="M271" s="281"/>
    </row>
    <row r="272" spans="1:13">
      <c r="A272" s="120"/>
      <c r="B272" s="7"/>
      <c r="C272" s="61"/>
      <c r="D272" s="9"/>
      <c r="F272" s="135"/>
      <c r="G272" s="702"/>
      <c r="H272" s="1198"/>
      <c r="J272" s="281"/>
      <c r="K272" s="281"/>
      <c r="L272" s="281"/>
      <c r="M272" s="281"/>
    </row>
    <row r="273" spans="1:13" ht="15.75">
      <c r="A273" s="115"/>
      <c r="B273" s="26"/>
      <c r="C273" s="5" t="s">
        <v>1257</v>
      </c>
      <c r="D273" s="9"/>
      <c r="E273" s="55"/>
      <c r="F273" s="144"/>
      <c r="G273" s="74"/>
      <c r="H273" s="1207"/>
      <c r="J273" s="281"/>
      <c r="K273" s="281"/>
      <c r="L273" s="281"/>
      <c r="M273" s="281"/>
    </row>
    <row r="274" spans="1:13">
      <c r="A274" s="114">
        <f>+A271+1</f>
        <v>181</v>
      </c>
      <c r="B274" s="58"/>
      <c r="C274" s="1268" t="s">
        <v>1283</v>
      </c>
      <c r="D274" s="9"/>
      <c r="E274" s="110"/>
      <c r="F274" s="133" t="str">
        <f>+"WP17 Rev Line "&amp;'WP17 Rev'!A$57&amp;" Column "&amp;'WP17 Rev'!D5</f>
        <v>WP17 Rev Line 7 Column C</v>
      </c>
      <c r="G274" s="102">
        <f>+'WP17 Rev'!$D57</f>
        <v>1794732.8299999998</v>
      </c>
      <c r="H274" s="1166">
        <f>+'WP17 Rev'!$D57</f>
        <v>1794732.8299999998</v>
      </c>
      <c r="J274" s="281"/>
      <c r="K274" s="281"/>
      <c r="L274" s="281"/>
      <c r="M274" s="281"/>
    </row>
    <row r="275" spans="1:13">
      <c r="A275" s="77">
        <f t="shared" ref="A275:A283" si="11">+A274+1</f>
        <v>182</v>
      </c>
      <c r="B275" s="58"/>
      <c r="C275" s="1268" t="s">
        <v>1285</v>
      </c>
      <c r="D275" s="9"/>
      <c r="E275" s="110"/>
      <c r="F275" s="133" t="str">
        <f>+"WP17 Rev Line "&amp;'WP17 Rev'!A$57&amp;" Column "&amp;'WP17 Rev'!E5</f>
        <v>WP17 Rev Line 7 Column D</v>
      </c>
      <c r="G275" s="703">
        <f>+'WP17 Rev'!$E57</f>
        <v>65320517.820000008</v>
      </c>
      <c r="H275" s="1167">
        <f>+'WP17 Rev'!$E57</f>
        <v>65320517.820000008</v>
      </c>
      <c r="J275" s="281"/>
      <c r="K275" s="281"/>
      <c r="L275" s="281"/>
      <c r="M275" s="281"/>
    </row>
    <row r="276" spans="1:13" ht="15.75">
      <c r="A276" s="77">
        <f t="shared" si="11"/>
        <v>183</v>
      </c>
      <c r="B276" s="41"/>
      <c r="C276" s="983" t="s">
        <v>1284</v>
      </c>
      <c r="D276" s="9"/>
      <c r="E276" s="36"/>
      <c r="F276" s="137" t="str">
        <f>"(Line "&amp;A274&amp;" + Line "&amp;A275&amp;")"</f>
        <v>(Line 181 + Line 182)</v>
      </c>
      <c r="G276" s="694">
        <f>SUM(G274:G275)</f>
        <v>67115250.650000006</v>
      </c>
      <c r="H276" s="1171">
        <f>SUM(H274:H275)</f>
        <v>67115250.650000006</v>
      </c>
      <c r="J276" s="281"/>
      <c r="K276" s="281"/>
      <c r="L276" s="281"/>
      <c r="M276" s="281"/>
    </row>
    <row r="277" spans="1:13">
      <c r="A277" s="77">
        <f t="shared" si="11"/>
        <v>184</v>
      </c>
      <c r="B277" s="117"/>
      <c r="C277" s="983" t="s">
        <v>369</v>
      </c>
      <c r="D277" s="9"/>
      <c r="E277" s="36"/>
      <c r="F277" s="133" t="str">
        <f>+"WP17 Rev Line "&amp;'WP17 Rev'!A$57&amp;" Column "&amp;'WP17 Rev'!F5</f>
        <v>WP17 Rev Line 7 Column E</v>
      </c>
      <c r="G277" s="694">
        <f>+'WP17 Rev'!F57</f>
        <v>0</v>
      </c>
      <c r="H277" s="1171">
        <f>+'WP17 Rev'!F57</f>
        <v>0</v>
      </c>
      <c r="J277" s="281"/>
      <c r="K277" s="281"/>
      <c r="L277" s="281"/>
      <c r="M277" s="281"/>
    </row>
    <row r="278" spans="1:13" s="281" customFormat="1" ht="15.75">
      <c r="A278" s="114">
        <f t="shared" si="11"/>
        <v>185</v>
      </c>
      <c r="B278" s="51"/>
      <c r="C278" s="983" t="str">
        <f>+B$24</f>
        <v>Wages &amp; Salary Allocator</v>
      </c>
      <c r="D278" s="9"/>
      <c r="E278" s="52"/>
      <c r="F278" s="133" t="str">
        <f>"(Line "&amp;A$24&amp;")"</f>
        <v>(Line 11)</v>
      </c>
      <c r="G278" s="271">
        <f>+G$24</f>
        <v>7.5774921552056965E-2</v>
      </c>
      <c r="H278" s="1177">
        <f>H$24</f>
        <v>7.5774921552056965E-2</v>
      </c>
      <c r="I278" s="257"/>
    </row>
    <row r="279" spans="1:13">
      <c r="A279" s="77">
        <f t="shared" si="11"/>
        <v>186</v>
      </c>
      <c r="B279" s="117"/>
      <c r="C279" s="982" t="str">
        <f>+"Total Transmission Allocated "&amp;C277</f>
        <v>Total Transmission Allocated General Plant</v>
      </c>
      <c r="D279" s="68"/>
      <c r="E279" s="76"/>
      <c r="F279" s="138" t="str">
        <f>"(Line "&amp;A277&amp;" * "&amp;A278&amp;")"</f>
        <v>(Line 184 * 185)</v>
      </c>
      <c r="G279" s="970">
        <f>+G277*G278</f>
        <v>0</v>
      </c>
      <c r="H279" s="1183">
        <f>+H277*H278</f>
        <v>0</v>
      </c>
      <c r="J279" s="281"/>
      <c r="K279" s="281"/>
      <c r="L279" s="281"/>
      <c r="M279" s="281"/>
    </row>
    <row r="280" spans="1:13">
      <c r="A280" s="77">
        <f t="shared" si="11"/>
        <v>187</v>
      </c>
      <c r="B280" s="15"/>
      <c r="C280" s="58" t="s">
        <v>906</v>
      </c>
      <c r="D280" s="9"/>
      <c r="E280" s="36"/>
      <c r="F280" s="137" t="str">
        <f>"(Line "&amp;A276&amp;" + "&amp;A279&amp;")"</f>
        <v>(Line 183 + 186)</v>
      </c>
      <c r="G280" s="102">
        <f>+G276+G279</f>
        <v>67115250.650000006</v>
      </c>
      <c r="H280" s="1166">
        <f>+H276+H279</f>
        <v>67115250.650000006</v>
      </c>
      <c r="J280" s="281"/>
      <c r="K280" s="281"/>
      <c r="L280" s="281"/>
      <c r="M280" s="281"/>
    </row>
    <row r="281" spans="1:13">
      <c r="A281" s="77">
        <f t="shared" si="11"/>
        <v>188</v>
      </c>
      <c r="B281" s="15"/>
      <c r="C281" s="1085" t="str">
        <f>+"Less "&amp;C275</f>
        <v>Less Transmission Network &amp; LTF Service Revenues</v>
      </c>
      <c r="D281" s="9"/>
      <c r="E281" s="36"/>
      <c r="F281" s="133" t="str">
        <f>"(Line "&amp;A$275&amp;")"</f>
        <v>(Line 182)</v>
      </c>
      <c r="G281" s="1269">
        <f>+G275</f>
        <v>65320517.820000008</v>
      </c>
      <c r="H281" s="1270">
        <f>+H275</f>
        <v>65320517.820000008</v>
      </c>
      <c r="J281" s="281"/>
      <c r="K281" s="281"/>
      <c r="L281" s="281"/>
      <c r="M281" s="281"/>
    </row>
    <row r="282" spans="1:13">
      <c r="A282" s="77">
        <f t="shared" si="11"/>
        <v>189</v>
      </c>
      <c r="B282" s="15"/>
      <c r="C282" s="1085" t="s">
        <v>1175</v>
      </c>
      <c r="D282" s="9"/>
      <c r="E282" s="36" t="str">
        <f>"(Note "&amp;A$329&amp;")"</f>
        <v>(Note Z)</v>
      </c>
      <c r="F282" s="133" t="str">
        <f>+"WP17 Rev Line "&amp;'WP17 Rev'!A$52&amp;" Column "&amp;'WP17 Rev'!D5</f>
        <v>WP17 Rev Line 6.38 Column C</v>
      </c>
      <c r="G282" s="1269">
        <f>+'WP17 Rev'!$D52</f>
        <v>0</v>
      </c>
      <c r="H282" s="1270">
        <f>+'WP17 Rev'!$D52</f>
        <v>0</v>
      </c>
      <c r="J282" s="281"/>
      <c r="K282" s="281"/>
      <c r="L282" s="281"/>
      <c r="M282" s="281"/>
    </row>
    <row r="283" spans="1:13">
      <c r="A283" s="77">
        <f t="shared" si="11"/>
        <v>190</v>
      </c>
      <c r="B283" s="15"/>
      <c r="C283" s="1086" t="s">
        <v>1174</v>
      </c>
      <c r="D283" s="68"/>
      <c r="E283" s="76" t="str">
        <f>"(Note "&amp;A$330&amp;")"</f>
        <v>(Note AA)</v>
      </c>
      <c r="F283" s="279" t="str">
        <f>+"WP17 Rev Line "&amp;'WP17 Rev'!A$53&amp;" Column "&amp;'WP17 Rev'!D5</f>
        <v>WP17 Rev Line 6.39 Column C</v>
      </c>
      <c r="G283" s="779">
        <f>+'WP17 Rev'!D$53</f>
        <v>0</v>
      </c>
      <c r="H283" s="1271">
        <f>+'WP17 Rev'!E$53</f>
        <v>0</v>
      </c>
      <c r="J283" s="281"/>
      <c r="K283" s="281"/>
      <c r="L283" s="281"/>
      <c r="M283" s="281"/>
    </row>
    <row r="284" spans="1:13">
      <c r="A284" s="77">
        <f>+A283+1</f>
        <v>191</v>
      </c>
      <c r="B284" s="15"/>
      <c r="C284" s="58" t="str">
        <f>+"Revenue Credits - "&amp;C274</f>
        <v>Revenue Credits - Transmission Service Other Revenue Credits</v>
      </c>
      <c r="D284" s="9"/>
      <c r="E284" s="36"/>
      <c r="F284" s="144" t="str">
        <f>"(Line "&amp;A280&amp;" - Line "&amp;A281&amp;" - Line "&amp;A282&amp;" - Line "&amp;A283&amp;")"</f>
        <v>(Line 187 - Line 188 - Line 189 - Line 190)</v>
      </c>
      <c r="G284" s="102">
        <f>+G280-G281-G282-G283</f>
        <v>1794732.8299999982</v>
      </c>
      <c r="H284" s="1166">
        <f>+H280-H281-H282-H283</f>
        <v>1794732.8299999982</v>
      </c>
      <c r="J284" s="281"/>
      <c r="K284" s="281"/>
      <c r="L284" s="281"/>
      <c r="M284" s="281"/>
    </row>
    <row r="285" spans="1:13">
      <c r="A285" s="77">
        <f>+A284+1</f>
        <v>192</v>
      </c>
      <c r="B285" s="10"/>
      <c r="C285" s="58" t="s">
        <v>348</v>
      </c>
      <c r="D285" s="9"/>
      <c r="E285" s="36" t="str">
        <f>"(Note "&amp;A$317&amp;")"</f>
        <v>(Note N)</v>
      </c>
      <c r="F285" s="144"/>
      <c r="G285" s="225">
        <v>0</v>
      </c>
      <c r="H285" s="1185">
        <v>0</v>
      </c>
      <c r="J285" s="281"/>
      <c r="K285" s="281"/>
      <c r="L285" s="281"/>
      <c r="M285" s="281"/>
    </row>
    <row r="286" spans="1:13" ht="16.5" thickBot="1">
      <c r="A286" s="108"/>
      <c r="B286" s="7"/>
      <c r="C286" s="15"/>
      <c r="D286" s="15"/>
      <c r="E286" s="36"/>
      <c r="F286" s="144"/>
      <c r="G286" s="73"/>
      <c r="H286" s="1172"/>
      <c r="J286" s="281"/>
      <c r="K286" s="281"/>
      <c r="L286" s="281"/>
      <c r="M286" s="281"/>
    </row>
    <row r="287" spans="1:13" s="1" customFormat="1" ht="16.5" thickBot="1">
      <c r="A287" s="612">
        <f>+A285+1</f>
        <v>193</v>
      </c>
      <c r="B287" s="151"/>
      <c r="C287" s="1077" t="s">
        <v>320</v>
      </c>
      <c r="D287" s="619"/>
      <c r="E287" s="1078"/>
      <c r="F287" s="1084" t="str">
        <f>"(Line "&amp;A263&amp;" - Line "&amp;A271&amp;" - Line "&amp;A284&amp;" + Line "&amp;A285&amp;")"</f>
        <v>(Line 175 - Line 180 - Line 191 + Line 192)</v>
      </c>
      <c r="G287" s="713">
        <f>+G263-G271-G284+G285</f>
        <v>174857669.31224996</v>
      </c>
      <c r="H287" s="1225">
        <f>+H263-H271-H284+H285</f>
        <v>184066710.31126988</v>
      </c>
      <c r="I287" s="257"/>
      <c r="J287" s="281"/>
      <c r="K287" s="281"/>
      <c r="L287" s="37"/>
      <c r="M287" s="37"/>
    </row>
    <row r="288" spans="1:13" ht="15.75">
      <c r="A288" s="115"/>
      <c r="B288" s="7"/>
      <c r="C288" s="15"/>
      <c r="D288" s="15"/>
      <c r="E288" s="36"/>
      <c r="F288" s="144"/>
      <c r="G288" s="714"/>
      <c r="H288" s="1207"/>
      <c r="J288" s="281"/>
      <c r="K288" s="281"/>
      <c r="L288" s="281"/>
      <c r="M288" s="281"/>
    </row>
    <row r="289" spans="1:182" ht="15.75">
      <c r="A289" s="77">
        <f>+A287+1</f>
        <v>194</v>
      </c>
      <c r="B289" s="33"/>
      <c r="C289" s="15" t="s">
        <v>1711</v>
      </c>
      <c r="D289" s="15" t="s">
        <v>1351</v>
      </c>
      <c r="E289" s="1272"/>
      <c r="F289" s="139" t="str">
        <f>+"WP01 True-up Line "&amp;'WP01 True-Up'!A68&amp;" (EOY) Column "&amp;'WP01 True-Up'!F6</f>
        <v>WP01 True-up Line 29 (EOY) Column E</v>
      </c>
      <c r="G289" s="694"/>
      <c r="H289" s="1166">
        <v>0</v>
      </c>
      <c r="J289" s="37"/>
      <c r="K289" s="37"/>
      <c r="L289" s="281"/>
      <c r="M289" s="281"/>
    </row>
    <row r="290" spans="1:182" ht="16.5" thickBot="1">
      <c r="A290" s="77"/>
      <c r="B290" s="33"/>
      <c r="C290" s="15"/>
      <c r="D290" s="15"/>
      <c r="E290" s="110"/>
      <c r="F290" s="139"/>
      <c r="G290" s="715"/>
      <c r="H290" s="1227"/>
      <c r="I290" s="1117"/>
      <c r="J290" s="37"/>
      <c r="K290" s="37"/>
      <c r="L290" s="281"/>
      <c r="M290" s="281"/>
    </row>
    <row r="291" spans="1:182" ht="16.5" thickBot="1">
      <c r="A291" s="612">
        <f>+A289+1</f>
        <v>195</v>
      </c>
      <c r="B291" s="151"/>
      <c r="C291" s="618" t="s">
        <v>217</v>
      </c>
      <c r="D291" s="619"/>
      <c r="E291" s="620"/>
      <c r="F291" s="311" t="str">
        <f>"(Line "&amp;A287&amp;" + Line "&amp;A289&amp;")"</f>
        <v>(Line 193 + Line 194)</v>
      </c>
      <c r="G291" s="713"/>
      <c r="H291" s="1225">
        <f>+H287+H289</f>
        <v>184066710.31126988</v>
      </c>
      <c r="I291" s="1119"/>
      <c r="J291" s="989"/>
      <c r="K291" s="37"/>
      <c r="L291" s="281"/>
      <c r="M291" s="281"/>
    </row>
    <row r="292" spans="1:182" s="10" customFormat="1" ht="15.75">
      <c r="A292" s="77"/>
      <c r="B292" s="7"/>
      <c r="C292" s="15"/>
      <c r="D292" s="15"/>
      <c r="E292" s="28"/>
      <c r="F292" s="135"/>
      <c r="G292" s="716"/>
      <c r="H292" s="1176"/>
      <c r="I292" s="1120"/>
      <c r="J292" s="977"/>
      <c r="K292" s="281"/>
      <c r="L292" s="281"/>
      <c r="M292" s="281"/>
      <c r="N292" s="280"/>
      <c r="O292" s="280"/>
      <c r="P292" s="280"/>
      <c r="Q292" s="280"/>
      <c r="R292" s="280"/>
      <c r="S292" s="280"/>
      <c r="T292" s="280"/>
      <c r="U292" s="280"/>
      <c r="V292" s="280"/>
      <c r="W292" s="280"/>
      <c r="X292" s="280"/>
      <c r="Y292" s="280"/>
      <c r="Z292" s="280"/>
      <c r="AA292" s="280"/>
      <c r="AB292" s="280"/>
      <c r="AC292" s="280"/>
      <c r="AD292" s="280"/>
      <c r="AE292" s="280"/>
      <c r="AF292" s="280"/>
      <c r="AG292" s="280"/>
      <c r="AH292" s="280"/>
      <c r="AI292" s="280"/>
      <c r="AJ292" s="280"/>
      <c r="AK292" s="280"/>
      <c r="AL292" s="280"/>
      <c r="AM292" s="280"/>
      <c r="AN292" s="280"/>
      <c r="AO292" s="280"/>
      <c r="AP292" s="280"/>
      <c r="AQ292" s="280"/>
      <c r="AR292" s="280"/>
      <c r="AS292" s="280"/>
      <c r="AT292" s="280"/>
      <c r="AU292" s="280"/>
      <c r="AV292" s="280"/>
      <c r="AW292" s="280"/>
      <c r="AX292" s="280"/>
      <c r="AY292" s="280"/>
      <c r="AZ292" s="280"/>
      <c r="BA292" s="280"/>
      <c r="BB292" s="280"/>
      <c r="BC292" s="280"/>
      <c r="BD292" s="280"/>
      <c r="BE292" s="280"/>
      <c r="BF292" s="280"/>
      <c r="BG292" s="280"/>
      <c r="BH292" s="280"/>
      <c r="BI292" s="280"/>
      <c r="BJ292" s="280"/>
      <c r="BK292" s="280"/>
      <c r="BL292" s="280"/>
      <c r="BM292" s="280"/>
      <c r="BN292" s="280"/>
      <c r="BO292" s="280"/>
      <c r="BP292" s="280"/>
      <c r="BQ292" s="280"/>
      <c r="BR292" s="280"/>
      <c r="BS292" s="280"/>
      <c r="BT292" s="280"/>
      <c r="BU292" s="280"/>
      <c r="BV292" s="280"/>
      <c r="BW292" s="280"/>
      <c r="BX292" s="280"/>
      <c r="BY292" s="280"/>
      <c r="BZ292" s="280"/>
      <c r="CA292" s="280"/>
      <c r="CB292" s="280"/>
      <c r="CC292" s="280"/>
      <c r="CD292" s="280"/>
      <c r="CE292" s="280"/>
      <c r="CF292" s="280"/>
      <c r="CG292" s="280"/>
      <c r="CH292" s="280"/>
      <c r="CI292" s="280"/>
      <c r="CJ292" s="280"/>
      <c r="CK292" s="280"/>
      <c r="CL292" s="280"/>
      <c r="CM292" s="280"/>
      <c r="CN292" s="280"/>
      <c r="CO292" s="280"/>
      <c r="CP292" s="280"/>
      <c r="CQ292" s="280"/>
      <c r="CR292" s="280"/>
      <c r="CS292" s="280"/>
      <c r="CT292" s="280"/>
      <c r="CU292" s="280"/>
      <c r="CV292" s="280"/>
      <c r="CW292" s="280"/>
      <c r="CX292" s="280"/>
      <c r="CY292" s="280"/>
      <c r="CZ292" s="280"/>
      <c r="DA292" s="280"/>
      <c r="DB292" s="280"/>
      <c r="DC292" s="280"/>
      <c r="DD292" s="280"/>
      <c r="DE292" s="280"/>
      <c r="DF292" s="280"/>
      <c r="DG292" s="280"/>
      <c r="DH292" s="280"/>
      <c r="DI292" s="280"/>
      <c r="DJ292" s="280"/>
      <c r="DK292" s="280"/>
      <c r="DL292" s="280"/>
      <c r="DM292" s="280"/>
      <c r="DN292" s="280"/>
      <c r="DO292" s="280"/>
      <c r="DP292" s="280"/>
      <c r="DQ292" s="280"/>
      <c r="DR292" s="280"/>
      <c r="DS292" s="280"/>
      <c r="DT292" s="280"/>
      <c r="DU292" s="280"/>
      <c r="DV292" s="280"/>
      <c r="DW292" s="280"/>
      <c r="DX292" s="280"/>
      <c r="DY292" s="280"/>
      <c r="DZ292" s="280"/>
      <c r="EA292" s="280"/>
      <c r="EB292" s="280"/>
      <c r="EC292" s="280"/>
      <c r="ED292" s="280"/>
      <c r="EE292" s="280"/>
      <c r="EF292" s="280"/>
      <c r="EG292" s="280"/>
      <c r="EH292" s="280"/>
      <c r="EI292" s="280"/>
      <c r="EJ292" s="280"/>
      <c r="EK292" s="280"/>
      <c r="EL292" s="280"/>
      <c r="EM292" s="280"/>
      <c r="EN292" s="280"/>
      <c r="EO292" s="280"/>
      <c r="EP292" s="280"/>
      <c r="EQ292" s="280"/>
      <c r="ER292" s="280"/>
      <c r="ES292" s="280"/>
      <c r="ET292" s="280"/>
      <c r="EU292" s="280"/>
      <c r="EV292" s="280"/>
      <c r="EW292" s="280"/>
      <c r="EX292" s="280"/>
      <c r="EY292" s="280"/>
      <c r="EZ292" s="280"/>
      <c r="FA292" s="280"/>
      <c r="FB292" s="280"/>
      <c r="FC292" s="280"/>
      <c r="FD292" s="280"/>
      <c r="FE292" s="280"/>
      <c r="FF292" s="280"/>
      <c r="FG292" s="280"/>
      <c r="FH292" s="280"/>
      <c r="FI292" s="280"/>
      <c r="FJ292" s="280"/>
      <c r="FK292" s="280"/>
      <c r="FL292" s="280"/>
      <c r="FM292" s="280"/>
      <c r="FN292" s="280"/>
      <c r="FO292" s="280"/>
      <c r="FP292" s="280"/>
      <c r="FQ292" s="280"/>
      <c r="FR292" s="280"/>
      <c r="FS292" s="280"/>
      <c r="FT292" s="280"/>
      <c r="FU292" s="280"/>
      <c r="FV292" s="280"/>
      <c r="FW292" s="280"/>
      <c r="FX292" s="280"/>
      <c r="FY292" s="280"/>
      <c r="FZ292" s="280"/>
    </row>
    <row r="293" spans="1:182" s="10" customFormat="1" ht="15.75">
      <c r="A293" s="77">
        <f>+A291+1</f>
        <v>196</v>
      </c>
      <c r="B293" s="15"/>
      <c r="C293" s="15" t="s">
        <v>1301</v>
      </c>
      <c r="D293" s="15"/>
      <c r="E293" s="36"/>
      <c r="F293" s="144"/>
      <c r="G293" s="1273"/>
      <c r="H293" s="1176"/>
      <c r="I293" s="1120"/>
      <c r="J293" s="977"/>
      <c r="K293" s="281"/>
      <c r="L293" s="281"/>
      <c r="M293" s="281"/>
      <c r="N293" s="280"/>
      <c r="O293" s="280"/>
      <c r="P293" s="280"/>
      <c r="Q293" s="280"/>
      <c r="R293" s="280"/>
      <c r="S293" s="280"/>
      <c r="T293" s="280"/>
      <c r="U293" s="280"/>
      <c r="V293" s="280"/>
      <c r="W293" s="280"/>
      <c r="X293" s="280"/>
      <c r="Y293" s="280"/>
      <c r="Z293" s="280"/>
      <c r="AA293" s="280"/>
      <c r="AB293" s="280"/>
      <c r="AC293" s="280"/>
      <c r="AD293" s="280"/>
      <c r="AE293" s="280"/>
      <c r="AF293" s="280"/>
      <c r="AG293" s="280"/>
      <c r="AH293" s="280"/>
      <c r="AI293" s="280"/>
      <c r="AJ293" s="280"/>
      <c r="AK293" s="280"/>
      <c r="AL293" s="280"/>
      <c r="AM293" s="280"/>
      <c r="AN293" s="280"/>
      <c r="AO293" s="280"/>
      <c r="AP293" s="280"/>
      <c r="AQ293" s="280"/>
      <c r="AR293" s="280"/>
      <c r="AS293" s="280"/>
      <c r="AT293" s="280"/>
      <c r="AU293" s="280"/>
      <c r="AV293" s="280"/>
      <c r="AW293" s="280"/>
      <c r="AX293" s="280"/>
      <c r="AY293" s="280"/>
      <c r="AZ293" s="280"/>
      <c r="BA293" s="280"/>
      <c r="BB293" s="280"/>
      <c r="BC293" s="280"/>
      <c r="BD293" s="280"/>
      <c r="BE293" s="280"/>
      <c r="BF293" s="280"/>
      <c r="BG293" s="280"/>
      <c r="BH293" s="280"/>
      <c r="BI293" s="280"/>
      <c r="BJ293" s="280"/>
      <c r="BK293" s="280"/>
      <c r="BL293" s="280"/>
      <c r="BM293" s="280"/>
      <c r="BN293" s="280"/>
      <c r="BO293" s="280"/>
      <c r="BP293" s="280"/>
      <c r="BQ293" s="280"/>
      <c r="BR293" s="280"/>
      <c r="BS293" s="280"/>
      <c r="BT293" s="280"/>
      <c r="BU293" s="280"/>
      <c r="BV293" s="280"/>
      <c r="BW293" s="280"/>
      <c r="BX293" s="280"/>
      <c r="BY293" s="280"/>
      <c r="BZ293" s="280"/>
      <c r="CA293" s="280"/>
      <c r="CB293" s="280"/>
      <c r="CC293" s="280"/>
      <c r="CD293" s="280"/>
      <c r="CE293" s="280"/>
      <c r="CF293" s="280"/>
      <c r="CG293" s="280"/>
      <c r="CH293" s="280"/>
      <c r="CI293" s="280"/>
      <c r="CJ293" s="280"/>
      <c r="CK293" s="280"/>
      <c r="CL293" s="280"/>
      <c r="CM293" s="280"/>
      <c r="CN293" s="280"/>
      <c r="CO293" s="280"/>
      <c r="CP293" s="280"/>
      <c r="CQ293" s="280"/>
      <c r="CR293" s="280"/>
      <c r="CS293" s="280"/>
      <c r="CT293" s="280"/>
      <c r="CU293" s="280"/>
      <c r="CV293" s="280"/>
      <c r="CW293" s="280"/>
      <c r="CX293" s="280"/>
      <c r="CY293" s="280"/>
      <c r="CZ293" s="280"/>
      <c r="DA293" s="280"/>
      <c r="DB293" s="280"/>
      <c r="DC293" s="280"/>
      <c r="DD293" s="280"/>
      <c r="DE293" s="280"/>
      <c r="DF293" s="280"/>
      <c r="DG293" s="280"/>
      <c r="DH293" s="280"/>
      <c r="DI293" s="280"/>
      <c r="DJ293" s="280"/>
      <c r="DK293" s="280"/>
      <c r="DL293" s="280"/>
      <c r="DM293" s="280"/>
      <c r="DN293" s="280"/>
      <c r="DO293" s="280"/>
      <c r="DP293" s="280"/>
      <c r="DQ293" s="280"/>
      <c r="DR293" s="280"/>
      <c r="DS293" s="280"/>
      <c r="DT293" s="280"/>
      <c r="DU293" s="280"/>
      <c r="DV293" s="280"/>
      <c r="DW293" s="280"/>
      <c r="DX293" s="280"/>
      <c r="DY293" s="280"/>
      <c r="DZ293" s="280"/>
      <c r="EA293" s="280"/>
      <c r="EB293" s="280"/>
      <c r="EC293" s="280"/>
      <c r="ED293" s="280"/>
      <c r="EE293" s="280"/>
      <c r="EF293" s="280"/>
      <c r="EG293" s="280"/>
      <c r="EH293" s="280"/>
      <c r="EI293" s="280"/>
      <c r="EJ293" s="280"/>
      <c r="EK293" s="280"/>
      <c r="EL293" s="280"/>
      <c r="EM293" s="280"/>
      <c r="EN293" s="280"/>
      <c r="EO293" s="280"/>
      <c r="EP293" s="280"/>
      <c r="EQ293" s="280"/>
      <c r="ER293" s="280"/>
      <c r="ES293" s="280"/>
      <c r="ET293" s="280"/>
      <c r="EU293" s="280"/>
      <c r="EV293" s="280"/>
      <c r="EW293" s="280"/>
      <c r="EX293" s="280"/>
      <c r="EY293" s="280"/>
      <c r="EZ293" s="280"/>
      <c r="FA293" s="280"/>
      <c r="FB293" s="280"/>
      <c r="FC293" s="280"/>
      <c r="FD293" s="280"/>
      <c r="FE293" s="280"/>
      <c r="FF293" s="280"/>
      <c r="FG293" s="280"/>
      <c r="FH293" s="280"/>
      <c r="FI293" s="280"/>
      <c r="FJ293" s="280"/>
      <c r="FK293" s="280"/>
      <c r="FL293" s="280"/>
      <c r="FM293" s="280"/>
      <c r="FN293" s="280"/>
      <c r="FO293" s="280"/>
      <c r="FP293" s="280"/>
      <c r="FQ293" s="280"/>
      <c r="FR293" s="280"/>
      <c r="FS293" s="280"/>
      <c r="FT293" s="280"/>
      <c r="FU293" s="280"/>
      <c r="FV293" s="280"/>
      <c r="FW293" s="280"/>
      <c r="FX293" s="280"/>
      <c r="FY293" s="280"/>
      <c r="FZ293" s="280"/>
    </row>
    <row r="294" spans="1:182" s="10" customFormat="1">
      <c r="A294" s="1524">
        <f>+A293+1</f>
        <v>197</v>
      </c>
      <c r="B294" s="33"/>
      <c r="C294" s="983" t="s">
        <v>1158</v>
      </c>
      <c r="D294" s="15"/>
      <c r="E294" s="36" t="str">
        <f>"(Note "&amp;A$336&amp;")"</f>
        <v>(Note GG)</v>
      </c>
      <c r="F294" s="144"/>
      <c r="G294" s="102"/>
      <c r="H294" s="1185">
        <v>0</v>
      </c>
      <c r="I294" s="1120"/>
      <c r="J294" s="977"/>
      <c r="K294" s="281"/>
      <c r="L294" s="281"/>
      <c r="M294" s="281"/>
      <c r="N294" s="280"/>
      <c r="O294" s="280"/>
      <c r="P294" s="280"/>
      <c r="Q294" s="280"/>
      <c r="R294" s="280"/>
      <c r="S294" s="280"/>
      <c r="T294" s="280"/>
      <c r="U294" s="280"/>
      <c r="V294" s="280"/>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0"/>
      <c r="AS294" s="280"/>
      <c r="AT294" s="280"/>
      <c r="AU294" s="280"/>
      <c r="AV294" s="280"/>
      <c r="AW294" s="280"/>
      <c r="AX294" s="280"/>
      <c r="AY294" s="280"/>
      <c r="AZ294" s="280"/>
      <c r="BA294" s="280"/>
      <c r="BB294" s="280"/>
      <c r="BC294" s="280"/>
      <c r="BD294" s="280"/>
      <c r="BE294" s="280"/>
      <c r="BF294" s="280"/>
      <c r="BG294" s="280"/>
      <c r="BH294" s="280"/>
      <c r="BI294" s="280"/>
      <c r="BJ294" s="280"/>
      <c r="BK294" s="280"/>
      <c r="BL294" s="280"/>
      <c r="BM294" s="280"/>
      <c r="BN294" s="280"/>
      <c r="BO294" s="280"/>
      <c r="BP294" s="280"/>
      <c r="BQ294" s="280"/>
      <c r="BR294" s="280"/>
      <c r="BS294" s="280"/>
      <c r="BT294" s="280"/>
      <c r="BU294" s="280"/>
      <c r="BV294" s="280"/>
      <c r="BW294" s="280"/>
      <c r="BX294" s="280"/>
      <c r="BY294" s="280"/>
      <c r="BZ294" s="280"/>
      <c r="CA294" s="280"/>
      <c r="CB294" s="280"/>
      <c r="CC294" s="280"/>
      <c r="CD294" s="280"/>
      <c r="CE294" s="280"/>
      <c r="CF294" s="280"/>
      <c r="CG294" s="280"/>
      <c r="CH294" s="280"/>
      <c r="CI294" s="280"/>
      <c r="CJ294" s="280"/>
      <c r="CK294" s="280"/>
      <c r="CL294" s="280"/>
      <c r="CM294" s="280"/>
      <c r="CN294" s="280"/>
      <c r="CO294" s="280"/>
      <c r="CP294" s="280"/>
      <c r="CQ294" s="280"/>
      <c r="CR294" s="280"/>
      <c r="CS294" s="280"/>
      <c r="CT294" s="280"/>
      <c r="CU294" s="280"/>
      <c r="CV294" s="280"/>
      <c r="CW294" s="280"/>
      <c r="CX294" s="280"/>
      <c r="CY294" s="280"/>
      <c r="CZ294" s="280"/>
      <c r="DA294" s="280"/>
      <c r="DB294" s="280"/>
      <c r="DC294" s="280"/>
      <c r="DD294" s="280"/>
      <c r="DE294" s="280"/>
      <c r="DF294" s="280"/>
      <c r="DG294" s="280"/>
      <c r="DH294" s="280"/>
      <c r="DI294" s="280"/>
      <c r="DJ294" s="280"/>
      <c r="DK294" s="280"/>
      <c r="DL294" s="280"/>
      <c r="DM294" s="280"/>
      <c r="DN294" s="280"/>
      <c r="DO294" s="280"/>
      <c r="DP294" s="280"/>
      <c r="DQ294" s="280"/>
      <c r="DR294" s="280"/>
      <c r="DS294" s="280"/>
      <c r="DT294" s="280"/>
      <c r="DU294" s="280"/>
      <c r="DV294" s="280"/>
      <c r="DW294" s="280"/>
      <c r="DX294" s="280"/>
      <c r="DY294" s="280"/>
      <c r="DZ294" s="280"/>
      <c r="EA294" s="280"/>
      <c r="EB294" s="280"/>
      <c r="EC294" s="280"/>
      <c r="ED294" s="280"/>
      <c r="EE294" s="280"/>
      <c r="EF294" s="280"/>
      <c r="EG294" s="280"/>
      <c r="EH294" s="280"/>
      <c r="EI294" s="280"/>
      <c r="EJ294" s="280"/>
      <c r="EK294" s="280"/>
      <c r="EL294" s="280"/>
      <c r="EM294" s="280"/>
      <c r="EN294" s="280"/>
      <c r="EO294" s="280"/>
      <c r="EP294" s="280"/>
      <c r="EQ294" s="280"/>
      <c r="ER294" s="280"/>
      <c r="ES294" s="280"/>
      <c r="ET294" s="280"/>
      <c r="EU294" s="280"/>
      <c r="EV294" s="280"/>
      <c r="EW294" s="280"/>
      <c r="EX294" s="280"/>
      <c r="EY294" s="280"/>
      <c r="EZ294" s="280"/>
      <c r="FA294" s="280"/>
      <c r="FB294" s="280"/>
      <c r="FC294" s="280"/>
      <c r="FD294" s="280"/>
      <c r="FE294" s="280"/>
      <c r="FF294" s="280"/>
      <c r="FG294" s="280"/>
      <c r="FH294" s="280"/>
      <c r="FI294" s="280"/>
      <c r="FJ294" s="280"/>
      <c r="FK294" s="280"/>
      <c r="FL294" s="280"/>
      <c r="FM294" s="280"/>
      <c r="FN294" s="280"/>
      <c r="FO294" s="280"/>
      <c r="FP294" s="280"/>
      <c r="FQ294" s="280"/>
      <c r="FR294" s="280"/>
      <c r="FS294" s="280"/>
      <c r="FT294" s="280"/>
      <c r="FU294" s="280"/>
      <c r="FV294" s="280"/>
      <c r="FW294" s="280"/>
      <c r="FX294" s="280"/>
      <c r="FY294" s="280"/>
      <c r="FZ294" s="280"/>
    </row>
    <row r="295" spans="1:182" s="10" customFormat="1">
      <c r="A295" s="1524">
        <f t="shared" ref="A295:A296" si="12">+A294+1</f>
        <v>198</v>
      </c>
      <c r="B295" s="33"/>
      <c r="C295" s="1274" t="s">
        <v>1307</v>
      </c>
      <c r="D295" s="479"/>
      <c r="E295" s="76" t="str">
        <f>"(Note "&amp;A$336&amp;")"</f>
        <v>(Note GG)</v>
      </c>
      <c r="F295" s="146"/>
      <c r="G295" s="703"/>
      <c r="H295" s="1193">
        <v>0</v>
      </c>
      <c r="I295" s="1120"/>
      <c r="J295" s="977"/>
      <c r="K295" s="281"/>
      <c r="L295" s="281"/>
      <c r="M295" s="281"/>
      <c r="N295" s="280"/>
      <c r="O295" s="280"/>
      <c r="P295" s="280"/>
      <c r="Q295" s="280"/>
      <c r="R295" s="280"/>
      <c r="S295" s="280"/>
      <c r="T295" s="280"/>
      <c r="U295" s="280"/>
      <c r="V295" s="280"/>
      <c r="W295" s="280"/>
      <c r="X295" s="280"/>
      <c r="Y295" s="280"/>
      <c r="Z295" s="280"/>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C295" s="280"/>
      <c r="BD295" s="280"/>
      <c r="BE295" s="280"/>
      <c r="BF295" s="280"/>
      <c r="BG295" s="280"/>
      <c r="BH295" s="280"/>
      <c r="BI295" s="280"/>
      <c r="BJ295" s="280"/>
      <c r="BK295" s="280"/>
      <c r="BL295" s="280"/>
      <c r="BM295" s="280"/>
      <c r="BN295" s="280"/>
      <c r="BO295" s="280"/>
      <c r="BP295" s="280"/>
      <c r="BQ295" s="280"/>
      <c r="BR295" s="280"/>
      <c r="BS295" s="280"/>
      <c r="BT295" s="280"/>
      <c r="BU295" s="280"/>
      <c r="BV295" s="280"/>
      <c r="BW295" s="280"/>
      <c r="BX295" s="280"/>
      <c r="BY295" s="280"/>
      <c r="BZ295" s="280"/>
      <c r="CA295" s="280"/>
      <c r="CB295" s="280"/>
      <c r="CC295" s="280"/>
      <c r="CD295" s="280"/>
      <c r="CE295" s="280"/>
      <c r="CF295" s="280"/>
      <c r="CG295" s="280"/>
      <c r="CH295" s="280"/>
      <c r="CI295" s="280"/>
      <c r="CJ295" s="280"/>
      <c r="CK295" s="280"/>
      <c r="CL295" s="280"/>
      <c r="CM295" s="280"/>
      <c r="CN295" s="280"/>
      <c r="CO295" s="280"/>
      <c r="CP295" s="280"/>
      <c r="CQ295" s="280"/>
      <c r="CR295" s="280"/>
      <c r="CS295" s="280"/>
      <c r="CT295" s="280"/>
      <c r="CU295" s="280"/>
      <c r="CV295" s="280"/>
      <c r="CW295" s="280"/>
      <c r="CX295" s="280"/>
      <c r="CY295" s="280"/>
      <c r="CZ295" s="280"/>
      <c r="DA295" s="280"/>
      <c r="DB295" s="280"/>
      <c r="DC295" s="280"/>
      <c r="DD295" s="280"/>
      <c r="DE295" s="280"/>
      <c r="DF295" s="280"/>
      <c r="DG295" s="280"/>
      <c r="DH295" s="280"/>
      <c r="DI295" s="280"/>
      <c r="DJ295" s="280"/>
      <c r="DK295" s="280"/>
      <c r="DL295" s="280"/>
      <c r="DM295" s="280"/>
      <c r="DN295" s="280"/>
      <c r="DO295" s="280"/>
      <c r="DP295" s="280"/>
      <c r="DQ295" s="280"/>
      <c r="DR295" s="280"/>
      <c r="DS295" s="280"/>
      <c r="DT295" s="280"/>
      <c r="DU295" s="280"/>
      <c r="DV295" s="280"/>
      <c r="DW295" s="280"/>
      <c r="DX295" s="280"/>
      <c r="DY295" s="280"/>
      <c r="DZ295" s="280"/>
      <c r="EA295" s="280"/>
      <c r="EB295" s="280"/>
      <c r="EC295" s="280"/>
      <c r="ED295" s="280"/>
      <c r="EE295" s="280"/>
      <c r="EF295" s="280"/>
      <c r="EG295" s="280"/>
      <c r="EH295" s="280"/>
      <c r="EI295" s="280"/>
      <c r="EJ295" s="280"/>
      <c r="EK295" s="280"/>
      <c r="EL295" s="280"/>
      <c r="EM295" s="280"/>
      <c r="EN295" s="280"/>
      <c r="EO295" s="280"/>
      <c r="EP295" s="280"/>
      <c r="EQ295" s="280"/>
      <c r="ER295" s="280"/>
      <c r="ES295" s="280"/>
      <c r="ET295" s="280"/>
      <c r="EU295" s="280"/>
      <c r="EV295" s="280"/>
      <c r="EW295" s="280"/>
      <c r="EX295" s="280"/>
      <c r="EY295" s="280"/>
      <c r="EZ295" s="280"/>
      <c r="FA295" s="280"/>
      <c r="FB295" s="280"/>
      <c r="FC295" s="280"/>
      <c r="FD295" s="280"/>
      <c r="FE295" s="280"/>
      <c r="FF295" s="280"/>
      <c r="FG295" s="280"/>
      <c r="FH295" s="280"/>
      <c r="FI295" s="280"/>
      <c r="FJ295" s="280"/>
      <c r="FK295" s="280"/>
      <c r="FL295" s="280"/>
      <c r="FM295" s="280"/>
      <c r="FN295" s="280"/>
      <c r="FO295" s="280"/>
      <c r="FP295" s="280"/>
      <c r="FQ295" s="280"/>
      <c r="FR295" s="280"/>
      <c r="FS295" s="280"/>
      <c r="FT295" s="280"/>
      <c r="FU295" s="280"/>
      <c r="FV295" s="280"/>
      <c r="FW295" s="280"/>
      <c r="FX295" s="280"/>
      <c r="FY295" s="280"/>
      <c r="FZ295" s="280"/>
    </row>
    <row r="296" spans="1:182" s="10" customFormat="1" ht="15.75">
      <c r="A296" s="1524">
        <f t="shared" si="12"/>
        <v>199</v>
      </c>
      <c r="B296" s="33"/>
      <c r="C296" s="15" t="s">
        <v>1259</v>
      </c>
      <c r="D296" s="15"/>
      <c r="E296" s="36"/>
      <c r="F296" s="144" t="str">
        <f>"(Line "&amp;A291&amp;" + Line "&amp;A294&amp;" + Line "&amp;A295&amp;")"</f>
        <v>(Line 195 + Line 197 + Line 198)</v>
      </c>
      <c r="G296" s="1273"/>
      <c r="H296" s="1176">
        <f>+H291+H294+H295</f>
        <v>184066710.31126988</v>
      </c>
      <c r="I296" s="1120"/>
      <c r="J296" s="977"/>
      <c r="K296" s="281"/>
      <c r="L296" s="281"/>
      <c r="M296" s="281"/>
      <c r="N296" s="280"/>
      <c r="O296" s="280"/>
      <c r="P296" s="280"/>
      <c r="Q296" s="280"/>
      <c r="R296" s="280"/>
      <c r="S296" s="280"/>
      <c r="T296" s="280"/>
      <c r="U296" s="280"/>
      <c r="V296" s="280"/>
      <c r="W296" s="280"/>
      <c r="X296" s="280"/>
      <c r="Y296" s="280"/>
      <c r="Z296" s="280"/>
      <c r="AA296" s="280"/>
      <c r="AB296" s="280"/>
      <c r="AC296" s="280"/>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0"/>
      <c r="AY296" s="280"/>
      <c r="AZ296" s="280"/>
      <c r="BA296" s="280"/>
      <c r="BB296" s="280"/>
      <c r="BC296" s="280"/>
      <c r="BD296" s="280"/>
      <c r="BE296" s="280"/>
      <c r="BF296" s="280"/>
      <c r="BG296" s="280"/>
      <c r="BH296" s="280"/>
      <c r="BI296" s="280"/>
      <c r="BJ296" s="280"/>
      <c r="BK296" s="280"/>
      <c r="BL296" s="280"/>
      <c r="BM296" s="280"/>
      <c r="BN296" s="280"/>
      <c r="BO296" s="280"/>
      <c r="BP296" s="280"/>
      <c r="BQ296" s="280"/>
      <c r="BR296" s="280"/>
      <c r="BS296" s="280"/>
      <c r="BT296" s="280"/>
      <c r="BU296" s="280"/>
      <c r="BV296" s="280"/>
      <c r="BW296" s="280"/>
      <c r="BX296" s="280"/>
      <c r="BY296" s="280"/>
      <c r="BZ296" s="280"/>
      <c r="CA296" s="280"/>
      <c r="CB296" s="280"/>
      <c r="CC296" s="280"/>
      <c r="CD296" s="280"/>
      <c r="CE296" s="280"/>
      <c r="CF296" s="280"/>
      <c r="CG296" s="280"/>
      <c r="CH296" s="280"/>
      <c r="CI296" s="280"/>
      <c r="CJ296" s="280"/>
      <c r="CK296" s="280"/>
      <c r="CL296" s="280"/>
      <c r="CM296" s="280"/>
      <c r="CN296" s="280"/>
      <c r="CO296" s="280"/>
      <c r="CP296" s="280"/>
      <c r="CQ296" s="280"/>
      <c r="CR296" s="280"/>
      <c r="CS296" s="280"/>
      <c r="CT296" s="280"/>
      <c r="CU296" s="280"/>
      <c r="CV296" s="280"/>
      <c r="CW296" s="280"/>
      <c r="CX296" s="280"/>
      <c r="CY296" s="280"/>
      <c r="CZ296" s="280"/>
      <c r="DA296" s="280"/>
      <c r="DB296" s="280"/>
      <c r="DC296" s="280"/>
      <c r="DD296" s="280"/>
      <c r="DE296" s="280"/>
      <c r="DF296" s="280"/>
      <c r="DG296" s="280"/>
      <c r="DH296" s="280"/>
      <c r="DI296" s="280"/>
      <c r="DJ296" s="280"/>
      <c r="DK296" s="280"/>
      <c r="DL296" s="280"/>
      <c r="DM296" s="280"/>
      <c r="DN296" s="280"/>
      <c r="DO296" s="280"/>
      <c r="DP296" s="280"/>
      <c r="DQ296" s="280"/>
      <c r="DR296" s="280"/>
      <c r="DS296" s="280"/>
      <c r="DT296" s="280"/>
      <c r="DU296" s="280"/>
      <c r="DV296" s="280"/>
      <c r="DW296" s="280"/>
      <c r="DX296" s="280"/>
      <c r="DY296" s="280"/>
      <c r="DZ296" s="280"/>
      <c r="EA296" s="280"/>
      <c r="EB296" s="280"/>
      <c r="EC296" s="280"/>
      <c r="ED296" s="280"/>
      <c r="EE296" s="280"/>
      <c r="EF296" s="280"/>
      <c r="EG296" s="280"/>
      <c r="EH296" s="280"/>
      <c r="EI296" s="280"/>
      <c r="EJ296" s="280"/>
      <c r="EK296" s="280"/>
      <c r="EL296" s="280"/>
      <c r="EM296" s="280"/>
      <c r="EN296" s="280"/>
      <c r="EO296" s="280"/>
      <c r="EP296" s="280"/>
      <c r="EQ296" s="280"/>
      <c r="ER296" s="280"/>
      <c r="ES296" s="280"/>
      <c r="ET296" s="280"/>
      <c r="EU296" s="280"/>
      <c r="EV296" s="280"/>
      <c r="EW296" s="280"/>
      <c r="EX296" s="280"/>
      <c r="EY296" s="280"/>
      <c r="EZ296" s="280"/>
      <c r="FA296" s="280"/>
      <c r="FB296" s="280"/>
      <c r="FC296" s="280"/>
      <c r="FD296" s="280"/>
      <c r="FE296" s="280"/>
      <c r="FF296" s="280"/>
      <c r="FG296" s="280"/>
      <c r="FH296" s="280"/>
      <c r="FI296" s="280"/>
      <c r="FJ296" s="280"/>
      <c r="FK296" s="280"/>
      <c r="FL296" s="280"/>
      <c r="FM296" s="280"/>
      <c r="FN296" s="280"/>
      <c r="FO296" s="280"/>
      <c r="FP296" s="280"/>
      <c r="FQ296" s="280"/>
      <c r="FR296" s="280"/>
      <c r="FS296" s="280"/>
      <c r="FT296" s="280"/>
      <c r="FU296" s="280"/>
      <c r="FV296" s="280"/>
      <c r="FW296" s="280"/>
      <c r="FX296" s="280"/>
      <c r="FY296" s="280"/>
      <c r="FZ296" s="280"/>
    </row>
    <row r="297" spans="1:182" s="10" customFormat="1" ht="15.75">
      <c r="A297" s="77"/>
      <c r="B297" s="7"/>
      <c r="C297" s="15"/>
      <c r="D297" s="15"/>
      <c r="E297" s="28"/>
      <c r="F297" s="135"/>
      <c r="G297" s="716"/>
      <c r="H297" s="1176"/>
      <c r="I297" s="1120"/>
      <c r="J297" s="977"/>
      <c r="K297" s="281"/>
      <c r="L297" s="281"/>
      <c r="M297" s="281"/>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0"/>
      <c r="BQ297" s="280"/>
      <c r="BR297" s="280"/>
      <c r="BS297" s="280"/>
      <c r="BT297" s="280"/>
      <c r="BU297" s="280"/>
      <c r="BV297" s="280"/>
      <c r="BW297" s="280"/>
      <c r="BX297" s="280"/>
      <c r="BY297" s="280"/>
      <c r="BZ297" s="280"/>
      <c r="CA297" s="280"/>
      <c r="CB297" s="280"/>
      <c r="CC297" s="280"/>
      <c r="CD297" s="280"/>
      <c r="CE297" s="280"/>
      <c r="CF297" s="280"/>
      <c r="CG297" s="280"/>
      <c r="CH297" s="280"/>
      <c r="CI297" s="280"/>
      <c r="CJ297" s="280"/>
      <c r="CK297" s="280"/>
      <c r="CL297" s="280"/>
      <c r="CM297" s="280"/>
      <c r="CN297" s="280"/>
      <c r="CO297" s="280"/>
      <c r="CP297" s="280"/>
      <c r="CQ297" s="280"/>
      <c r="CR297" s="280"/>
      <c r="CS297" s="280"/>
      <c r="CT297" s="280"/>
      <c r="CU297" s="280"/>
      <c r="CV297" s="280"/>
      <c r="CW297" s="280"/>
      <c r="CX297" s="280"/>
      <c r="CY297" s="280"/>
      <c r="CZ297" s="280"/>
      <c r="DA297" s="280"/>
      <c r="DB297" s="280"/>
      <c r="DC297" s="280"/>
      <c r="DD297" s="280"/>
      <c r="DE297" s="280"/>
      <c r="DF297" s="280"/>
      <c r="DG297" s="280"/>
      <c r="DH297" s="280"/>
      <c r="DI297" s="280"/>
      <c r="DJ297" s="280"/>
      <c r="DK297" s="280"/>
      <c r="DL297" s="280"/>
      <c r="DM297" s="280"/>
      <c r="DN297" s="280"/>
      <c r="DO297" s="280"/>
      <c r="DP297" s="280"/>
      <c r="DQ297" s="280"/>
      <c r="DR297" s="280"/>
      <c r="DS297" s="280"/>
      <c r="DT297" s="280"/>
      <c r="DU297" s="280"/>
      <c r="DV297" s="280"/>
      <c r="DW297" s="280"/>
      <c r="DX297" s="280"/>
      <c r="DY297" s="280"/>
      <c r="DZ297" s="280"/>
      <c r="EA297" s="280"/>
      <c r="EB297" s="280"/>
      <c r="EC297" s="280"/>
      <c r="ED297" s="280"/>
      <c r="EE297" s="280"/>
      <c r="EF297" s="280"/>
      <c r="EG297" s="280"/>
      <c r="EH297" s="280"/>
      <c r="EI297" s="280"/>
      <c r="EJ297" s="280"/>
      <c r="EK297" s="280"/>
      <c r="EL297" s="280"/>
      <c r="EM297" s="280"/>
      <c r="EN297" s="280"/>
      <c r="EO297" s="280"/>
      <c r="EP297" s="280"/>
      <c r="EQ297" s="280"/>
      <c r="ER297" s="280"/>
      <c r="ES297" s="280"/>
      <c r="ET297" s="280"/>
      <c r="EU297" s="280"/>
      <c r="EV297" s="280"/>
      <c r="EW297" s="280"/>
      <c r="EX297" s="280"/>
      <c r="EY297" s="280"/>
      <c r="EZ297" s="280"/>
      <c r="FA297" s="280"/>
      <c r="FB297" s="280"/>
      <c r="FC297" s="280"/>
      <c r="FD297" s="280"/>
      <c r="FE297" s="280"/>
      <c r="FF297" s="280"/>
      <c r="FG297" s="280"/>
      <c r="FH297" s="280"/>
      <c r="FI297" s="280"/>
      <c r="FJ297" s="280"/>
      <c r="FK297" s="280"/>
      <c r="FL297" s="280"/>
      <c r="FM297" s="280"/>
      <c r="FN297" s="280"/>
      <c r="FO297" s="280"/>
      <c r="FP297" s="280"/>
      <c r="FQ297" s="280"/>
      <c r="FR297" s="280"/>
      <c r="FS297" s="280"/>
      <c r="FT297" s="280"/>
      <c r="FU297" s="280"/>
      <c r="FV297" s="280"/>
      <c r="FW297" s="280"/>
      <c r="FX297" s="280"/>
      <c r="FY297" s="280"/>
      <c r="FZ297" s="280"/>
    </row>
    <row r="298" spans="1:182" ht="15.75">
      <c r="A298" s="77"/>
      <c r="B298" s="41" t="s">
        <v>216</v>
      </c>
      <c r="C298" s="15"/>
      <c r="D298" s="15"/>
      <c r="E298" s="28"/>
      <c r="F298" s="135"/>
      <c r="G298" s="716"/>
      <c r="H298" s="1176"/>
      <c r="J298" s="281"/>
      <c r="K298" s="281"/>
      <c r="L298" s="281"/>
      <c r="M298" s="281"/>
    </row>
    <row r="299" spans="1:182" ht="15.75">
      <c r="A299" s="77">
        <f>+A296+1</f>
        <v>200</v>
      </c>
      <c r="B299" s="33"/>
      <c r="C299" s="58" t="s">
        <v>673</v>
      </c>
      <c r="D299" s="78" t="s">
        <v>259</v>
      </c>
      <c r="E299" s="36" t="str">
        <f>"(Note "&amp;A$315&amp;")"</f>
        <v>(Note L)</v>
      </c>
      <c r="F299" s="133" t="str">
        <f>+"WP19 Load Line "&amp;'WP19 Load'!A55&amp;" Column "&amp;'WP19 Load'!O5</f>
        <v xml:space="preserve">WP19 Load Line 25 Column N </v>
      </c>
      <c r="G299" s="716"/>
      <c r="H299" s="1192">
        <f>+'WP19 Load'!O55*1000</f>
        <v>5844083.333333333</v>
      </c>
      <c r="J299" s="281"/>
      <c r="K299" s="281"/>
      <c r="L299" s="281"/>
      <c r="M299" s="281"/>
    </row>
    <row r="300" spans="1:182" ht="15.75">
      <c r="A300" s="114">
        <f>+A299+1</f>
        <v>201</v>
      </c>
      <c r="B300" s="9"/>
      <c r="C300" s="8" t="s">
        <v>216</v>
      </c>
      <c r="D300" s="621"/>
      <c r="E300" s="206"/>
      <c r="F300" s="132" t="str">
        <f>"(Line "&amp;A296&amp;" / Line "&amp;A299&amp;")"</f>
        <v>(Line 199 / Line 200)</v>
      </c>
      <c r="G300" s="496"/>
      <c r="H300" s="1523">
        <f>IF(H299=0,0,H296/H299)</f>
        <v>31.496250106735282</v>
      </c>
      <c r="J300" s="281"/>
      <c r="K300" s="281"/>
      <c r="L300" s="281"/>
      <c r="M300" s="281"/>
    </row>
    <row r="301" spans="1:182" ht="16.5" thickBot="1">
      <c r="A301" s="152">
        <f>+A300+1</f>
        <v>202</v>
      </c>
      <c r="B301" s="153"/>
      <c r="C301" s="154" t="s">
        <v>362</v>
      </c>
      <c r="D301" s="155"/>
      <c r="E301" s="207"/>
      <c r="F301" s="495" t="str">
        <f>"(Line "&amp;A300&amp;" / 12)"</f>
        <v>(Line 201 / 12)</v>
      </c>
      <c r="G301" s="497"/>
      <c r="H301" s="1228">
        <f>H300/12</f>
        <v>2.6246875088946067</v>
      </c>
      <c r="J301" s="281"/>
      <c r="K301" s="281"/>
      <c r="L301" s="281"/>
      <c r="M301" s="281"/>
    </row>
    <row r="302" spans="1:182" ht="15.75">
      <c r="A302" s="36"/>
      <c r="B302" s="33"/>
      <c r="C302" s="8"/>
      <c r="D302" s="6"/>
      <c r="E302" s="32"/>
      <c r="F302" s="49"/>
      <c r="G302" s="487"/>
      <c r="H302" s="487"/>
      <c r="J302" s="281"/>
      <c r="K302" s="281"/>
      <c r="L302" s="281"/>
      <c r="M302" s="281"/>
    </row>
    <row r="303" spans="1:182" ht="15.75" customHeight="1">
      <c r="A303" s="1701" t="s">
        <v>319</v>
      </c>
      <c r="B303" s="1701"/>
      <c r="C303" s="6"/>
      <c r="D303" s="6"/>
      <c r="E303" s="32"/>
      <c r="F303" s="64"/>
      <c r="H303" s="47"/>
      <c r="J303" s="281"/>
      <c r="K303" s="281"/>
      <c r="L303" s="281"/>
      <c r="M303" s="281"/>
    </row>
    <row r="304" spans="1:182" ht="15.75" customHeight="1">
      <c r="A304" s="166" t="s">
        <v>261</v>
      </c>
      <c r="B304" s="280"/>
      <c r="C304" s="1692" t="s">
        <v>322</v>
      </c>
      <c r="D304" s="1692"/>
      <c r="E304" s="1692"/>
      <c r="F304" s="1692"/>
      <c r="G304" s="1692"/>
      <c r="H304" s="1692"/>
      <c r="I304" s="1121"/>
      <c r="J304" s="281"/>
      <c r="K304" s="281"/>
      <c r="L304" s="281"/>
      <c r="M304" s="281"/>
    </row>
    <row r="305" spans="1:13" ht="61.9" customHeight="1">
      <c r="A305" s="166" t="s">
        <v>309</v>
      </c>
      <c r="B305" s="280"/>
      <c r="C305" s="1691" t="s">
        <v>1686</v>
      </c>
      <c r="D305" s="1691"/>
      <c r="E305" s="1691"/>
      <c r="F305" s="1691"/>
      <c r="G305" s="1691"/>
      <c r="H305" s="1691"/>
      <c r="I305" s="1571"/>
      <c r="K305" s="281"/>
      <c r="L305" s="281"/>
      <c r="M305" s="281"/>
    </row>
    <row r="306" spans="1:13">
      <c r="A306" s="166" t="s">
        <v>249</v>
      </c>
      <c r="B306" s="1036"/>
      <c r="C306" s="1691" t="s">
        <v>1218</v>
      </c>
      <c r="D306" s="1691"/>
      <c r="E306" s="1691"/>
      <c r="F306" s="1691"/>
      <c r="G306" s="1691"/>
      <c r="H306" s="1691"/>
      <c r="J306" s="281"/>
      <c r="K306" s="281"/>
      <c r="L306" s="281"/>
      <c r="M306" s="281"/>
    </row>
    <row r="307" spans="1:13" ht="33" customHeight="1">
      <c r="A307" s="166" t="s">
        <v>262</v>
      </c>
      <c r="B307" s="280"/>
      <c r="C307" s="1689" t="s">
        <v>1306</v>
      </c>
      <c r="D307" s="1689"/>
      <c r="E307" s="1689"/>
      <c r="F307" s="1689"/>
      <c r="G307" s="1689"/>
      <c r="H307" s="1689"/>
      <c r="I307" s="1571"/>
      <c r="K307" s="281"/>
      <c r="L307" s="281"/>
      <c r="M307" s="281"/>
    </row>
    <row r="308" spans="1:13">
      <c r="A308" s="166" t="s">
        <v>260</v>
      </c>
      <c r="B308" s="280"/>
      <c r="C308" s="1693" t="s">
        <v>363</v>
      </c>
      <c r="D308" s="1693"/>
      <c r="E308" s="1693"/>
      <c r="F308" s="1693"/>
      <c r="G308" s="1693"/>
      <c r="H308" s="1693"/>
      <c r="J308" s="281"/>
      <c r="K308" s="281"/>
      <c r="L308" s="281"/>
      <c r="M308" s="281"/>
    </row>
    <row r="309" spans="1:13" ht="33.6" customHeight="1">
      <c r="A309" s="166" t="s">
        <v>351</v>
      </c>
      <c r="B309" s="280"/>
      <c r="C309" s="1689" t="s">
        <v>1687</v>
      </c>
      <c r="D309" s="1689"/>
      <c r="E309" s="1689"/>
      <c r="F309" s="1689"/>
      <c r="G309" s="1689"/>
      <c r="H309" s="1689"/>
      <c r="J309" s="281"/>
      <c r="K309" s="281"/>
      <c r="L309" s="281"/>
      <c r="M309" s="281"/>
    </row>
    <row r="310" spans="1:13" ht="32.450000000000003" customHeight="1">
      <c r="A310" s="166" t="s">
        <v>263</v>
      </c>
      <c r="B310" s="280"/>
      <c r="C310" s="1694" t="s">
        <v>1024</v>
      </c>
      <c r="D310" s="1694"/>
      <c r="E310" s="1694"/>
      <c r="F310" s="1694"/>
      <c r="G310" s="1694"/>
      <c r="H310" s="1694"/>
      <c r="I310" s="1571"/>
      <c r="K310" s="281"/>
      <c r="L310" s="281"/>
      <c r="M310" s="281"/>
    </row>
    <row r="311" spans="1:13" ht="15.75" customHeight="1">
      <c r="A311" s="166" t="s">
        <v>364</v>
      </c>
      <c r="B311" s="280"/>
      <c r="C311" s="257" t="s">
        <v>338</v>
      </c>
      <c r="D311" s="1232"/>
      <c r="E311" s="1695"/>
      <c r="F311" s="1695"/>
      <c r="G311" s="1695"/>
      <c r="H311" s="1695"/>
      <c r="J311" s="281"/>
      <c r="K311" s="281"/>
      <c r="L311" s="281"/>
      <c r="M311" s="281"/>
    </row>
    <row r="312" spans="1:13" ht="96.6" customHeight="1">
      <c r="A312" s="166" t="s">
        <v>253</v>
      </c>
      <c r="B312" s="280"/>
      <c r="C312" s="1694" t="s">
        <v>1386</v>
      </c>
      <c r="D312" s="1694"/>
      <c r="E312" s="1694"/>
      <c r="F312" s="1694"/>
      <c r="G312" s="1694"/>
      <c r="H312" s="1694"/>
      <c r="J312" s="281"/>
      <c r="K312" s="281"/>
      <c r="L312" s="281"/>
      <c r="M312" s="281"/>
    </row>
    <row r="313" spans="1:13" ht="49.15" customHeight="1">
      <c r="A313" s="166" t="s">
        <v>254</v>
      </c>
      <c r="B313" s="280"/>
      <c r="C313" s="1694" t="s">
        <v>1710</v>
      </c>
      <c r="D313" s="1694"/>
      <c r="E313" s="1694"/>
      <c r="F313" s="1694"/>
      <c r="G313" s="1694"/>
      <c r="H313" s="1694"/>
      <c r="I313" s="1572"/>
      <c r="K313" s="281"/>
      <c r="L313" s="281"/>
      <c r="M313" s="281"/>
    </row>
    <row r="314" spans="1:13" ht="18" customHeight="1">
      <c r="A314" s="166" t="s">
        <v>265</v>
      </c>
      <c r="B314" s="280"/>
      <c r="C314" s="1689" t="s">
        <v>1287</v>
      </c>
      <c r="D314" s="1689"/>
      <c r="E314" s="1689"/>
      <c r="F314" s="1689"/>
      <c r="G314" s="1689"/>
      <c r="H314" s="1689"/>
      <c r="J314" s="281"/>
      <c r="K314" s="281"/>
      <c r="L314" s="281"/>
      <c r="M314" s="281"/>
    </row>
    <row r="315" spans="1:13" ht="32.450000000000003" customHeight="1">
      <c r="A315" s="166" t="s">
        <v>293</v>
      </c>
      <c r="B315" s="280"/>
      <c r="C315" s="1689" t="s">
        <v>1305</v>
      </c>
      <c r="D315" s="1689"/>
      <c r="E315" s="1689"/>
      <c r="F315" s="1689"/>
      <c r="G315" s="1689"/>
      <c r="H315" s="1689"/>
      <c r="J315" s="281"/>
      <c r="K315" s="281"/>
      <c r="L315" s="281"/>
      <c r="M315" s="281"/>
    </row>
    <row r="316" spans="1:13" ht="125.1" customHeight="1">
      <c r="A316" s="258" t="s">
        <v>294</v>
      </c>
      <c r="B316" s="280"/>
      <c r="C316" s="1691" t="s">
        <v>1387</v>
      </c>
      <c r="D316" s="1691"/>
      <c r="E316" s="1691"/>
      <c r="F316" s="1691"/>
      <c r="G316" s="1691"/>
      <c r="H316" s="1691"/>
      <c r="J316" s="281"/>
      <c r="K316" s="281"/>
      <c r="L316" s="281"/>
      <c r="M316" s="281"/>
    </row>
    <row r="317" spans="1:13" ht="47.45" customHeight="1">
      <c r="A317" s="166" t="s">
        <v>352</v>
      </c>
      <c r="B317" s="280"/>
      <c r="C317" s="1698" t="s">
        <v>1388</v>
      </c>
      <c r="D317" s="1698"/>
      <c r="E317" s="1698"/>
      <c r="F317" s="1698"/>
      <c r="G317" s="1698"/>
      <c r="H317" s="1698"/>
      <c r="J317" s="281"/>
      <c r="K317" s="281"/>
      <c r="L317" s="281"/>
      <c r="M317" s="281"/>
    </row>
    <row r="318" spans="1:13" ht="45" customHeight="1">
      <c r="A318" s="166" t="s">
        <v>563</v>
      </c>
      <c r="B318" s="280"/>
      <c r="C318" s="1689" t="s">
        <v>1234</v>
      </c>
      <c r="D318" s="1689"/>
      <c r="E318" s="1689"/>
      <c r="F318" s="1689"/>
      <c r="G318" s="1689"/>
      <c r="H318" s="1689"/>
      <c r="I318" s="1571"/>
      <c r="K318" s="281"/>
      <c r="L318" s="281"/>
      <c r="M318" s="281"/>
    </row>
    <row r="319" spans="1:13" ht="63.6" customHeight="1">
      <c r="A319" s="166" t="s">
        <v>564</v>
      </c>
      <c r="B319" s="280"/>
      <c r="C319" s="1698" t="s">
        <v>1288</v>
      </c>
      <c r="D319" s="1698"/>
      <c r="E319" s="1698"/>
      <c r="F319" s="1698"/>
      <c r="G319" s="1698"/>
      <c r="H319" s="1698"/>
      <c r="I319" s="1571"/>
      <c r="K319" s="281"/>
      <c r="L319" s="281"/>
      <c r="M319" s="281"/>
    </row>
    <row r="320" spans="1:13" ht="32.450000000000003" customHeight="1">
      <c r="A320" s="166" t="s">
        <v>565</v>
      </c>
      <c r="B320" s="280"/>
      <c r="C320" s="1689" t="s">
        <v>1389</v>
      </c>
      <c r="D320" s="1689"/>
      <c r="E320" s="1689"/>
      <c r="F320" s="1689"/>
      <c r="G320" s="1689"/>
      <c r="H320" s="1689"/>
      <c r="I320" s="1571"/>
      <c r="K320" s="281"/>
      <c r="L320" s="281"/>
      <c r="M320" s="281"/>
    </row>
    <row r="321" spans="1:13" ht="15" customHeight="1">
      <c r="A321" s="258" t="s">
        <v>566</v>
      </c>
      <c r="B321" s="280"/>
      <c r="C321" s="1697" t="s">
        <v>1390</v>
      </c>
      <c r="D321" s="1697"/>
      <c r="E321" s="1697"/>
      <c r="F321" s="1697"/>
      <c r="G321" s="1697"/>
      <c r="H321" s="1697"/>
      <c r="J321" s="281"/>
      <c r="K321" s="281"/>
      <c r="L321" s="281"/>
      <c r="M321" s="281"/>
    </row>
    <row r="322" spans="1:13" ht="35.450000000000003" customHeight="1">
      <c r="A322" s="258" t="s">
        <v>567</v>
      </c>
      <c r="B322" s="280"/>
      <c r="C322" s="1689" t="s">
        <v>1002</v>
      </c>
      <c r="D322" s="1689"/>
      <c r="E322" s="1689"/>
      <c r="F322" s="1689"/>
      <c r="G322" s="1689"/>
      <c r="H322" s="1689"/>
      <c r="I322" s="1571"/>
      <c r="K322" s="281"/>
      <c r="L322" s="281"/>
      <c r="M322" s="281"/>
    </row>
    <row r="323" spans="1:13" ht="31.15" customHeight="1">
      <c r="A323" s="258" t="s">
        <v>568</v>
      </c>
      <c r="B323" s="280"/>
      <c r="C323" s="1689" t="s">
        <v>1658</v>
      </c>
      <c r="D323" s="1689"/>
      <c r="E323" s="1689"/>
      <c r="F323" s="1689"/>
      <c r="G323" s="1689"/>
      <c r="H323" s="1689"/>
      <c r="J323" s="281"/>
      <c r="K323" s="281"/>
      <c r="L323" s="281"/>
      <c r="M323" s="281"/>
    </row>
    <row r="324" spans="1:13" ht="31.9" customHeight="1">
      <c r="A324" s="258" t="s">
        <v>569</v>
      </c>
      <c r="B324" s="280"/>
      <c r="C324" s="1689" t="s">
        <v>1659</v>
      </c>
      <c r="D324" s="1689"/>
      <c r="E324" s="1689"/>
      <c r="F324" s="1689"/>
      <c r="G324" s="1689"/>
      <c r="H324" s="1689"/>
      <c r="J324" s="281"/>
      <c r="K324" s="281"/>
      <c r="L324" s="281"/>
      <c r="M324" s="281"/>
    </row>
    <row r="325" spans="1:13" ht="31.9" customHeight="1">
      <c r="A325" s="258" t="s">
        <v>570</v>
      </c>
      <c r="B325" s="280"/>
      <c r="C325" s="1689" t="s">
        <v>1719</v>
      </c>
      <c r="D325" s="1689"/>
      <c r="E325" s="1689"/>
      <c r="F325" s="1689"/>
      <c r="G325" s="1689"/>
      <c r="H325" s="1689"/>
      <c r="J325" s="281"/>
      <c r="K325" s="281"/>
      <c r="L325" s="281"/>
      <c r="M325" s="281"/>
    </row>
    <row r="326" spans="1:13">
      <c r="A326" s="258" t="s">
        <v>672</v>
      </c>
      <c r="B326" s="280"/>
      <c r="C326" s="1689" t="s">
        <v>1139</v>
      </c>
      <c r="D326" s="1689"/>
      <c r="E326" s="1689"/>
      <c r="F326" s="1689"/>
      <c r="G326" s="1689"/>
      <c r="H326" s="1689"/>
    </row>
    <row r="327" spans="1:13" ht="48" customHeight="1">
      <c r="A327" s="258" t="s">
        <v>668</v>
      </c>
      <c r="B327" s="281"/>
      <c r="C327" s="1689" t="s">
        <v>1688</v>
      </c>
      <c r="D327" s="1689"/>
      <c r="E327" s="1689"/>
      <c r="F327" s="1689"/>
      <c r="G327" s="1689"/>
      <c r="H327" s="1689"/>
      <c r="I327" s="1571"/>
    </row>
    <row r="328" spans="1:13">
      <c r="A328" s="258" t="s">
        <v>669</v>
      </c>
      <c r="B328" s="281"/>
      <c r="C328" s="1689" t="s">
        <v>1233</v>
      </c>
      <c r="D328" s="1689"/>
      <c r="E328" s="1689"/>
      <c r="F328" s="1689"/>
      <c r="G328" s="1689"/>
      <c r="H328" s="1689"/>
    </row>
    <row r="329" spans="1:13">
      <c r="A329" s="258" t="s">
        <v>670</v>
      </c>
      <c r="B329" s="281"/>
      <c r="C329" s="1689" t="s">
        <v>1289</v>
      </c>
      <c r="D329" s="1689"/>
      <c r="E329" s="1689"/>
      <c r="F329" s="1689"/>
      <c r="G329" s="1689"/>
      <c r="H329" s="1689"/>
    </row>
    <row r="330" spans="1:13">
      <c r="A330" s="258" t="s">
        <v>671</v>
      </c>
      <c r="B330" s="281"/>
      <c r="C330" s="1689" t="s">
        <v>1290</v>
      </c>
      <c r="D330" s="1689"/>
      <c r="E330" s="1689"/>
      <c r="F330" s="1689"/>
      <c r="G330" s="1689"/>
      <c r="H330" s="1689"/>
    </row>
    <row r="331" spans="1:13" ht="15" customHeight="1">
      <c r="A331" s="258" t="s">
        <v>759</v>
      </c>
      <c r="B331" s="281"/>
      <c r="C331" s="1689" t="s">
        <v>1139</v>
      </c>
      <c r="D331" s="1689"/>
      <c r="E331" s="1689"/>
      <c r="F331" s="1689"/>
      <c r="G331" s="1689"/>
      <c r="H331" s="1689"/>
    </row>
    <row r="332" spans="1:13" ht="47.45" customHeight="1">
      <c r="A332" s="258" t="s">
        <v>760</v>
      </c>
      <c r="B332" s="281"/>
      <c r="C332" s="1689" t="s">
        <v>1248</v>
      </c>
      <c r="D332" s="1689"/>
      <c r="E332" s="1689"/>
      <c r="F332" s="1689"/>
      <c r="G332" s="1689"/>
      <c r="H332" s="1689"/>
      <c r="I332" s="1571"/>
    </row>
    <row r="333" spans="1:13" ht="16.149999999999999" customHeight="1">
      <c r="A333" s="258" t="s">
        <v>762</v>
      </c>
      <c r="B333" s="281"/>
      <c r="C333" s="1689" t="s">
        <v>763</v>
      </c>
      <c r="D333" s="1689"/>
      <c r="E333" s="1689"/>
      <c r="F333" s="1689"/>
      <c r="G333" s="1689"/>
      <c r="H333" s="1689"/>
      <c r="I333" s="1571"/>
    </row>
    <row r="334" spans="1:13">
      <c r="A334" s="258" t="s">
        <v>1003</v>
      </c>
      <c r="B334" s="280"/>
      <c r="C334" s="1689" t="s">
        <v>1291</v>
      </c>
      <c r="D334" s="1689"/>
      <c r="E334" s="1689"/>
      <c r="F334" s="1689"/>
      <c r="G334" s="1689"/>
      <c r="H334" s="1689"/>
    </row>
    <row r="335" spans="1:13" ht="46.9" customHeight="1">
      <c r="A335" s="258" t="s">
        <v>1008</v>
      </c>
      <c r="B335" s="281"/>
      <c r="C335" s="1689" t="s">
        <v>1720</v>
      </c>
      <c r="D335" s="1689"/>
      <c r="E335" s="1689"/>
      <c r="F335" s="1689"/>
      <c r="G335" s="1689"/>
      <c r="H335" s="1689"/>
    </row>
    <row r="336" spans="1:13">
      <c r="A336" s="258" t="s">
        <v>1009</v>
      </c>
      <c r="B336" s="281"/>
      <c r="C336" s="1689" t="s">
        <v>1391</v>
      </c>
      <c r="D336" s="1689"/>
      <c r="E336" s="1689"/>
      <c r="F336" s="1689"/>
      <c r="G336" s="1689"/>
      <c r="H336" s="1689"/>
    </row>
    <row r="337" spans="1:8" ht="30.6" customHeight="1">
      <c r="A337" s="258" t="s">
        <v>1010</v>
      </c>
      <c r="B337" s="280"/>
      <c r="C337" s="1691" t="s">
        <v>1660</v>
      </c>
      <c r="D337" s="1691"/>
      <c r="E337" s="1691"/>
      <c r="F337" s="1691"/>
      <c r="G337" s="1691"/>
      <c r="H337" s="1691"/>
    </row>
    <row r="338" spans="1:8" ht="30.6" customHeight="1">
      <c r="A338" s="258" t="s">
        <v>1011</v>
      </c>
      <c r="B338" s="280"/>
      <c r="C338" s="1691" t="s">
        <v>1716</v>
      </c>
      <c r="D338" s="1691"/>
      <c r="E338" s="1691"/>
      <c r="F338" s="1691"/>
      <c r="G338" s="1691"/>
      <c r="H338" s="1691"/>
    </row>
    <row r="339" spans="1:8">
      <c r="A339" s="258" t="s">
        <v>1012</v>
      </c>
      <c r="B339" s="281"/>
      <c r="C339" s="1689" t="s">
        <v>1661</v>
      </c>
      <c r="D339" s="1689"/>
      <c r="E339" s="1689"/>
      <c r="F339" s="1689"/>
      <c r="G339" s="1689"/>
      <c r="H339" s="1689"/>
    </row>
    <row r="340" spans="1:8">
      <c r="A340" s="258" t="s">
        <v>1013</v>
      </c>
      <c r="B340" s="281"/>
      <c r="C340" s="1689" t="s">
        <v>1662</v>
      </c>
      <c r="D340" s="1689"/>
      <c r="E340" s="1689"/>
      <c r="F340" s="1689"/>
      <c r="G340" s="1689"/>
      <c r="H340" s="1689"/>
    </row>
    <row r="341" spans="1:8">
      <c r="A341" s="258"/>
      <c r="B341" s="281"/>
      <c r="C341" s="1231"/>
      <c r="D341" s="1231"/>
      <c r="E341" s="1231"/>
      <c r="F341" s="1231"/>
      <c r="G341" s="1231"/>
      <c r="H341" s="1231"/>
    </row>
    <row r="342" spans="1:8">
      <c r="A342" s="258"/>
      <c r="B342" s="281"/>
      <c r="C342" s="1689"/>
      <c r="D342" s="1689"/>
      <c r="E342" s="1689"/>
      <c r="F342" s="1689"/>
      <c r="G342" s="1689"/>
      <c r="H342" s="1689"/>
    </row>
    <row r="343" spans="1:8" ht="15.75">
      <c r="A343" s="24" t="s">
        <v>248</v>
      </c>
      <c r="B343" s="23"/>
      <c r="C343" s="1690"/>
      <c r="D343" s="1690"/>
      <c r="E343" s="1690"/>
      <c r="F343" s="1690"/>
      <c r="G343" s="1690"/>
      <c r="H343" s="1690"/>
    </row>
  </sheetData>
  <mergeCells count="46">
    <mergeCell ref="A1:H1"/>
    <mergeCell ref="A3:H3"/>
    <mergeCell ref="C305:H305"/>
    <mergeCell ref="A303:B303"/>
    <mergeCell ref="D235:E236"/>
    <mergeCell ref="F235:F236"/>
    <mergeCell ref="C331:H331"/>
    <mergeCell ref="C332:H332"/>
    <mergeCell ref="C333:H333"/>
    <mergeCell ref="D209:E209"/>
    <mergeCell ref="D210:E210"/>
    <mergeCell ref="C320:H320"/>
    <mergeCell ref="C321:H321"/>
    <mergeCell ref="C322:H322"/>
    <mergeCell ref="C323:H323"/>
    <mergeCell ref="C324:H324"/>
    <mergeCell ref="C325:H325"/>
    <mergeCell ref="C317:H317"/>
    <mergeCell ref="C318:H318"/>
    <mergeCell ref="C319:H319"/>
    <mergeCell ref="C326:H326"/>
    <mergeCell ref="C327:H327"/>
    <mergeCell ref="C328:H328"/>
    <mergeCell ref="C329:H329"/>
    <mergeCell ref="C330:H330"/>
    <mergeCell ref="C304:H304"/>
    <mergeCell ref="C306:H306"/>
    <mergeCell ref="C307:H307"/>
    <mergeCell ref="C308:H308"/>
    <mergeCell ref="C309:H309"/>
    <mergeCell ref="C312:H312"/>
    <mergeCell ref="C310:H310"/>
    <mergeCell ref="C313:H313"/>
    <mergeCell ref="C315:H315"/>
    <mergeCell ref="C316:H316"/>
    <mergeCell ref="E311:H311"/>
    <mergeCell ref="C314:H314"/>
    <mergeCell ref="C334:H334"/>
    <mergeCell ref="C342:H342"/>
    <mergeCell ref="C343:H343"/>
    <mergeCell ref="C338:H338"/>
    <mergeCell ref="C340:H340"/>
    <mergeCell ref="C339:H339"/>
    <mergeCell ref="C335:H335"/>
    <mergeCell ref="C336:H336"/>
    <mergeCell ref="C337:H337"/>
  </mergeCells>
  <printOptions horizontalCentered="1"/>
  <pageMargins left="0.7" right="0.7" top="0.7" bottom="0.7" header="0.3" footer="0.5"/>
  <pageSetup scale="51" fitToHeight="6" orientation="portrait" r:id="rId1"/>
  <headerFooter>
    <oddFooter>&amp;CPage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9"/>
  <sheetViews>
    <sheetView zoomScaleNormal="100" workbookViewId="0">
      <selection activeCell="C19" sqref="C19:O19"/>
    </sheetView>
  </sheetViews>
  <sheetFormatPr defaultColWidth="8.85546875" defaultRowHeight="12.75"/>
  <cols>
    <col min="1" max="1" width="4.28515625" style="732" customWidth="1"/>
    <col min="2" max="2" width="45.140625" style="44" bestFit="1" customWidth="1"/>
    <col min="3" max="11" width="11.42578125" style="44" bestFit="1" customWidth="1"/>
    <col min="12" max="16" width="11.28515625" style="44" customWidth="1"/>
    <col min="17" max="16384" width="8.85546875" style="44"/>
  </cols>
  <sheetData>
    <row r="1" spans="1:17">
      <c r="A1" s="1768" t="str">
        <f>+'MISO Cover'!C6</f>
        <v>Entergy Arkansas, Inc.</v>
      </c>
      <c r="B1" s="1768"/>
      <c r="C1" s="1768"/>
      <c r="D1" s="1768"/>
      <c r="E1" s="1768"/>
      <c r="F1" s="1768"/>
      <c r="G1" s="1768"/>
      <c r="H1" s="1768"/>
      <c r="I1" s="1768"/>
      <c r="J1" s="1768"/>
      <c r="K1" s="1768"/>
      <c r="L1" s="1768"/>
      <c r="M1" s="1768"/>
      <c r="N1" s="1768"/>
      <c r="O1" s="1768"/>
      <c r="P1" s="1768"/>
      <c r="Q1" s="863"/>
    </row>
    <row r="2" spans="1:17">
      <c r="A2" s="1766" t="s">
        <v>1456</v>
      </c>
      <c r="B2" s="1766"/>
      <c r="C2" s="1766"/>
      <c r="D2" s="1766"/>
      <c r="E2" s="1766"/>
      <c r="F2" s="1766"/>
      <c r="G2" s="1766"/>
      <c r="H2" s="1766"/>
      <c r="I2" s="1766"/>
      <c r="J2" s="1766"/>
      <c r="K2" s="1766"/>
      <c r="L2" s="1766"/>
      <c r="M2" s="1766"/>
      <c r="N2" s="1766"/>
      <c r="O2" s="1766"/>
      <c r="P2" s="1766"/>
    </row>
    <row r="3" spans="1:17">
      <c r="A3" s="1766" t="str">
        <f>+'MISO Cover'!K4</f>
        <v>For  the 12 Months Ended 12/31/2014</v>
      </c>
      <c r="B3" s="1766"/>
      <c r="C3" s="1766"/>
      <c r="D3" s="1766"/>
      <c r="E3" s="1766"/>
      <c r="F3" s="1766"/>
      <c r="G3" s="1766"/>
      <c r="H3" s="1766"/>
      <c r="I3" s="1766"/>
      <c r="J3" s="1766"/>
      <c r="K3" s="1766"/>
      <c r="L3" s="1766"/>
      <c r="M3" s="1766"/>
      <c r="N3" s="1766"/>
      <c r="O3" s="1766"/>
      <c r="P3" s="1766"/>
    </row>
    <row r="4" spans="1:17">
      <c r="A4" s="810"/>
    </row>
    <row r="5" spans="1:17" s="812" customFormat="1">
      <c r="A5" s="810" t="s">
        <v>663</v>
      </c>
      <c r="B5" s="812" t="s">
        <v>261</v>
      </c>
      <c r="C5" s="812" t="s">
        <v>309</v>
      </c>
      <c r="D5" s="812" t="s">
        <v>249</v>
      </c>
      <c r="E5" s="812" t="s">
        <v>262</v>
      </c>
      <c r="F5" s="812" t="s">
        <v>260</v>
      </c>
      <c r="G5" s="812" t="s">
        <v>351</v>
      </c>
      <c r="H5" s="812" t="s">
        <v>263</v>
      </c>
      <c r="I5" s="812" t="s">
        <v>364</v>
      </c>
      <c r="J5" s="812" t="s">
        <v>253</v>
      </c>
      <c r="K5" s="812" t="s">
        <v>254</v>
      </c>
      <c r="L5" s="812" t="s">
        <v>265</v>
      </c>
      <c r="M5" s="812" t="s">
        <v>293</v>
      </c>
      <c r="N5" s="812" t="s">
        <v>294</v>
      </c>
      <c r="O5" s="812" t="s">
        <v>352</v>
      </c>
      <c r="P5" s="812" t="s">
        <v>563</v>
      </c>
    </row>
    <row r="6" spans="1:17" s="812" customFormat="1">
      <c r="A6" s="810"/>
      <c r="C6" s="1601" t="s">
        <v>231</v>
      </c>
      <c r="D6" s="1601" t="s">
        <v>221</v>
      </c>
      <c r="E6" s="1601" t="s">
        <v>222</v>
      </c>
      <c r="F6" s="1601" t="s">
        <v>223</v>
      </c>
      <c r="G6" s="1601" t="s">
        <v>224</v>
      </c>
      <c r="H6" s="1601" t="s">
        <v>220</v>
      </c>
      <c r="I6" s="1601" t="s">
        <v>225</v>
      </c>
      <c r="J6" s="1601" t="s">
        <v>226</v>
      </c>
      <c r="K6" s="1601" t="s">
        <v>227</v>
      </c>
      <c r="L6" s="1601" t="s">
        <v>228</v>
      </c>
      <c r="M6" s="1601" t="s">
        <v>229</v>
      </c>
      <c r="N6" s="1601" t="s">
        <v>230</v>
      </c>
      <c r="O6" s="1601" t="s">
        <v>231</v>
      </c>
      <c r="P6" s="1614" t="s">
        <v>865</v>
      </c>
    </row>
    <row r="7" spans="1:17">
      <c r="A7" s="1022">
        <v>1</v>
      </c>
      <c r="B7" s="44" t="s">
        <v>980</v>
      </c>
      <c r="C7" s="864"/>
      <c r="D7" s="864"/>
    </row>
    <row r="8" spans="1:17">
      <c r="A8" s="1022">
        <f>+A7+0.1</f>
        <v>1.1000000000000001</v>
      </c>
      <c r="B8" s="608" t="s">
        <v>688</v>
      </c>
      <c r="C8" s="1499">
        <v>18932697.34</v>
      </c>
      <c r="D8" s="1499">
        <v>18932697.34</v>
      </c>
      <c r="E8" s="1499">
        <v>18932697.34</v>
      </c>
      <c r="F8" s="1499">
        <v>18932697.34</v>
      </c>
      <c r="G8" s="1499">
        <v>18932697.34</v>
      </c>
      <c r="H8" s="1499">
        <v>18932697.34</v>
      </c>
      <c r="I8" s="1499">
        <v>18932697.34</v>
      </c>
      <c r="J8" s="1499">
        <v>18932697.34</v>
      </c>
      <c r="K8" s="1499">
        <v>18932697.34</v>
      </c>
      <c r="L8" s="1499">
        <v>18932697.34</v>
      </c>
      <c r="M8" s="1499">
        <v>18932697.34</v>
      </c>
      <c r="N8" s="1499">
        <v>18932697.34</v>
      </c>
      <c r="O8" s="1499">
        <v>18932697.34</v>
      </c>
      <c r="P8" s="270">
        <f>+SUM(C8:O8)/13</f>
        <v>18932697.34</v>
      </c>
    </row>
    <row r="9" spans="1:17">
      <c r="A9" s="1022">
        <f>+A8+0.1</f>
        <v>1.2000000000000002</v>
      </c>
      <c r="B9" s="608" t="s">
        <v>689</v>
      </c>
      <c r="C9" s="1499">
        <v>0</v>
      </c>
      <c r="D9" s="1499">
        <v>0</v>
      </c>
      <c r="E9" s="1499">
        <v>0</v>
      </c>
      <c r="F9" s="1499">
        <v>0</v>
      </c>
      <c r="G9" s="1499">
        <v>0</v>
      </c>
      <c r="H9" s="1499">
        <v>0</v>
      </c>
      <c r="I9" s="1499">
        <v>0</v>
      </c>
      <c r="J9" s="1499">
        <v>0</v>
      </c>
      <c r="K9" s="1499">
        <v>0</v>
      </c>
      <c r="L9" s="1499">
        <v>0</v>
      </c>
      <c r="M9" s="1499">
        <v>0</v>
      </c>
      <c r="N9" s="1499">
        <v>0</v>
      </c>
      <c r="O9" s="1499">
        <v>0</v>
      </c>
      <c r="P9" s="270">
        <f>+SUM(C9:O9)/13</f>
        <v>0</v>
      </c>
    </row>
    <row r="10" spans="1:17">
      <c r="A10" s="1022">
        <f>+A9+0.1</f>
        <v>1.3000000000000003</v>
      </c>
      <c r="B10" s="608" t="s">
        <v>690</v>
      </c>
      <c r="C10" s="1499">
        <v>1749086.96</v>
      </c>
      <c r="D10" s="1499">
        <v>1749086.96</v>
      </c>
      <c r="E10" s="1499">
        <v>1749086.96</v>
      </c>
      <c r="F10" s="1499">
        <v>1749086.96</v>
      </c>
      <c r="G10" s="1499">
        <v>1749086.96</v>
      </c>
      <c r="H10" s="1499">
        <v>1749086.96</v>
      </c>
      <c r="I10" s="1499">
        <v>1749086.96</v>
      </c>
      <c r="J10" s="1499">
        <v>1749086.96</v>
      </c>
      <c r="K10" s="1499">
        <v>1749086.96</v>
      </c>
      <c r="L10" s="1499">
        <v>1749086.96</v>
      </c>
      <c r="M10" s="1499">
        <v>1749086.96</v>
      </c>
      <c r="N10" s="1499">
        <v>1749086.96</v>
      </c>
      <c r="O10" s="1499">
        <v>1749086.96</v>
      </c>
      <c r="P10" s="270">
        <f>+SUM(C10:O10)/13</f>
        <v>1749086.9600000007</v>
      </c>
    </row>
    <row r="11" spans="1:17">
      <c r="A11" s="1400">
        <f>+A10+0.1</f>
        <v>1.4000000000000004</v>
      </c>
      <c r="B11" s="608" t="s">
        <v>691</v>
      </c>
      <c r="C11" s="1499">
        <v>1749086.88</v>
      </c>
      <c r="D11" s="1499">
        <v>1749086.88</v>
      </c>
      <c r="E11" s="1499">
        <v>1749086.88</v>
      </c>
      <c r="F11" s="1499">
        <v>1749086.88</v>
      </c>
      <c r="G11" s="1499">
        <v>1749086.88</v>
      </c>
      <c r="H11" s="1499">
        <v>1749086.88</v>
      </c>
      <c r="I11" s="1499">
        <v>1749086.88</v>
      </c>
      <c r="J11" s="1499">
        <v>1749086.88</v>
      </c>
      <c r="K11" s="1499">
        <v>1749086.88</v>
      </c>
      <c r="L11" s="1499">
        <v>1749086.88</v>
      </c>
      <c r="M11" s="1499">
        <v>1749086.88</v>
      </c>
      <c r="N11" s="1499">
        <v>1749086.88</v>
      </c>
      <c r="O11" s="1499">
        <v>1749086.88</v>
      </c>
      <c r="P11" s="270">
        <f>+SUM(C11:O11)/13</f>
        <v>1749086.8799999992</v>
      </c>
    </row>
    <row r="12" spans="1:17">
      <c r="A12" s="1400">
        <f t="shared" ref="A12:A13" si="0">+A11+0.1</f>
        <v>1.5000000000000004</v>
      </c>
      <c r="B12" s="608" t="s">
        <v>692</v>
      </c>
      <c r="C12" s="1499">
        <v>0</v>
      </c>
      <c r="D12" s="1499">
        <v>0</v>
      </c>
      <c r="E12" s="1499">
        <v>0</v>
      </c>
      <c r="F12" s="1499">
        <v>0</v>
      </c>
      <c r="G12" s="1499">
        <v>0</v>
      </c>
      <c r="H12" s="1499">
        <v>0</v>
      </c>
      <c r="I12" s="1499">
        <v>0</v>
      </c>
      <c r="J12" s="1499">
        <v>0</v>
      </c>
      <c r="K12" s="1499">
        <v>0</v>
      </c>
      <c r="L12" s="1499">
        <v>0</v>
      </c>
      <c r="M12" s="1499">
        <v>0</v>
      </c>
      <c r="N12" s="1499">
        <v>0</v>
      </c>
      <c r="O12" s="1499">
        <v>0</v>
      </c>
      <c r="P12" s="270">
        <f t="shared" ref="P12:P14" si="1">+SUM(C12:O12)/13</f>
        <v>0</v>
      </c>
    </row>
    <row r="13" spans="1:17">
      <c r="A13" s="1498">
        <f t="shared" si="0"/>
        <v>1.6000000000000005</v>
      </c>
      <c r="B13" s="1434" t="s">
        <v>1507</v>
      </c>
      <c r="C13" s="1499">
        <v>0</v>
      </c>
      <c r="D13" s="1499">
        <v>0</v>
      </c>
      <c r="E13" s="1499">
        <v>0</v>
      </c>
      <c r="F13" s="1499">
        <v>0</v>
      </c>
      <c r="G13" s="1499">
        <v>0</v>
      </c>
      <c r="H13" s="1499">
        <v>0</v>
      </c>
      <c r="I13" s="1499">
        <v>0</v>
      </c>
      <c r="J13" s="1499">
        <v>0</v>
      </c>
      <c r="K13" s="1499">
        <v>0</v>
      </c>
      <c r="L13" s="1499">
        <v>0</v>
      </c>
      <c r="M13" s="1499">
        <v>0</v>
      </c>
      <c r="N13" s="1499">
        <v>0</v>
      </c>
      <c r="O13" s="1499">
        <v>0</v>
      </c>
      <c r="P13" s="270">
        <f t="shared" si="1"/>
        <v>0</v>
      </c>
    </row>
    <row r="14" spans="1:17">
      <c r="A14" s="1498" t="s">
        <v>1498</v>
      </c>
      <c r="B14" s="1434" t="s">
        <v>1507</v>
      </c>
      <c r="C14" s="1499">
        <v>0</v>
      </c>
      <c r="D14" s="1499">
        <v>0</v>
      </c>
      <c r="E14" s="1499">
        <v>0</v>
      </c>
      <c r="F14" s="1499">
        <v>0</v>
      </c>
      <c r="G14" s="1499">
        <v>0</v>
      </c>
      <c r="H14" s="1499">
        <v>0</v>
      </c>
      <c r="I14" s="1499">
        <v>0</v>
      </c>
      <c r="J14" s="1499">
        <v>0</v>
      </c>
      <c r="K14" s="1499">
        <v>0</v>
      </c>
      <c r="L14" s="1499">
        <v>0</v>
      </c>
      <c r="M14" s="1499">
        <v>0</v>
      </c>
      <c r="N14" s="1499">
        <v>0</v>
      </c>
      <c r="O14" s="1499">
        <v>0</v>
      </c>
      <c r="P14" s="270">
        <f t="shared" si="1"/>
        <v>0</v>
      </c>
    </row>
    <row r="15" spans="1:17">
      <c r="A15" s="1498" t="s">
        <v>1502</v>
      </c>
      <c r="B15" s="1434" t="s">
        <v>1507</v>
      </c>
      <c r="C15" s="1603">
        <v>0</v>
      </c>
      <c r="D15" s="1603">
        <v>0</v>
      </c>
      <c r="E15" s="1603">
        <v>0</v>
      </c>
      <c r="F15" s="1603">
        <v>0</v>
      </c>
      <c r="G15" s="1603">
        <v>0</v>
      </c>
      <c r="H15" s="1603">
        <v>0</v>
      </c>
      <c r="I15" s="1603">
        <v>0</v>
      </c>
      <c r="J15" s="1603">
        <v>0</v>
      </c>
      <c r="K15" s="1603">
        <v>0</v>
      </c>
      <c r="L15" s="1603">
        <v>0</v>
      </c>
      <c r="M15" s="1603">
        <v>0</v>
      </c>
      <c r="N15" s="1603">
        <v>0</v>
      </c>
      <c r="O15" s="1603">
        <v>0</v>
      </c>
      <c r="P15" s="599">
        <f>+SUM(C15:O15)/13</f>
        <v>0</v>
      </c>
    </row>
    <row r="16" spans="1:17">
      <c r="A16" s="1400">
        <f>+A7+1</f>
        <v>2</v>
      </c>
      <c r="B16" s="608" t="str">
        <f>+"Total - Generator (Sum of Line "&amp;A7&amp;" Subparts)"</f>
        <v>Total - Generator (Sum of Line 1 Subparts)</v>
      </c>
      <c r="C16" s="747">
        <f t="shared" ref="C16:P16" si="2">SUM(C8:C15)</f>
        <v>22430871.18</v>
      </c>
      <c r="D16" s="747">
        <f t="shared" si="2"/>
        <v>22430871.18</v>
      </c>
      <c r="E16" s="747">
        <f t="shared" si="2"/>
        <v>22430871.18</v>
      </c>
      <c r="F16" s="747">
        <f t="shared" si="2"/>
        <v>22430871.18</v>
      </c>
      <c r="G16" s="747">
        <f t="shared" si="2"/>
        <v>22430871.18</v>
      </c>
      <c r="H16" s="747">
        <f t="shared" si="2"/>
        <v>22430871.18</v>
      </c>
      <c r="I16" s="747">
        <f t="shared" si="2"/>
        <v>22430871.18</v>
      </c>
      <c r="J16" s="747">
        <f t="shared" si="2"/>
        <v>22430871.18</v>
      </c>
      <c r="K16" s="747">
        <f t="shared" si="2"/>
        <v>22430871.18</v>
      </c>
      <c r="L16" s="747">
        <f t="shared" si="2"/>
        <v>22430871.18</v>
      </c>
      <c r="M16" s="747">
        <f t="shared" si="2"/>
        <v>22430871.18</v>
      </c>
      <c r="N16" s="747">
        <f t="shared" si="2"/>
        <v>22430871.18</v>
      </c>
      <c r="O16" s="747">
        <f t="shared" si="2"/>
        <v>22430871.18</v>
      </c>
      <c r="P16" s="865">
        <f t="shared" si="2"/>
        <v>22430871.18</v>
      </c>
    </row>
    <row r="17" spans="1:16">
      <c r="A17" s="1022">
        <f>+A16+1</f>
        <v>3</v>
      </c>
      <c r="B17" s="608"/>
      <c r="C17" s="291"/>
      <c r="D17" s="291"/>
      <c r="E17" s="291"/>
      <c r="F17" s="291"/>
      <c r="G17" s="291"/>
      <c r="H17" s="291"/>
      <c r="I17" s="291"/>
      <c r="J17" s="291"/>
      <c r="K17" s="291"/>
      <c r="L17" s="291"/>
      <c r="M17" s="291"/>
      <c r="N17" s="291"/>
      <c r="O17" s="291"/>
    </row>
    <row r="18" spans="1:16">
      <c r="A18" s="1022">
        <f>+A17+1</f>
        <v>4</v>
      </c>
      <c r="B18" s="741" t="s">
        <v>978</v>
      </c>
      <c r="C18" s="291"/>
      <c r="D18" s="291"/>
      <c r="E18" s="291"/>
      <c r="F18" s="291"/>
      <c r="G18" s="291"/>
      <c r="H18" s="291"/>
      <c r="I18" s="291"/>
      <c r="J18" s="291"/>
      <c r="K18" s="291"/>
      <c r="L18" s="291"/>
      <c r="M18" s="291"/>
      <c r="N18" s="291"/>
      <c r="O18" s="291"/>
    </row>
    <row r="19" spans="1:16">
      <c r="A19" s="1022">
        <f>+A18+0.1</f>
        <v>4.0999999999999996</v>
      </c>
      <c r="B19" s="608" t="s">
        <v>704</v>
      </c>
      <c r="C19" s="208">
        <v>6258822.79</v>
      </c>
      <c r="D19" s="208">
        <v>6258822.79</v>
      </c>
      <c r="E19" s="208">
        <v>6258822.79</v>
      </c>
      <c r="F19" s="208">
        <v>6258822.79</v>
      </c>
      <c r="G19" s="208">
        <v>6258822.79</v>
      </c>
      <c r="H19" s="208">
        <v>6258822.79</v>
      </c>
      <c r="I19" s="208">
        <v>6258822.79</v>
      </c>
      <c r="J19" s="208">
        <v>6258822.79</v>
      </c>
      <c r="K19" s="208">
        <v>6258822.79</v>
      </c>
      <c r="L19" s="208">
        <v>6258822.79</v>
      </c>
      <c r="M19" s="208">
        <v>6258822.79</v>
      </c>
      <c r="N19" s="208">
        <v>6258822.79</v>
      </c>
      <c r="O19" s="208">
        <v>6258822.79</v>
      </c>
      <c r="P19" s="558">
        <f>+SUM(C19:O19)/13</f>
        <v>6258822.790000001</v>
      </c>
    </row>
    <row r="20" spans="1:16">
      <c r="A20" s="1500">
        <f>+A19+0.1</f>
        <v>4.1999999999999993</v>
      </c>
      <c r="B20" s="1434" t="s">
        <v>1507</v>
      </c>
      <c r="C20" s="208">
        <v>0</v>
      </c>
      <c r="D20" s="208">
        <v>0</v>
      </c>
      <c r="E20" s="208">
        <v>0</v>
      </c>
      <c r="F20" s="208">
        <v>0</v>
      </c>
      <c r="G20" s="208">
        <v>0</v>
      </c>
      <c r="H20" s="208">
        <v>0</v>
      </c>
      <c r="I20" s="208">
        <v>0</v>
      </c>
      <c r="J20" s="208">
        <v>0</v>
      </c>
      <c r="K20" s="208">
        <v>0</v>
      </c>
      <c r="L20" s="208">
        <v>0</v>
      </c>
      <c r="M20" s="208">
        <v>0</v>
      </c>
      <c r="N20" s="208">
        <v>0</v>
      </c>
      <c r="O20" s="208">
        <v>0</v>
      </c>
      <c r="P20" s="558">
        <f t="shared" ref="P20:P22" si="3">+SUM(C20:O20)/13</f>
        <v>0</v>
      </c>
    </row>
    <row r="21" spans="1:16">
      <c r="A21" s="1500" t="s">
        <v>1498</v>
      </c>
      <c r="B21" s="1434" t="s">
        <v>1507</v>
      </c>
      <c r="C21" s="208">
        <v>0</v>
      </c>
      <c r="D21" s="208">
        <v>0</v>
      </c>
      <c r="E21" s="208">
        <v>0</v>
      </c>
      <c r="F21" s="208">
        <v>0</v>
      </c>
      <c r="G21" s="208">
        <v>0</v>
      </c>
      <c r="H21" s="208">
        <v>0</v>
      </c>
      <c r="I21" s="208">
        <v>0</v>
      </c>
      <c r="J21" s="208">
        <v>0</v>
      </c>
      <c r="K21" s="208">
        <v>0</v>
      </c>
      <c r="L21" s="208">
        <v>0</v>
      </c>
      <c r="M21" s="208">
        <v>0</v>
      </c>
      <c r="N21" s="208">
        <v>0</v>
      </c>
      <c r="O21" s="208">
        <v>0</v>
      </c>
      <c r="P21" s="558">
        <f t="shared" si="3"/>
        <v>0</v>
      </c>
    </row>
    <row r="22" spans="1:16">
      <c r="A22" s="1500" t="s">
        <v>1499</v>
      </c>
      <c r="B22" s="1434" t="s">
        <v>1507</v>
      </c>
      <c r="C22" s="278">
        <v>0</v>
      </c>
      <c r="D22" s="278">
        <v>0</v>
      </c>
      <c r="E22" s="278">
        <v>0</v>
      </c>
      <c r="F22" s="278">
        <v>0</v>
      </c>
      <c r="G22" s="278">
        <v>0</v>
      </c>
      <c r="H22" s="278">
        <v>0</v>
      </c>
      <c r="I22" s="278">
        <v>0</v>
      </c>
      <c r="J22" s="278">
        <v>0</v>
      </c>
      <c r="K22" s="278">
        <v>0</v>
      </c>
      <c r="L22" s="278">
        <v>0</v>
      </c>
      <c r="M22" s="278">
        <v>0</v>
      </c>
      <c r="N22" s="278">
        <v>0</v>
      </c>
      <c r="O22" s="278">
        <v>0</v>
      </c>
      <c r="P22" s="599">
        <f t="shared" si="3"/>
        <v>0</v>
      </c>
    </row>
    <row r="23" spans="1:16" s="43" customFormat="1">
      <c r="A23" s="1022">
        <f>+A18+1</f>
        <v>5</v>
      </c>
      <c r="B23" s="608" t="str">
        <f>+"Total - Transm Substation (Sum of Line "&amp;A18&amp;" Subparts)"</f>
        <v>Total - Transm Substation (Sum of Line 4 Subparts)</v>
      </c>
      <c r="C23" s="80">
        <f t="shared" ref="C23:O23" si="4">SUM(C19:C22)</f>
        <v>6258822.79</v>
      </c>
      <c r="D23" s="80">
        <f t="shared" si="4"/>
        <v>6258822.79</v>
      </c>
      <c r="E23" s="80">
        <f t="shared" si="4"/>
        <v>6258822.79</v>
      </c>
      <c r="F23" s="80">
        <f t="shared" si="4"/>
        <v>6258822.79</v>
      </c>
      <c r="G23" s="80">
        <f t="shared" si="4"/>
        <v>6258822.79</v>
      </c>
      <c r="H23" s="80">
        <f t="shared" si="4"/>
        <v>6258822.79</v>
      </c>
      <c r="I23" s="80">
        <f t="shared" si="4"/>
        <v>6258822.79</v>
      </c>
      <c r="J23" s="80">
        <f t="shared" si="4"/>
        <v>6258822.79</v>
      </c>
      <c r="K23" s="80">
        <f t="shared" si="4"/>
        <v>6258822.79</v>
      </c>
      <c r="L23" s="80">
        <f t="shared" si="4"/>
        <v>6258822.79</v>
      </c>
      <c r="M23" s="80">
        <f t="shared" si="4"/>
        <v>6258822.79</v>
      </c>
      <c r="N23" s="80">
        <f t="shared" si="4"/>
        <v>6258822.79</v>
      </c>
      <c r="O23" s="80">
        <f t="shared" si="4"/>
        <v>6258822.79</v>
      </c>
      <c r="P23" s="80">
        <f>+SUM(C23:O23)/13</f>
        <v>6258822.790000001</v>
      </c>
    </row>
    <row r="24" spans="1:16" s="43" customFormat="1">
      <c r="A24" s="1022">
        <f>+A23+1</f>
        <v>6</v>
      </c>
      <c r="B24" s="608"/>
      <c r="C24" s="80"/>
      <c r="D24" s="80"/>
      <c r="E24" s="80"/>
      <c r="F24" s="80"/>
      <c r="G24" s="80"/>
      <c r="H24" s="80"/>
      <c r="I24" s="80"/>
      <c r="J24" s="80"/>
      <c r="K24" s="80"/>
      <c r="L24" s="80"/>
      <c r="M24" s="80"/>
      <c r="N24" s="80"/>
      <c r="O24" s="80"/>
      <c r="P24" s="80"/>
    </row>
    <row r="25" spans="1:16" ht="13.5" thickBot="1">
      <c r="A25" s="1022">
        <f>+A24+1</f>
        <v>7</v>
      </c>
      <c r="B25" s="220" t="s">
        <v>979</v>
      </c>
      <c r="C25" s="748">
        <f t="shared" ref="C25:P25" si="5">+C16+C23</f>
        <v>28689693.969999999</v>
      </c>
      <c r="D25" s="748">
        <f t="shared" si="5"/>
        <v>28689693.969999999</v>
      </c>
      <c r="E25" s="748">
        <f t="shared" si="5"/>
        <v>28689693.969999999</v>
      </c>
      <c r="F25" s="748">
        <f t="shared" si="5"/>
        <v>28689693.969999999</v>
      </c>
      <c r="G25" s="748">
        <f t="shared" si="5"/>
        <v>28689693.969999999</v>
      </c>
      <c r="H25" s="748">
        <f t="shared" si="5"/>
        <v>28689693.969999999</v>
      </c>
      <c r="I25" s="748">
        <f t="shared" si="5"/>
        <v>28689693.969999999</v>
      </c>
      <c r="J25" s="748">
        <f t="shared" si="5"/>
        <v>28689693.969999999</v>
      </c>
      <c r="K25" s="748">
        <f t="shared" si="5"/>
        <v>28689693.969999999</v>
      </c>
      <c r="L25" s="748">
        <f t="shared" si="5"/>
        <v>28689693.969999999</v>
      </c>
      <c r="M25" s="748">
        <f t="shared" si="5"/>
        <v>28689693.969999999</v>
      </c>
      <c r="N25" s="748">
        <f t="shared" si="5"/>
        <v>28689693.969999999</v>
      </c>
      <c r="O25" s="748">
        <f t="shared" si="5"/>
        <v>28689693.969999999</v>
      </c>
      <c r="P25" s="748">
        <f t="shared" si="5"/>
        <v>28689693.969999999</v>
      </c>
    </row>
    <row r="26" spans="1:16" ht="13.5" thickTop="1">
      <c r="A26" s="1022"/>
      <c r="B26" s="608" t="str">
        <f>+"Sum of Lines "&amp;A16&amp;" + "&amp;A23</f>
        <v>Sum of Lines 2 + 5</v>
      </c>
      <c r="C26" s="270"/>
      <c r="D26" s="270"/>
    </row>
    <row r="27" spans="1:16">
      <c r="A27" s="1022"/>
      <c r="B27" s="608"/>
      <c r="C27" s="270"/>
      <c r="D27" s="270"/>
    </row>
    <row r="28" spans="1:16">
      <c r="A28" s="45" t="s">
        <v>746</v>
      </c>
    </row>
    <row r="29" spans="1:16">
      <c r="A29" s="831" t="s">
        <v>367</v>
      </c>
      <c r="B29" s="1767" t="str">
        <f>+"Reference Appendix A Note "&amp;'Appendix A'!A316</f>
        <v>Reference Appendix A Note M</v>
      </c>
      <c r="C29" s="1767"/>
      <c r="D29" s="1767"/>
      <c r="E29" s="1767"/>
      <c r="F29" s="1767"/>
      <c r="G29" s="1767"/>
      <c r="H29" s="1767"/>
      <c r="I29" s="1767"/>
      <c r="J29" s="1767"/>
      <c r="K29" s="1767"/>
      <c r="L29" s="1767"/>
      <c r="M29" s="1767"/>
      <c r="N29" s="1767"/>
      <c r="O29" s="1767"/>
      <c r="P29" s="1767"/>
    </row>
  </sheetData>
  <mergeCells count="4">
    <mergeCell ref="A3:P3"/>
    <mergeCell ref="B29:P29"/>
    <mergeCell ref="A1:P1"/>
    <mergeCell ref="A2:P2"/>
  </mergeCells>
  <pageMargins left="0.7" right="0.7" top="0.7" bottom="0.7" header="0.3" footer="0.5"/>
  <pageSetup scale="59" orientation="landscape" r:id="rId1"/>
  <headerFooter>
    <oddFooter>&amp;CPage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3"/>
  <sheetViews>
    <sheetView zoomScaleNormal="100" zoomScaleSheetLayoutView="90" workbookViewId="0">
      <selection activeCell="L20" sqref="L20"/>
    </sheetView>
  </sheetViews>
  <sheetFormatPr defaultColWidth="9.140625" defaultRowHeight="12.75"/>
  <cols>
    <col min="1" max="1" width="5.42578125" style="180" customWidth="1"/>
    <col min="2" max="2" width="51.42578125" style="179" customWidth="1"/>
    <col min="3" max="3" width="11.42578125" style="179" customWidth="1"/>
    <col min="4" max="4" width="12.7109375" style="179" customWidth="1"/>
    <col min="5" max="5" width="15.28515625" style="179" bestFit="1" customWidth="1"/>
    <col min="6" max="6" width="11.85546875" style="179" customWidth="1"/>
    <col min="7" max="7" width="11.42578125" style="179" customWidth="1"/>
    <col min="8" max="8" width="11" style="179" customWidth="1"/>
    <col min="9" max="9" width="9.85546875" style="179" customWidth="1"/>
    <col min="10" max="10" width="9.140625" style="179"/>
    <col min="11" max="11" width="7.5703125" style="179" customWidth="1"/>
    <col min="12" max="12" width="34" style="179" customWidth="1"/>
    <col min="13" max="13" width="16.140625" style="179" customWidth="1"/>
    <col min="14" max="14" width="9.140625" style="179"/>
    <col min="15" max="15" width="9.140625" style="44"/>
    <col min="16" max="16384" width="9.140625" style="179"/>
  </cols>
  <sheetData>
    <row r="1" spans="1:15">
      <c r="A1" s="1728" t="str">
        <f>+'MISO Cover'!C6</f>
        <v>Entergy Arkansas, Inc.</v>
      </c>
      <c r="B1" s="1728"/>
      <c r="C1" s="1728"/>
      <c r="D1" s="1728"/>
      <c r="E1" s="1728"/>
      <c r="F1" s="1728"/>
      <c r="G1" s="1728"/>
      <c r="H1" s="1728"/>
      <c r="I1" s="1728"/>
      <c r="O1" s="179"/>
    </row>
    <row r="2" spans="1:15">
      <c r="A2" s="1728" t="s">
        <v>1153</v>
      </c>
      <c r="B2" s="1728"/>
      <c r="C2" s="1728"/>
      <c r="D2" s="1728"/>
      <c r="E2" s="1728"/>
      <c r="F2" s="1728"/>
      <c r="G2" s="1728"/>
      <c r="H2" s="1728"/>
      <c r="I2" s="1728"/>
      <c r="O2" s="179"/>
    </row>
    <row r="3" spans="1:15">
      <c r="A3" s="1772" t="str">
        <f>+'MISO Cover'!K4</f>
        <v>For  the 12 Months Ended 12/31/2014</v>
      </c>
      <c r="B3" s="1772"/>
      <c r="C3" s="1772"/>
      <c r="D3" s="1772"/>
      <c r="E3" s="1772"/>
      <c r="F3" s="1772"/>
      <c r="G3" s="1772"/>
      <c r="H3" s="1772"/>
      <c r="I3" s="1772"/>
      <c r="K3" s="870"/>
      <c r="O3" s="179"/>
    </row>
    <row r="4" spans="1:15">
      <c r="B4" s="871"/>
      <c r="C4" s="814"/>
      <c r="D4" s="814"/>
      <c r="E4" s="814"/>
      <c r="F4" s="814"/>
      <c r="G4" s="814"/>
      <c r="H4" s="814"/>
      <c r="I4" s="814"/>
      <c r="O4" s="179"/>
    </row>
    <row r="5" spans="1:15">
      <c r="A5" s="180" t="s">
        <v>663</v>
      </c>
      <c r="B5" s="581" t="s">
        <v>261</v>
      </c>
      <c r="C5" s="581" t="s">
        <v>1674</v>
      </c>
      <c r="D5" s="581" t="s">
        <v>249</v>
      </c>
      <c r="E5" s="581" t="s">
        <v>262</v>
      </c>
      <c r="F5" s="581" t="s">
        <v>260</v>
      </c>
      <c r="G5" s="581" t="s">
        <v>1675</v>
      </c>
      <c r="H5" s="581" t="s">
        <v>263</v>
      </c>
      <c r="I5" s="581" t="s">
        <v>364</v>
      </c>
      <c r="O5" s="179"/>
    </row>
    <row r="6" spans="1:15" s="44" customFormat="1">
      <c r="A6" s="772"/>
      <c r="B6" s="582"/>
      <c r="C6" s="1590"/>
      <c r="D6" s="583"/>
      <c r="E6" s="583"/>
      <c r="F6" s="583"/>
      <c r="G6" s="583"/>
      <c r="H6" s="583"/>
      <c r="I6" s="582"/>
    </row>
    <row r="7" spans="1:15">
      <c r="A7" s="220">
        <v>1</v>
      </c>
      <c r="B7" s="587" t="s">
        <v>918</v>
      </c>
      <c r="C7" s="588" t="s">
        <v>919</v>
      </c>
      <c r="D7" s="674" t="s">
        <v>331</v>
      </c>
      <c r="E7" s="677"/>
      <c r="F7" s="677" t="s">
        <v>369</v>
      </c>
      <c r="G7" s="678" t="s">
        <v>350</v>
      </c>
      <c r="H7" s="592" t="s">
        <v>214</v>
      </c>
      <c r="I7" s="588" t="s">
        <v>368</v>
      </c>
      <c r="O7" s="179"/>
    </row>
    <row r="8" spans="1:15">
      <c r="A8" s="220">
        <f>+A7+0.1</f>
        <v>1.1000000000000001</v>
      </c>
      <c r="B8" s="584" t="s">
        <v>916</v>
      </c>
      <c r="C8" s="215">
        <f>SUM(D8:G8)</f>
        <v>2026902.2699999996</v>
      </c>
      <c r="D8" s="675">
        <v>32172.569999999996</v>
      </c>
      <c r="E8" s="547"/>
      <c r="F8" s="296">
        <v>324751.36000000004</v>
      </c>
      <c r="G8" s="988">
        <f>+H8+I8</f>
        <v>1669978.3399999996</v>
      </c>
      <c r="H8" s="590">
        <v>1660558.3499999996</v>
      </c>
      <c r="I8" s="296">
        <v>9419.99</v>
      </c>
      <c r="O8" s="179"/>
    </row>
    <row r="9" spans="1:15" s="299" customFormat="1" ht="15">
      <c r="A9" s="220">
        <f>+A8+0.1</f>
        <v>1.2000000000000002</v>
      </c>
      <c r="B9" s="585" t="s">
        <v>917</v>
      </c>
      <c r="C9" s="244">
        <f>SUM(D9:G9)</f>
        <v>3995704.51</v>
      </c>
      <c r="D9" s="676"/>
      <c r="E9" s="586"/>
      <c r="F9" s="586"/>
      <c r="G9" s="589">
        <f>+H9+I9</f>
        <v>3995704.51</v>
      </c>
      <c r="H9" s="591">
        <v>3995704.51</v>
      </c>
      <c r="I9" s="586"/>
    </row>
    <row r="10" spans="1:15" s="299" customFormat="1">
      <c r="A10" s="220">
        <f>+A7+1</f>
        <v>2</v>
      </c>
      <c r="B10" s="580" t="s">
        <v>1030</v>
      </c>
      <c r="C10" s="1305">
        <f>SUM(C8:C9)</f>
        <v>6022606.7799999993</v>
      </c>
      <c r="D10" s="1306">
        <f>SUM(D8:D9)</f>
        <v>32172.569999999996</v>
      </c>
      <c r="E10" s="1305"/>
      <c r="F10" s="1305">
        <f>SUM(F8:F9)</f>
        <v>324751.36000000004</v>
      </c>
      <c r="G10" s="1305">
        <f>+G8+G9</f>
        <v>5665682.8499999996</v>
      </c>
      <c r="H10" s="1307">
        <f>SUM(H8:H9)</f>
        <v>5656262.8599999994</v>
      </c>
      <c r="I10" s="1305">
        <f>SUM(I8:I9)</f>
        <v>9419.99</v>
      </c>
    </row>
    <row r="11" spans="1:15" s="299" customFormat="1">
      <c r="A11" s="220">
        <f>1+A10</f>
        <v>3</v>
      </c>
      <c r="B11" s="580"/>
      <c r="C11" s="579"/>
      <c r="D11" s="579"/>
      <c r="E11" s="579"/>
      <c r="F11" s="579"/>
      <c r="G11" s="579"/>
      <c r="H11" s="579"/>
      <c r="I11" s="579"/>
    </row>
    <row r="12" spans="1:15" s="299" customFormat="1">
      <c r="A12" s="1293">
        <f>1+A11</f>
        <v>4</v>
      </c>
      <c r="B12" s="1308"/>
      <c r="C12" s="527"/>
      <c r="D12" s="1771" t="s">
        <v>1294</v>
      </c>
      <c r="E12" s="1771"/>
      <c r="F12" s="1771"/>
      <c r="G12" s="1771"/>
    </row>
    <row r="13" spans="1:15" s="1250" customFormat="1">
      <c r="A13" s="1293">
        <f t="shared" ref="A13:A14" si="0">1+A12</f>
        <v>5</v>
      </c>
      <c r="B13" s="1308"/>
      <c r="C13" s="527"/>
      <c r="D13" s="1769" t="s">
        <v>331</v>
      </c>
      <c r="E13" s="1769"/>
      <c r="F13" s="1309"/>
      <c r="G13" s="1309"/>
    </row>
    <row r="14" spans="1:15" s="866" customFormat="1">
      <c r="A14" s="1293">
        <f t="shared" si="0"/>
        <v>6</v>
      </c>
      <c r="B14" s="1310" t="s">
        <v>920</v>
      </c>
      <c r="C14" s="637"/>
      <c r="D14" s="639" t="s">
        <v>1016</v>
      </c>
      <c r="E14" s="1311" t="s">
        <v>1258</v>
      </c>
      <c r="F14" s="1312" t="s">
        <v>339</v>
      </c>
      <c r="G14" s="640" t="s">
        <v>350</v>
      </c>
      <c r="H14" s="1251"/>
      <c r="I14" s="1251"/>
      <c r="J14" s="1250"/>
      <c r="K14" s="1250"/>
      <c r="L14" s="1250"/>
    </row>
    <row r="15" spans="1:15" ht="15.75" customHeight="1">
      <c r="A15" s="957">
        <f>+A14+0.01</f>
        <v>6.01</v>
      </c>
      <c r="B15" s="1124" t="s">
        <v>675</v>
      </c>
      <c r="C15" s="296">
        <v>-334544.64000000001</v>
      </c>
      <c r="D15" s="641"/>
      <c r="E15" s="547"/>
      <c r="F15" s="547"/>
      <c r="G15" s="642">
        <f t="shared" ref="G15:G23" si="1">+C15</f>
        <v>-334544.64000000001</v>
      </c>
      <c r="H15" s="638"/>
      <c r="I15" s="638"/>
      <c r="K15" s="44"/>
      <c r="L15" s="44"/>
      <c r="M15" s="44"/>
      <c r="N15" s="44"/>
    </row>
    <row r="16" spans="1:15" s="866" customFormat="1" ht="15.75" customHeight="1">
      <c r="A16" s="957">
        <f t="shared" ref="A16:A54" si="2">+A15+0.01</f>
        <v>6.02</v>
      </c>
      <c r="B16" s="1124" t="s">
        <v>676</v>
      </c>
      <c r="C16" s="296">
        <v>0</v>
      </c>
      <c r="D16" s="641"/>
      <c r="E16" s="547"/>
      <c r="F16" s="547"/>
      <c r="G16" s="642">
        <f t="shared" si="1"/>
        <v>0</v>
      </c>
    </row>
    <row r="17" spans="1:16" ht="15.75" customHeight="1">
      <c r="A17" s="957">
        <f t="shared" si="2"/>
        <v>6.0299999999999994</v>
      </c>
      <c r="B17" s="1124" t="s">
        <v>677</v>
      </c>
      <c r="C17" s="296">
        <v>-162.6</v>
      </c>
      <c r="D17" s="641"/>
      <c r="E17" s="547"/>
      <c r="F17" s="547"/>
      <c r="G17" s="642">
        <f t="shared" si="1"/>
        <v>-162.6</v>
      </c>
      <c r="J17" s="867"/>
      <c r="K17" s="555"/>
      <c r="L17" s="555"/>
      <c r="M17" s="555"/>
      <c r="N17" s="555"/>
      <c r="O17" s="555"/>
      <c r="P17" s="867"/>
    </row>
    <row r="18" spans="1:16" s="866" customFormat="1" ht="15.75" customHeight="1">
      <c r="A18" s="957">
        <f t="shared" si="2"/>
        <v>6.0399999999999991</v>
      </c>
      <c r="B18" s="1124" t="s">
        <v>747</v>
      </c>
      <c r="C18" s="296">
        <v>2503646.7999999998</v>
      </c>
      <c r="D18" s="641"/>
      <c r="E18" s="547"/>
      <c r="F18" s="547"/>
      <c r="G18" s="642">
        <f t="shared" si="1"/>
        <v>2503646.7999999998</v>
      </c>
    </row>
    <row r="19" spans="1:16" s="866" customFormat="1" ht="15.75" customHeight="1">
      <c r="A19" s="957">
        <f t="shared" si="2"/>
        <v>6.0499999999999989</v>
      </c>
      <c r="B19" s="1124" t="s">
        <v>1402</v>
      </c>
      <c r="C19" s="296">
        <v>197061.79</v>
      </c>
      <c r="D19" s="641"/>
      <c r="E19" s="547"/>
      <c r="F19" s="547"/>
      <c r="G19" s="642">
        <f>+C19</f>
        <v>197061.79</v>
      </c>
    </row>
    <row r="20" spans="1:16" s="866" customFormat="1" ht="15.75" customHeight="1">
      <c r="A20" s="957">
        <f t="shared" si="2"/>
        <v>6.0599999999999987</v>
      </c>
      <c r="B20" s="1124" t="s">
        <v>1403</v>
      </c>
      <c r="C20" s="296">
        <v>40736.26</v>
      </c>
      <c r="D20" s="641"/>
      <c r="E20" s="547"/>
      <c r="F20" s="547"/>
      <c r="G20" s="642">
        <f>+C20</f>
        <v>40736.26</v>
      </c>
    </row>
    <row r="21" spans="1:16" s="866" customFormat="1" ht="15.75" customHeight="1">
      <c r="A21" s="957">
        <f t="shared" si="2"/>
        <v>6.0699999999999985</v>
      </c>
      <c r="B21" s="1124" t="s">
        <v>678</v>
      </c>
      <c r="C21" s="296">
        <v>-94830.82</v>
      </c>
      <c r="D21" s="641"/>
      <c r="E21" s="547"/>
      <c r="F21" s="547"/>
      <c r="G21" s="642">
        <f t="shared" si="1"/>
        <v>-94830.82</v>
      </c>
    </row>
    <row r="22" spans="1:16" ht="15.75" customHeight="1">
      <c r="A22" s="957">
        <f t="shared" si="2"/>
        <v>6.0799999999999983</v>
      </c>
      <c r="B22" s="1124" t="s">
        <v>679</v>
      </c>
      <c r="C22" s="296">
        <v>0</v>
      </c>
      <c r="D22" s="641"/>
      <c r="E22" s="547"/>
      <c r="F22" s="547"/>
      <c r="G22" s="642">
        <f t="shared" si="1"/>
        <v>0</v>
      </c>
      <c r="H22" s="181"/>
      <c r="I22" s="866"/>
      <c r="J22" s="866"/>
      <c r="K22" s="44"/>
      <c r="L22" s="44"/>
      <c r="M22" s="44"/>
      <c r="N22" s="44"/>
    </row>
    <row r="23" spans="1:16" ht="15.75" customHeight="1">
      <c r="A23" s="957">
        <f t="shared" si="2"/>
        <v>6.0899999999999981</v>
      </c>
      <c r="B23" s="1124" t="s">
        <v>191</v>
      </c>
      <c r="C23" s="296">
        <v>-13952.26</v>
      </c>
      <c r="D23" s="641"/>
      <c r="E23" s="547"/>
      <c r="F23" s="547"/>
      <c r="G23" s="642">
        <f t="shared" si="1"/>
        <v>-13952.26</v>
      </c>
      <c r="H23" s="866"/>
      <c r="I23" s="866"/>
      <c r="J23" s="866"/>
      <c r="K23" s="44"/>
      <c r="L23" s="44"/>
      <c r="M23" s="44"/>
      <c r="N23" s="44"/>
    </row>
    <row r="24" spans="1:16" ht="15.75" customHeight="1">
      <c r="A24" s="957">
        <f t="shared" si="2"/>
        <v>6.0999999999999979</v>
      </c>
      <c r="B24" s="1124" t="s">
        <v>185</v>
      </c>
      <c r="C24" s="296">
        <v>2.61</v>
      </c>
      <c r="D24" s="641"/>
      <c r="E24" s="547">
        <f>+C24</f>
        <v>2.61</v>
      </c>
      <c r="F24" s="547"/>
      <c r="G24" s="642"/>
      <c r="H24" s="868"/>
      <c r="K24" s="44"/>
      <c r="L24" s="44"/>
      <c r="M24" s="44"/>
      <c r="N24" s="44"/>
    </row>
    <row r="25" spans="1:16" ht="15.75" customHeight="1">
      <c r="A25" s="957">
        <f t="shared" si="2"/>
        <v>6.1099999999999977</v>
      </c>
      <c r="B25" s="1124" t="s">
        <v>186</v>
      </c>
      <c r="C25" s="296">
        <v>0</v>
      </c>
      <c r="D25" s="1313">
        <f>+C25</f>
        <v>0</v>
      </c>
      <c r="E25" s="217"/>
      <c r="F25" s="217"/>
      <c r="G25" s="642"/>
      <c r="K25" s="44"/>
      <c r="L25" s="44"/>
      <c r="M25" s="44"/>
      <c r="N25" s="44"/>
    </row>
    <row r="26" spans="1:16" ht="15.75" customHeight="1">
      <c r="A26" s="957">
        <f t="shared" si="2"/>
        <v>6.1199999999999974</v>
      </c>
      <c r="B26" s="1333" t="s">
        <v>187</v>
      </c>
      <c r="C26" s="296">
        <v>-170174.14</v>
      </c>
      <c r="D26" s="1313"/>
      <c r="E26" s="217">
        <f>+C26</f>
        <v>-170174.14</v>
      </c>
      <c r="F26" s="217"/>
      <c r="G26" s="642"/>
      <c r="K26" s="44"/>
      <c r="L26" s="44"/>
      <c r="M26" s="44"/>
      <c r="N26" s="44"/>
    </row>
    <row r="27" spans="1:16" s="866" customFormat="1" ht="15.75" customHeight="1">
      <c r="A27" s="957">
        <f t="shared" si="2"/>
        <v>6.1299999999999972</v>
      </c>
      <c r="B27" s="1124" t="s">
        <v>192</v>
      </c>
      <c r="C27" s="296">
        <v>0</v>
      </c>
      <c r="D27" s="641"/>
      <c r="E27" s="547"/>
      <c r="F27" s="547"/>
      <c r="G27" s="642">
        <f>+C27</f>
        <v>0</v>
      </c>
      <c r="H27" s="179"/>
      <c r="I27" s="179"/>
      <c r="J27" s="179"/>
    </row>
    <row r="28" spans="1:16" ht="15.75" customHeight="1">
      <c r="A28" s="957">
        <f t="shared" si="2"/>
        <v>6.139999999999997</v>
      </c>
      <c r="B28" s="1124" t="s">
        <v>193</v>
      </c>
      <c r="C28" s="296">
        <v>8414.3799999999992</v>
      </c>
      <c r="D28" s="641"/>
      <c r="E28" s="547"/>
      <c r="F28" s="547"/>
      <c r="G28" s="642">
        <f>+C28</f>
        <v>8414.3799999999992</v>
      </c>
      <c r="K28" s="44"/>
      <c r="L28" s="44"/>
      <c r="M28" s="44"/>
      <c r="N28" s="44"/>
    </row>
    <row r="29" spans="1:16" ht="15.75" customHeight="1">
      <c r="A29" s="957">
        <f t="shared" si="2"/>
        <v>6.1499999999999968</v>
      </c>
      <c r="B29" s="1124" t="s">
        <v>680</v>
      </c>
      <c r="C29" s="296">
        <v>641932.4</v>
      </c>
      <c r="D29" s="641"/>
      <c r="E29" s="547"/>
      <c r="F29" s="547"/>
      <c r="G29" s="642">
        <f>+C29</f>
        <v>641932.4</v>
      </c>
      <c r="H29" s="866"/>
      <c r="I29" s="866"/>
      <c r="J29" s="866"/>
      <c r="K29" s="44"/>
      <c r="L29" s="44"/>
      <c r="M29" s="44"/>
      <c r="N29" s="44"/>
    </row>
    <row r="30" spans="1:16" ht="15.75" customHeight="1">
      <c r="A30" s="957">
        <f t="shared" si="2"/>
        <v>6.1599999999999966</v>
      </c>
      <c r="B30" s="1362" t="s">
        <v>188</v>
      </c>
      <c r="C30" s="296">
        <v>-5730.49</v>
      </c>
      <c r="D30" s="641">
        <f>+C30</f>
        <v>-5730.49</v>
      </c>
      <c r="E30" s="547"/>
      <c r="F30" s="217"/>
      <c r="G30" s="1314"/>
      <c r="K30" s="44"/>
      <c r="L30" s="44"/>
      <c r="M30" s="44"/>
      <c r="N30" s="44"/>
    </row>
    <row r="31" spans="1:16" ht="15.75" customHeight="1">
      <c r="A31" s="957">
        <f t="shared" si="2"/>
        <v>6.1699999999999964</v>
      </c>
      <c r="B31" s="1362" t="s">
        <v>189</v>
      </c>
      <c r="C31" s="296">
        <v>-32589.54</v>
      </c>
      <c r="D31" s="641">
        <f>+C31</f>
        <v>-32589.54</v>
      </c>
      <c r="E31" s="547"/>
      <c r="F31" s="217"/>
      <c r="G31" s="1315"/>
      <c r="K31" s="44"/>
      <c r="L31" s="44"/>
      <c r="M31" s="44"/>
      <c r="N31" s="44"/>
    </row>
    <row r="32" spans="1:16" ht="15.75" customHeight="1">
      <c r="A32" s="957">
        <f t="shared" si="2"/>
        <v>6.1799999999999962</v>
      </c>
      <c r="B32" s="1124" t="s">
        <v>190</v>
      </c>
      <c r="C32" s="296">
        <v>-95970.06</v>
      </c>
      <c r="D32" s="1313"/>
      <c r="E32" s="217">
        <f>+C32</f>
        <v>-95970.06</v>
      </c>
      <c r="F32" s="217"/>
      <c r="G32" s="642"/>
      <c r="K32" s="44"/>
      <c r="L32" s="44"/>
      <c r="M32" s="44"/>
      <c r="N32" s="44"/>
    </row>
    <row r="33" spans="1:14" ht="15.75" customHeight="1">
      <c r="A33" s="957">
        <f t="shared" si="2"/>
        <v>6.1899999999999959</v>
      </c>
      <c r="B33" s="1124" t="s">
        <v>196</v>
      </c>
      <c r="C33" s="296">
        <v>1731.2</v>
      </c>
      <c r="D33" s="641"/>
      <c r="E33" s="547"/>
      <c r="F33" s="547"/>
      <c r="G33" s="642">
        <f>+C33</f>
        <v>1731.2</v>
      </c>
      <c r="K33" s="44"/>
      <c r="L33" s="44"/>
      <c r="M33" s="44"/>
      <c r="N33" s="44"/>
    </row>
    <row r="34" spans="1:14" ht="15.75" customHeight="1">
      <c r="A34" s="957">
        <f t="shared" si="2"/>
        <v>6.1999999999999957</v>
      </c>
      <c r="B34" s="1124" t="s">
        <v>197</v>
      </c>
      <c r="C34" s="296">
        <v>2676.75</v>
      </c>
      <c r="D34" s="641"/>
      <c r="E34" s="547"/>
      <c r="F34" s="547"/>
      <c r="G34" s="642">
        <f>+C34</f>
        <v>2676.75</v>
      </c>
      <c r="K34" s="44"/>
      <c r="L34" s="44"/>
      <c r="M34" s="44"/>
      <c r="N34" s="44"/>
    </row>
    <row r="35" spans="1:14" ht="15.75" customHeight="1">
      <c r="A35" s="957">
        <f t="shared" si="2"/>
        <v>6.2099999999999955</v>
      </c>
      <c r="B35" s="1124" t="s">
        <v>198</v>
      </c>
      <c r="C35" s="296">
        <v>2664.52</v>
      </c>
      <c r="D35" s="641"/>
      <c r="E35" s="547"/>
      <c r="F35" s="547"/>
      <c r="G35" s="642">
        <f>+C35</f>
        <v>2664.52</v>
      </c>
      <c r="K35" s="44"/>
      <c r="L35" s="44"/>
      <c r="M35" s="44"/>
      <c r="N35" s="44"/>
    </row>
    <row r="36" spans="1:14" ht="15.75" customHeight="1">
      <c r="A36" s="957">
        <f t="shared" si="2"/>
        <v>6.2199999999999953</v>
      </c>
      <c r="B36" s="1124" t="s">
        <v>1031</v>
      </c>
      <c r="C36" s="296">
        <v>0</v>
      </c>
      <c r="D36" s="641"/>
      <c r="E36" s="547"/>
      <c r="F36" s="547">
        <f>+C36</f>
        <v>0</v>
      </c>
      <c r="G36" s="1314"/>
      <c r="K36" s="44"/>
      <c r="L36" s="44"/>
      <c r="M36" s="44"/>
      <c r="N36" s="44"/>
    </row>
    <row r="37" spans="1:14" ht="15.75" customHeight="1">
      <c r="A37" s="957">
        <f t="shared" si="2"/>
        <v>6.2299999999999951</v>
      </c>
      <c r="B37" s="1124" t="s">
        <v>194</v>
      </c>
      <c r="C37" s="296">
        <v>7875.88</v>
      </c>
      <c r="D37" s="641"/>
      <c r="E37" s="547"/>
      <c r="F37" s="547"/>
      <c r="G37" s="642">
        <f>+C37</f>
        <v>7875.88</v>
      </c>
      <c r="K37" s="44"/>
      <c r="L37" s="44"/>
      <c r="M37" s="44"/>
      <c r="N37" s="44"/>
    </row>
    <row r="38" spans="1:14" ht="15.75" customHeight="1">
      <c r="A38" s="957">
        <f t="shared" si="2"/>
        <v>6.2399999999999949</v>
      </c>
      <c r="B38" s="1124" t="s">
        <v>742</v>
      </c>
      <c r="C38" s="296">
        <v>1368501.64</v>
      </c>
      <c r="D38" s="641">
        <f>+C38</f>
        <v>1368501.64</v>
      </c>
      <c r="E38" s="547"/>
      <c r="F38" s="547"/>
      <c r="G38" s="1314"/>
      <c r="I38" s="869"/>
      <c r="K38" s="44"/>
      <c r="L38" s="44"/>
      <c r="M38" s="44"/>
      <c r="N38" s="44"/>
    </row>
    <row r="39" spans="1:14" ht="15.75" customHeight="1">
      <c r="A39" s="957">
        <f t="shared" si="2"/>
        <v>6.2499999999999947</v>
      </c>
      <c r="B39" s="1124" t="s">
        <v>743</v>
      </c>
      <c r="C39" s="296">
        <v>10622227.380000001</v>
      </c>
      <c r="D39" s="641"/>
      <c r="E39" s="547">
        <f>+C39</f>
        <v>10622227.380000001</v>
      </c>
      <c r="F39" s="547"/>
      <c r="G39" s="1316"/>
      <c r="K39" s="44"/>
      <c r="L39" s="44"/>
      <c r="M39" s="44"/>
      <c r="N39" s="44"/>
    </row>
    <row r="40" spans="1:14" ht="15.75" customHeight="1">
      <c r="A40" s="957">
        <f t="shared" si="2"/>
        <v>6.2599999999999945</v>
      </c>
      <c r="B40" s="1124" t="s">
        <v>744</v>
      </c>
      <c r="C40" s="296">
        <v>464551.22</v>
      </c>
      <c r="D40" s="641">
        <f>+C40</f>
        <v>464551.22</v>
      </c>
      <c r="E40" s="547"/>
      <c r="F40" s="547"/>
      <c r="G40" s="1314"/>
      <c r="K40" s="44"/>
      <c r="L40" s="44"/>
      <c r="M40" s="44"/>
      <c r="N40" s="44"/>
    </row>
    <row r="41" spans="1:14" ht="15.75" customHeight="1">
      <c r="A41" s="957">
        <f t="shared" si="2"/>
        <v>6.2699999999999942</v>
      </c>
      <c r="B41" s="1124" t="s">
        <v>1032</v>
      </c>
      <c r="C41" s="296">
        <v>15445723.220000001</v>
      </c>
      <c r="D41" s="641"/>
      <c r="E41" s="547">
        <f>+C41</f>
        <v>15445723.220000001</v>
      </c>
      <c r="F41" s="547"/>
      <c r="G41" s="642"/>
      <c r="H41" s="1775" t="s">
        <v>1510</v>
      </c>
      <c r="I41" s="1776"/>
      <c r="K41" s="44"/>
      <c r="L41" s="44"/>
      <c r="M41" s="44"/>
      <c r="N41" s="44"/>
    </row>
    <row r="42" spans="1:14" ht="15.75" customHeight="1">
      <c r="A42" s="957">
        <f t="shared" si="2"/>
        <v>6.279999999999994</v>
      </c>
      <c r="B42" s="1362" t="s">
        <v>745</v>
      </c>
      <c r="C42" s="296">
        <v>1035111.79</v>
      </c>
      <c r="D42" s="641"/>
      <c r="E42" s="547"/>
      <c r="F42" s="547"/>
      <c r="G42" s="642">
        <f>+C42</f>
        <v>1035111.79</v>
      </c>
      <c r="H42" s="1423" t="s">
        <v>1508</v>
      </c>
      <c r="I42" s="1424" t="s">
        <v>1509</v>
      </c>
      <c r="K42" s="44"/>
      <c r="L42" s="44"/>
      <c r="M42" s="44"/>
      <c r="N42" s="44"/>
    </row>
    <row r="43" spans="1:14" ht="15.75" customHeight="1">
      <c r="A43" s="957">
        <f t="shared" si="2"/>
        <v>6.2899999999999938</v>
      </c>
      <c r="B43" s="1362" t="s">
        <v>1676</v>
      </c>
      <c r="C43" s="296">
        <v>605791.46</v>
      </c>
      <c r="D43" s="641"/>
      <c r="E43" s="547"/>
      <c r="F43" s="547"/>
      <c r="G43" s="642">
        <f>+C43</f>
        <v>605791.46</v>
      </c>
      <c r="H43" s="1475">
        <v>883110.74</v>
      </c>
      <c r="I43" s="1475">
        <v>-277319.27999999997</v>
      </c>
      <c r="K43" s="44"/>
      <c r="L43" s="44"/>
      <c r="M43" s="44"/>
      <c r="N43" s="44"/>
    </row>
    <row r="44" spans="1:14" ht="15.75" customHeight="1">
      <c r="A44" s="957">
        <f t="shared" si="2"/>
        <v>6.2999999999999936</v>
      </c>
      <c r="B44" s="1362" t="s">
        <v>1404</v>
      </c>
      <c r="C44" s="296">
        <v>1410206.89</v>
      </c>
      <c r="D44" s="641"/>
      <c r="E44" s="547"/>
      <c r="F44" s="547"/>
      <c r="G44" s="642">
        <f>+C44</f>
        <v>1410206.89</v>
      </c>
      <c r="K44" s="44"/>
      <c r="L44" s="44"/>
      <c r="M44" s="44"/>
      <c r="N44" s="44"/>
    </row>
    <row r="45" spans="1:14" ht="15.75" customHeight="1">
      <c r="A45" s="957">
        <f t="shared" si="2"/>
        <v>6.3099999999999934</v>
      </c>
      <c r="B45" s="1362" t="s">
        <v>1405</v>
      </c>
      <c r="C45" s="296">
        <v>39518708.810000002</v>
      </c>
      <c r="D45" s="641"/>
      <c r="E45" s="547">
        <f>+C45</f>
        <v>39518708.810000002</v>
      </c>
      <c r="F45" s="547"/>
      <c r="G45" s="642"/>
      <c r="K45" s="44"/>
      <c r="L45" s="44"/>
      <c r="M45" s="44"/>
      <c r="N45" s="44"/>
    </row>
    <row r="46" spans="1:14" ht="15.75" customHeight="1">
      <c r="A46" s="957">
        <f t="shared" si="2"/>
        <v>6.3199999999999932</v>
      </c>
      <c r="B46" s="1124" t="s">
        <v>195</v>
      </c>
      <c r="C46" s="296">
        <v>-3076.62</v>
      </c>
      <c r="D46" s="641"/>
      <c r="E46" s="547"/>
      <c r="F46" s="547"/>
      <c r="G46" s="642">
        <f>+C46</f>
        <v>-3076.62</v>
      </c>
      <c r="K46" s="44"/>
      <c r="L46" s="44"/>
      <c r="M46" s="44"/>
      <c r="N46" s="44"/>
    </row>
    <row r="47" spans="1:14" ht="15.75" customHeight="1">
      <c r="A47" s="957">
        <f t="shared" si="2"/>
        <v>6.329999999999993</v>
      </c>
      <c r="B47" s="1124" t="s">
        <v>681</v>
      </c>
      <c r="C47" s="296">
        <v>-1594063.13</v>
      </c>
      <c r="D47" s="641"/>
      <c r="E47" s="547"/>
      <c r="F47" s="547"/>
      <c r="G47" s="642">
        <f>+C47</f>
        <v>-1594063.13</v>
      </c>
      <c r="K47" s="44"/>
      <c r="L47" s="44"/>
      <c r="M47" s="44"/>
      <c r="N47" s="44"/>
    </row>
    <row r="48" spans="1:14" ht="15.75" customHeight="1">
      <c r="A48" s="957">
        <f t="shared" si="2"/>
        <v>6.3399999999999928</v>
      </c>
      <c r="B48" s="1124" t="s">
        <v>682</v>
      </c>
      <c r="C48" s="296">
        <v>0</v>
      </c>
      <c r="D48" s="641"/>
      <c r="E48" s="547"/>
      <c r="F48" s="547"/>
      <c r="G48" s="642">
        <f>+C48</f>
        <v>0</v>
      </c>
      <c r="K48" s="44"/>
      <c r="L48" s="44"/>
      <c r="M48" s="44"/>
      <c r="N48" s="44"/>
    </row>
    <row r="49" spans="1:15" ht="15.75" customHeight="1">
      <c r="A49" s="957">
        <f t="shared" si="2"/>
        <v>6.3499999999999925</v>
      </c>
      <c r="B49" s="1124" t="s">
        <v>674</v>
      </c>
      <c r="C49" s="296">
        <v>0</v>
      </c>
      <c r="D49" s="641">
        <f>+C49</f>
        <v>0</v>
      </c>
      <c r="E49" s="547"/>
      <c r="F49" s="547"/>
      <c r="G49" s="1314"/>
      <c r="I49" s="872"/>
      <c r="K49" s="44"/>
      <c r="L49" s="44"/>
      <c r="M49" s="44"/>
      <c r="N49" s="44"/>
    </row>
    <row r="50" spans="1:15" ht="15.75" customHeight="1">
      <c r="A50" s="957">
        <f t="shared" si="2"/>
        <v>6.3599999999999923</v>
      </c>
      <c r="B50" s="1362" t="s">
        <v>683</v>
      </c>
      <c r="C50" s="296">
        <v>245000</v>
      </c>
      <c r="D50" s="641"/>
      <c r="E50" s="547"/>
      <c r="F50" s="547"/>
      <c r="G50" s="642">
        <f>+C50</f>
        <v>245000</v>
      </c>
      <c r="K50" s="44"/>
      <c r="L50" s="44"/>
      <c r="M50" s="44"/>
      <c r="N50" s="44"/>
    </row>
    <row r="51" spans="1:15" ht="15.75" customHeight="1">
      <c r="A51" s="957">
        <f t="shared" si="2"/>
        <v>6.3699999999999921</v>
      </c>
      <c r="B51" s="1362" t="s">
        <v>684</v>
      </c>
      <c r="C51" s="296">
        <v>0</v>
      </c>
      <c r="D51" s="641"/>
      <c r="E51" s="547"/>
      <c r="F51" s="547"/>
      <c r="G51" s="642">
        <f>+C51</f>
        <v>0</v>
      </c>
      <c r="K51" s="44"/>
      <c r="L51" s="44"/>
      <c r="M51" s="44"/>
      <c r="N51" s="44"/>
    </row>
    <row r="52" spans="1:15" ht="15.75" customHeight="1">
      <c r="A52" s="957">
        <f>ROUND(+A51+0.01,2)</f>
        <v>6.38</v>
      </c>
      <c r="B52" s="1362" t="s">
        <v>1241</v>
      </c>
      <c r="C52" s="296">
        <v>0</v>
      </c>
      <c r="D52" s="641">
        <f>+C52</f>
        <v>0</v>
      </c>
      <c r="E52" s="547"/>
      <c r="F52" s="547"/>
      <c r="G52" s="642"/>
      <c r="K52" s="44"/>
      <c r="L52" s="44"/>
      <c r="M52" s="44"/>
      <c r="N52" s="44"/>
    </row>
    <row r="53" spans="1:15" ht="15.75" customHeight="1">
      <c r="A53" s="957">
        <f t="shared" si="2"/>
        <v>6.39</v>
      </c>
      <c r="B53" s="1362" t="s">
        <v>1242</v>
      </c>
      <c r="C53" s="296">
        <v>0</v>
      </c>
      <c r="D53" s="641">
        <f>+C53</f>
        <v>0</v>
      </c>
      <c r="E53" s="547"/>
      <c r="F53" s="547"/>
      <c r="G53" s="642"/>
      <c r="K53" s="44"/>
      <c r="L53" s="44"/>
      <c r="M53" s="44"/>
      <c r="N53" s="44"/>
    </row>
    <row r="54" spans="1:15" ht="15.75" customHeight="1">
      <c r="A54" s="1417">
        <f t="shared" si="2"/>
        <v>6.3999999999999995</v>
      </c>
      <c r="B54" s="1467" t="s">
        <v>1507</v>
      </c>
      <c r="C54" s="1465">
        <v>0</v>
      </c>
      <c r="D54" s="590"/>
      <c r="E54" s="1465"/>
      <c r="F54" s="1465"/>
      <c r="G54" s="1468"/>
      <c r="K54" s="44"/>
      <c r="L54" s="44"/>
      <c r="M54" s="44"/>
      <c r="N54" s="44"/>
    </row>
    <row r="55" spans="1:15" ht="15.75" customHeight="1">
      <c r="A55" s="1417" t="s">
        <v>1498</v>
      </c>
      <c r="B55" s="1467" t="s">
        <v>1507</v>
      </c>
      <c r="C55" s="1465">
        <v>0</v>
      </c>
      <c r="D55" s="590"/>
      <c r="E55" s="1465"/>
      <c r="F55" s="1465"/>
      <c r="G55" s="1468"/>
      <c r="K55" s="44"/>
      <c r="L55" s="44"/>
      <c r="M55" s="44"/>
      <c r="N55" s="44"/>
    </row>
    <row r="56" spans="1:15" ht="15.75" customHeight="1">
      <c r="A56" s="1417" t="s">
        <v>1503</v>
      </c>
      <c r="B56" s="1469" t="s">
        <v>1507</v>
      </c>
      <c r="C56" s="1466">
        <v>0</v>
      </c>
      <c r="D56" s="591"/>
      <c r="E56" s="1466"/>
      <c r="F56" s="1466"/>
      <c r="G56" s="1470"/>
      <c r="K56" s="44"/>
      <c r="L56" s="44"/>
      <c r="M56" s="44"/>
      <c r="N56" s="44"/>
    </row>
    <row r="57" spans="1:15" s="866" customFormat="1" ht="15.75" customHeight="1">
      <c r="A57" s="1123">
        <f>+A14+1</f>
        <v>7</v>
      </c>
      <c r="B57" s="1308" t="str">
        <f>+"Total Acct 456  (Sum Ln "&amp;A14&amp;" Subparts)  (3)"</f>
        <v>Total Acct 456  (Sum Ln 6 Subparts)  (3)</v>
      </c>
      <c r="C57" s="1317">
        <f>SUM(C15:C53)</f>
        <v>71777470.700000003</v>
      </c>
      <c r="D57" s="1317">
        <f>SUM(D15:D53)</f>
        <v>1794732.8299999998</v>
      </c>
      <c r="E57" s="1317">
        <f>SUM(E15:E53)</f>
        <v>65320517.820000008</v>
      </c>
      <c r="F57" s="1317">
        <f>SUM(F15:F53)</f>
        <v>0</v>
      </c>
      <c r="G57" s="1317">
        <f>SUM(G15:G53)</f>
        <v>4662220.05</v>
      </c>
      <c r="K57" s="44"/>
      <c r="L57" s="43"/>
      <c r="M57" s="43"/>
      <c r="N57" s="43"/>
      <c r="O57" s="43"/>
    </row>
    <row r="58" spans="1:15" s="866" customFormat="1" ht="15.75" customHeight="1" thickBot="1">
      <c r="A58" s="1123">
        <f>+A57+1</f>
        <v>8</v>
      </c>
      <c r="B58" s="1124" t="str">
        <f>+"Total (Sum Ln "&amp;A10&amp;" + Ln"&amp;A57&amp;")"</f>
        <v>Total (Sum Ln 2 + Ln7)</v>
      </c>
      <c r="C58" s="1318">
        <f>+C10+C57</f>
        <v>77800077.480000004</v>
      </c>
      <c r="D58" s="1318">
        <f>+D10+D57</f>
        <v>1826905.4</v>
      </c>
      <c r="E58" s="1318">
        <f>+E10+E57</f>
        <v>65320517.820000008</v>
      </c>
      <c r="F58" s="1318">
        <f>+F10+F57</f>
        <v>324751.36000000004</v>
      </c>
      <c r="G58" s="1318">
        <f>+G10+G57</f>
        <v>10327902.899999999</v>
      </c>
      <c r="K58" s="44"/>
      <c r="L58" s="43"/>
      <c r="M58" s="43"/>
      <c r="N58" s="43"/>
      <c r="O58" s="43"/>
    </row>
    <row r="59" spans="1:15" s="866" customFormat="1" ht="15.75" customHeight="1" thickTop="1">
      <c r="A59" s="1124"/>
      <c r="B59" s="956"/>
      <c r="C59" s="956"/>
      <c r="D59" s="956"/>
      <c r="E59" s="956"/>
      <c r="F59" s="956"/>
      <c r="G59" s="956"/>
      <c r="K59" s="44"/>
      <c r="L59" s="43"/>
      <c r="M59" s="43"/>
      <c r="N59" s="43"/>
      <c r="O59" s="43"/>
    </row>
    <row r="60" spans="1:15" s="866" customFormat="1" ht="15.75" customHeight="1">
      <c r="A60" s="1124" t="s">
        <v>746</v>
      </c>
      <c r="C60" s="1250"/>
      <c r="D60" s="1250"/>
      <c r="E60" s="1250"/>
      <c r="F60" s="1250"/>
      <c r="G60" s="1250"/>
      <c r="K60" s="44"/>
      <c r="L60" s="43"/>
      <c r="M60" s="43"/>
      <c r="N60" s="43"/>
      <c r="O60" s="43"/>
    </row>
    <row r="61" spans="1:15" s="866" customFormat="1" ht="15.75" customHeight="1">
      <c r="A61" s="1252" t="s">
        <v>367</v>
      </c>
      <c r="B61" s="1770" t="s">
        <v>1366</v>
      </c>
      <c r="C61" s="1770"/>
      <c r="D61" s="1770"/>
      <c r="E61" s="1770"/>
      <c r="F61" s="1770"/>
      <c r="G61" s="1770"/>
      <c r="H61" s="1770"/>
      <c r="I61" s="1770"/>
      <c r="K61" s="44"/>
      <c r="O61" s="43"/>
    </row>
    <row r="62" spans="1:15" s="866" customFormat="1">
      <c r="A62" s="1253" t="s">
        <v>769</v>
      </c>
      <c r="B62" s="1773" t="s">
        <v>1670</v>
      </c>
      <c r="C62" s="1773"/>
      <c r="D62" s="1773"/>
      <c r="E62" s="1773"/>
      <c r="F62" s="1773"/>
      <c r="G62" s="1773"/>
      <c r="K62" s="44"/>
      <c r="O62" s="43"/>
    </row>
    <row r="63" spans="1:15" s="866" customFormat="1">
      <c r="A63" s="1253" t="s">
        <v>770</v>
      </c>
      <c r="B63" s="1125" t="s">
        <v>1365</v>
      </c>
      <c r="K63" s="44"/>
      <c r="O63" s="43"/>
    </row>
    <row r="64" spans="1:15" s="866" customFormat="1" ht="26.45" customHeight="1">
      <c r="A64" s="1253" t="s">
        <v>771</v>
      </c>
      <c r="B64" s="1774" t="str">
        <f>+"Revenues from Schedules associated with Attachment GG and MM should appear in the Rev. Credits category above because they are credited in Appendix A - Revenue Requirement Lines "&amp;'Appendix A'!A282&amp;" &amp; "&amp;'Appendix A'!A283&amp;"."</f>
        <v>Revenues from Schedules associated with Attachment GG and MM should appear in the Rev. Credits category above because they are credited in Appendix A - Revenue Requirement Lines 189 &amp; 190.</v>
      </c>
      <c r="C64" s="1774"/>
      <c r="D64" s="1774"/>
      <c r="E64" s="1774"/>
      <c r="F64" s="1774"/>
      <c r="G64" s="1774"/>
      <c r="H64" s="1774"/>
      <c r="K64" s="44"/>
      <c r="O64" s="43"/>
    </row>
    <row r="65" spans="1:15" s="866" customFormat="1" ht="67.900000000000006" customHeight="1">
      <c r="A65" s="1253" t="s">
        <v>772</v>
      </c>
      <c r="B65" s="1762" t="s">
        <v>1482</v>
      </c>
      <c r="C65" s="1762"/>
      <c r="D65" s="1762"/>
      <c r="E65" s="1762"/>
      <c r="F65" s="1762"/>
      <c r="G65" s="1762"/>
      <c r="H65" s="1762"/>
      <c r="K65" s="44"/>
      <c r="O65" s="43"/>
    </row>
    <row r="66" spans="1:15">
      <c r="A66" s="1644" t="s">
        <v>1201</v>
      </c>
      <c r="B66" s="179" t="s">
        <v>1677</v>
      </c>
      <c r="K66" s="44"/>
    </row>
    <row r="67" spans="1:15">
      <c r="A67" s="773"/>
    </row>
    <row r="68" spans="1:15">
      <c r="A68" s="773"/>
    </row>
    <row r="69" spans="1:15">
      <c r="A69" s="773"/>
    </row>
    <row r="70" spans="1:15">
      <c r="A70" s="773"/>
    </row>
    <row r="71" spans="1:15">
      <c r="A71" s="773"/>
    </row>
    <row r="83" ht="14.45" customHeight="1"/>
  </sheetData>
  <sortState ref="B29:E76">
    <sortCondition ref="B29:B76"/>
  </sortState>
  <mergeCells count="10">
    <mergeCell ref="A1:I1"/>
    <mergeCell ref="A2:I2"/>
    <mergeCell ref="D13:E13"/>
    <mergeCell ref="B65:H65"/>
    <mergeCell ref="B61:I61"/>
    <mergeCell ref="D12:G12"/>
    <mergeCell ref="A3:I3"/>
    <mergeCell ref="B62:G62"/>
    <mergeCell ref="B64:H64"/>
    <mergeCell ref="H41:I41"/>
  </mergeCells>
  <phoneticPr fontId="103" type="noConversion"/>
  <printOptions horizontalCentered="1"/>
  <pageMargins left="0.7" right="0.7" top="0.7" bottom="0.7" header="0.3" footer="0.5"/>
  <pageSetup scale="65" orientation="portrait" r:id="rId1"/>
  <headerFooter>
    <oddFooter>&amp;CPage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2"/>
  <sheetViews>
    <sheetView topLeftCell="A16" workbookViewId="0">
      <selection activeCell="B35" sqref="B35"/>
    </sheetView>
  </sheetViews>
  <sheetFormatPr defaultColWidth="8.85546875" defaultRowHeight="12.75"/>
  <cols>
    <col min="1" max="1" width="7.7109375" style="44" customWidth="1"/>
    <col min="2" max="2" width="47.42578125" style="44" customWidth="1"/>
    <col min="3" max="3" width="16.7109375" style="44" bestFit="1" customWidth="1"/>
    <col min="4" max="4" width="7.7109375" style="44" customWidth="1"/>
    <col min="5" max="16384" width="8.85546875" style="44"/>
  </cols>
  <sheetData>
    <row r="1" spans="1:12">
      <c r="A1" s="1722" t="str">
        <f>+'MISO Cover'!C6</f>
        <v>Entergy Arkansas, Inc.</v>
      </c>
      <c r="B1" s="1722"/>
      <c r="C1" s="1722"/>
      <c r="D1" s="1722"/>
    </row>
    <row r="2" spans="1:12">
      <c r="A2" s="1755" t="s">
        <v>1154</v>
      </c>
      <c r="B2" s="1755"/>
      <c r="C2" s="1755"/>
      <c r="D2" s="1755"/>
    </row>
    <row r="3" spans="1:12">
      <c r="A3" s="1777" t="str">
        <f>+'MISO Cover'!K4</f>
        <v>For  the 12 Months Ended 12/31/2014</v>
      </c>
      <c r="B3" s="1777"/>
      <c r="C3" s="1777"/>
      <c r="D3" s="1777"/>
      <c r="E3" s="873"/>
      <c r="F3" s="873"/>
      <c r="G3" s="873"/>
      <c r="H3" s="873"/>
      <c r="I3" s="873"/>
      <c r="J3" s="873"/>
      <c r="K3" s="873"/>
      <c r="L3" s="873"/>
    </row>
    <row r="4" spans="1:12">
      <c r="A4" s="43"/>
      <c r="B4" s="593"/>
      <c r="C4" s="593"/>
      <c r="D4" s="593"/>
      <c r="E4" s="43"/>
    </row>
    <row r="5" spans="1:12">
      <c r="A5" s="809" t="s">
        <v>663</v>
      </c>
      <c r="B5" s="685" t="s">
        <v>261</v>
      </c>
      <c r="C5" s="685" t="s">
        <v>309</v>
      </c>
      <c r="D5" s="593"/>
    </row>
    <row r="6" spans="1:12">
      <c r="A6" s="809"/>
      <c r="D6" s="593"/>
    </row>
    <row r="7" spans="1:12">
      <c r="A7" s="220">
        <v>1</v>
      </c>
      <c r="B7" s="517" t="s">
        <v>598</v>
      </c>
      <c r="C7" s="517" t="s">
        <v>1123</v>
      </c>
      <c r="D7" s="593"/>
    </row>
    <row r="8" spans="1:12" ht="15">
      <c r="A8" s="220">
        <f>+A7+1</f>
        <v>2</v>
      </c>
      <c r="B8" s="874" t="s">
        <v>369</v>
      </c>
      <c r="C8" s="875"/>
      <c r="D8" s="593"/>
    </row>
    <row r="9" spans="1:12">
      <c r="A9" s="220">
        <f>+A8+0.01</f>
        <v>2.0099999999999998</v>
      </c>
      <c r="B9" s="44" t="s">
        <v>571</v>
      </c>
      <c r="C9" s="1575">
        <v>0</v>
      </c>
      <c r="D9" s="593"/>
    </row>
    <row r="10" spans="1:12">
      <c r="A10" s="220">
        <f t="shared" ref="A10:A22" si="0">+A9+0.01</f>
        <v>2.0199999999999996</v>
      </c>
      <c r="B10" s="44" t="s">
        <v>572</v>
      </c>
      <c r="C10" s="1575">
        <v>1.1939999999999999E-2</v>
      </c>
      <c r="D10" s="593"/>
    </row>
    <row r="11" spans="1:12">
      <c r="A11" s="220">
        <f t="shared" si="0"/>
        <v>2.0299999999999994</v>
      </c>
      <c r="B11" s="44" t="s">
        <v>573</v>
      </c>
      <c r="C11" s="1575">
        <v>6.6320000000000004E-2</v>
      </c>
      <c r="D11" s="593"/>
    </row>
    <row r="12" spans="1:12">
      <c r="A12" s="220">
        <f t="shared" si="0"/>
        <v>2.0399999999999991</v>
      </c>
      <c r="B12" s="44" t="s">
        <v>574</v>
      </c>
      <c r="C12" s="1575">
        <v>0.2</v>
      </c>
      <c r="D12" s="593"/>
    </row>
    <row r="13" spans="1:12">
      <c r="A13" s="220">
        <f t="shared" si="0"/>
        <v>2.0499999999999989</v>
      </c>
      <c r="B13" s="44" t="s">
        <v>575</v>
      </c>
      <c r="C13" s="1575">
        <v>6.6699999999999995E-2</v>
      </c>
      <c r="D13" s="593"/>
    </row>
    <row r="14" spans="1:12">
      <c r="A14" s="220">
        <f t="shared" si="0"/>
        <v>2.0599999999999987</v>
      </c>
      <c r="B14" s="44" t="s">
        <v>576</v>
      </c>
      <c r="C14" s="1575">
        <v>0.18723999999999999</v>
      </c>
      <c r="D14" s="593"/>
    </row>
    <row r="15" spans="1:12">
      <c r="A15" s="220">
        <f t="shared" si="0"/>
        <v>2.0699999999999985</v>
      </c>
      <c r="B15" s="44" t="s">
        <v>577</v>
      </c>
      <c r="C15" s="1575">
        <v>6.6699999999999995E-2</v>
      </c>
      <c r="D15" s="593"/>
    </row>
    <row r="16" spans="1:12">
      <c r="A16" s="220">
        <f t="shared" si="0"/>
        <v>2.0799999999999983</v>
      </c>
      <c r="B16" s="44" t="s">
        <v>578</v>
      </c>
      <c r="C16" s="1575">
        <v>6.6699999999999995E-2</v>
      </c>
      <c r="D16" s="593"/>
    </row>
    <row r="17" spans="1:4">
      <c r="A17" s="220">
        <f t="shared" si="0"/>
        <v>2.0899999999999981</v>
      </c>
      <c r="B17" s="44" t="s">
        <v>579</v>
      </c>
      <c r="C17" s="1575">
        <v>0.1</v>
      </c>
      <c r="D17" s="593"/>
    </row>
    <row r="18" spans="1:4">
      <c r="A18" s="957">
        <f t="shared" si="0"/>
        <v>2.0999999999999979</v>
      </c>
      <c r="B18" s="44" t="s">
        <v>580</v>
      </c>
      <c r="C18" s="1575">
        <v>6.6699999999999995E-2</v>
      </c>
      <c r="D18" s="593"/>
    </row>
    <row r="19" spans="1:4">
      <c r="A19" s="220">
        <f t="shared" si="0"/>
        <v>2.1099999999999977</v>
      </c>
      <c r="B19" s="44" t="s">
        <v>581</v>
      </c>
      <c r="C19" s="1575">
        <v>0.1</v>
      </c>
      <c r="D19" s="593"/>
    </row>
    <row r="20" spans="1:4">
      <c r="A20" s="220">
        <f t="shared" si="0"/>
        <v>2.1199999999999974</v>
      </c>
      <c r="B20" s="44" t="s">
        <v>582</v>
      </c>
      <c r="C20" s="1575">
        <v>6.6699999999999995E-2</v>
      </c>
      <c r="D20" s="593"/>
    </row>
    <row r="21" spans="1:4">
      <c r="A21" s="220">
        <f t="shared" si="0"/>
        <v>2.1299999999999972</v>
      </c>
      <c r="B21" s="44" t="s">
        <v>583</v>
      </c>
      <c r="C21" s="1575">
        <v>0.1</v>
      </c>
      <c r="D21" s="593"/>
    </row>
    <row r="22" spans="1:4">
      <c r="A22" s="220">
        <f t="shared" si="0"/>
        <v>2.139999999999997</v>
      </c>
      <c r="B22" s="44" t="s">
        <v>584</v>
      </c>
      <c r="C22" s="1575">
        <v>0</v>
      </c>
      <c r="D22" s="593"/>
    </row>
    <row r="23" spans="1:4">
      <c r="A23" s="220">
        <f>+A8+1</f>
        <v>3</v>
      </c>
      <c r="C23" s="1576"/>
      <c r="D23" s="593"/>
    </row>
    <row r="24" spans="1:4" ht="15">
      <c r="A24" s="220">
        <f>+A23+1</f>
        <v>4</v>
      </c>
      <c r="B24" s="874" t="s">
        <v>961</v>
      </c>
      <c r="C24" s="876"/>
      <c r="D24" s="593"/>
    </row>
    <row r="25" spans="1:4">
      <c r="A25" s="220">
        <f>+A24+0.01</f>
        <v>4.01</v>
      </c>
      <c r="B25" s="43" t="s">
        <v>647</v>
      </c>
      <c r="C25" s="1577">
        <v>0.2</v>
      </c>
      <c r="D25" s="593"/>
    </row>
    <row r="26" spans="1:4">
      <c r="A26" s="220">
        <f t="shared" ref="A26:A32" si="1">+A25+0.01</f>
        <v>4.0199999999999996</v>
      </c>
      <c r="B26" s="43" t="s">
        <v>648</v>
      </c>
      <c r="C26" s="1577">
        <v>0.2</v>
      </c>
      <c r="D26" s="593"/>
    </row>
    <row r="27" spans="1:4">
      <c r="A27" s="220">
        <f t="shared" si="1"/>
        <v>4.0299999999999994</v>
      </c>
      <c r="B27" s="43" t="s">
        <v>649</v>
      </c>
      <c r="C27" s="1577">
        <v>3.3300000000000003E-2</v>
      </c>
      <c r="D27" s="593"/>
    </row>
    <row r="28" spans="1:4">
      <c r="A28" s="220">
        <f t="shared" si="1"/>
        <v>4.0399999999999991</v>
      </c>
      <c r="B28" s="43" t="s">
        <v>650</v>
      </c>
      <c r="C28" s="1577">
        <v>0.02</v>
      </c>
      <c r="D28" s="593"/>
    </row>
    <row r="29" spans="1:4">
      <c r="A29" s="220">
        <f t="shared" si="1"/>
        <v>4.0499999999999989</v>
      </c>
      <c r="B29" s="43" t="s">
        <v>651</v>
      </c>
      <c r="C29" s="1577">
        <v>0.2</v>
      </c>
      <c r="D29" s="593"/>
    </row>
    <row r="30" spans="1:4">
      <c r="A30" s="220">
        <f t="shared" si="1"/>
        <v>4.0599999999999987</v>
      </c>
      <c r="B30" s="43" t="s">
        <v>652</v>
      </c>
      <c r="C30" s="1577">
        <v>0.1</v>
      </c>
      <c r="D30" s="593"/>
    </row>
    <row r="31" spans="1:4">
      <c r="A31" s="220">
        <f t="shared" si="1"/>
        <v>4.0699999999999985</v>
      </c>
      <c r="B31" s="43" t="s">
        <v>653</v>
      </c>
      <c r="C31" s="1577">
        <v>3.3300000000000003E-2</v>
      </c>
      <c r="D31" s="593"/>
    </row>
    <row r="32" spans="1:4">
      <c r="A32" s="220">
        <f t="shared" si="1"/>
        <v>4.0799999999999983</v>
      </c>
      <c r="B32" s="43" t="s">
        <v>654</v>
      </c>
      <c r="C32" s="1577">
        <v>0.02</v>
      </c>
      <c r="D32" s="593"/>
    </row>
    <row r="33" spans="1:4">
      <c r="A33" s="220">
        <f>+A24+1</f>
        <v>5</v>
      </c>
      <c r="B33" s="593"/>
      <c r="C33" s="1578"/>
      <c r="D33" s="593"/>
    </row>
    <row r="34" spans="1:4" ht="15">
      <c r="A34" s="220">
        <f>+A33+1</f>
        <v>6</v>
      </c>
      <c r="B34" s="874" t="s">
        <v>331</v>
      </c>
      <c r="C34" s="1579"/>
      <c r="D34" s="593"/>
    </row>
    <row r="35" spans="1:4">
      <c r="A35" s="220">
        <f>+A34+0.01</f>
        <v>6.01</v>
      </c>
      <c r="B35" s="44" t="s">
        <v>585</v>
      </c>
      <c r="C35" s="1575">
        <v>0</v>
      </c>
      <c r="D35" s="593"/>
    </row>
    <row r="36" spans="1:4">
      <c r="A36" s="220">
        <f t="shared" ref="A36:A47" si="2">+A35+0.01</f>
        <v>6.02</v>
      </c>
      <c r="B36" s="44" t="s">
        <v>586</v>
      </c>
      <c r="C36" s="1575">
        <v>1.0829999999999999E-2</v>
      </c>
      <c r="D36" s="593"/>
    </row>
    <row r="37" spans="1:4">
      <c r="A37" s="220">
        <f t="shared" si="2"/>
        <v>6.0299999999999994</v>
      </c>
      <c r="B37" s="44" t="s">
        <v>587</v>
      </c>
      <c r="C37" s="1575">
        <v>1.0829999999999999E-2</v>
      </c>
      <c r="D37" s="593"/>
    </row>
    <row r="38" spans="1:4">
      <c r="A38" s="220">
        <f t="shared" si="2"/>
        <v>6.0399999999999991</v>
      </c>
      <c r="B38" s="44" t="s">
        <v>588</v>
      </c>
      <c r="C38" s="1575">
        <v>1.7739999999999999E-2</v>
      </c>
      <c r="D38" s="593"/>
    </row>
    <row r="39" spans="1:4">
      <c r="A39" s="220">
        <f t="shared" si="2"/>
        <v>6.0499999999999989</v>
      </c>
      <c r="B39" s="44" t="s">
        <v>589</v>
      </c>
      <c r="C39" s="1575">
        <v>1.6289999999999999E-2</v>
      </c>
      <c r="D39" s="593"/>
    </row>
    <row r="40" spans="1:4">
      <c r="A40" s="220">
        <f t="shared" si="2"/>
        <v>6.0599999999999987</v>
      </c>
      <c r="B40" s="44" t="s">
        <v>590</v>
      </c>
      <c r="C40" s="1575">
        <v>2.2259999999999999E-2</v>
      </c>
      <c r="D40" s="593"/>
    </row>
    <row r="41" spans="1:4">
      <c r="A41" s="220">
        <f t="shared" si="2"/>
        <v>6.0699999999999985</v>
      </c>
      <c r="B41" s="44" t="s">
        <v>591</v>
      </c>
      <c r="C41" s="1575">
        <v>2.2620000000000001E-2</v>
      </c>
      <c r="D41" s="593"/>
    </row>
    <row r="42" spans="1:4">
      <c r="A42" s="220">
        <f t="shared" si="2"/>
        <v>6.0799999999999983</v>
      </c>
      <c r="B42" s="44" t="s">
        <v>592</v>
      </c>
      <c r="C42" s="1575">
        <v>1.866E-2</v>
      </c>
      <c r="D42" s="593"/>
    </row>
    <row r="43" spans="1:4">
      <c r="A43" s="220">
        <f t="shared" si="2"/>
        <v>6.0899999999999981</v>
      </c>
      <c r="B43" s="44" t="s">
        <v>593</v>
      </c>
      <c r="C43" s="1575">
        <v>1.866E-2</v>
      </c>
      <c r="D43" s="593"/>
    </row>
    <row r="44" spans="1:4">
      <c r="A44" s="957">
        <f t="shared" si="2"/>
        <v>6.0999999999999979</v>
      </c>
      <c r="B44" s="44" t="s">
        <v>594</v>
      </c>
      <c r="C44" s="1575">
        <v>1.866E-2</v>
      </c>
      <c r="D44" s="593"/>
    </row>
    <row r="45" spans="1:4">
      <c r="A45" s="220">
        <f t="shared" si="2"/>
        <v>6.1099999999999977</v>
      </c>
      <c r="B45" s="44" t="s">
        <v>595</v>
      </c>
      <c r="C45" s="1575">
        <v>1.6709999999999999E-2</v>
      </c>
      <c r="D45" s="593"/>
    </row>
    <row r="46" spans="1:4">
      <c r="A46" s="220">
        <f t="shared" si="2"/>
        <v>6.1199999999999974</v>
      </c>
      <c r="B46" s="44" t="s">
        <v>596</v>
      </c>
      <c r="C46" s="1575">
        <v>1.486E-2</v>
      </c>
      <c r="D46" s="43"/>
    </row>
    <row r="47" spans="1:4">
      <c r="A47" s="220">
        <f t="shared" si="2"/>
        <v>6.1299999999999972</v>
      </c>
      <c r="B47" s="44" t="s">
        <v>597</v>
      </c>
      <c r="C47" s="1575">
        <v>1.363E-2</v>
      </c>
      <c r="D47" s="43"/>
    </row>
    <row r="48" spans="1:4">
      <c r="A48" s="915"/>
      <c r="B48" s="43"/>
      <c r="C48" s="43"/>
      <c r="D48" s="43"/>
    </row>
    <row r="49" spans="1:4">
      <c r="A49" s="43" t="s">
        <v>746</v>
      </c>
      <c r="C49" s="43"/>
      <c r="D49" s="43"/>
    </row>
    <row r="50" spans="1:4" ht="54" customHeight="1">
      <c r="A50" s="958" t="s">
        <v>367</v>
      </c>
      <c r="B50" s="1708" t="s">
        <v>1040</v>
      </c>
      <c r="C50" s="1708"/>
      <c r="D50" s="1708"/>
    </row>
    <row r="51" spans="1:4">
      <c r="A51" s="958" t="s">
        <v>769</v>
      </c>
      <c r="B51" s="45" t="s">
        <v>1039</v>
      </c>
      <c r="C51" s="43"/>
      <c r="D51" s="43"/>
    </row>
    <row r="52" spans="1:4">
      <c r="A52" s="809"/>
    </row>
  </sheetData>
  <mergeCells count="4">
    <mergeCell ref="B50:D50"/>
    <mergeCell ref="A1:D1"/>
    <mergeCell ref="A3:D3"/>
    <mergeCell ref="A2:D2"/>
  </mergeCells>
  <printOptions horizontalCentered="1"/>
  <pageMargins left="0.7" right="0.7" top="0.7" bottom="0.7" header="0.3" footer="0.5"/>
  <pageSetup orientation="portrait" r:id="rId1"/>
  <headerFooter>
    <oddFooter>&amp;CPage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66"/>
  <sheetViews>
    <sheetView topLeftCell="A21" zoomScale="88" zoomScaleNormal="88" workbookViewId="0">
      <selection activeCell="B33" sqref="B33"/>
    </sheetView>
  </sheetViews>
  <sheetFormatPr defaultColWidth="9.140625" defaultRowHeight="12.75"/>
  <cols>
    <col min="1" max="1" width="7" style="879" bestFit="1" customWidth="1"/>
    <col min="2" max="2" width="32.140625" style="552" customWidth="1"/>
    <col min="3" max="9" width="11.28515625" style="552" bestFit="1" customWidth="1"/>
    <col min="10" max="12" width="11.85546875" style="552" bestFit="1" customWidth="1"/>
    <col min="13" max="14" width="11.42578125" style="552" bestFit="1" customWidth="1"/>
    <col min="15" max="15" width="11.28515625" style="552" bestFit="1" customWidth="1"/>
    <col min="16" max="16" width="18.7109375" style="877" customWidth="1"/>
    <col min="17" max="17" width="9.28515625" style="552" bestFit="1" customWidth="1"/>
    <col min="18" max="18" width="13" style="552" bestFit="1" customWidth="1"/>
    <col min="19" max="16384" width="9.140625" style="552"/>
  </cols>
  <sheetData>
    <row r="1" spans="1:18">
      <c r="A1" s="1779" t="str">
        <f>+'MISO Cover'!C6</f>
        <v>Entergy Arkansas, Inc.</v>
      </c>
      <c r="B1" s="1779"/>
      <c r="C1" s="1779"/>
      <c r="D1" s="1779"/>
      <c r="E1" s="1779"/>
      <c r="F1" s="1779"/>
      <c r="G1" s="1779"/>
      <c r="H1" s="1779"/>
      <c r="I1" s="1779"/>
      <c r="J1" s="1779"/>
      <c r="K1" s="1779"/>
      <c r="L1" s="1779"/>
      <c r="M1" s="1779"/>
      <c r="N1" s="1779"/>
      <c r="O1" s="1779"/>
      <c r="P1" s="1779"/>
    </row>
    <row r="2" spans="1:18">
      <c r="A2" s="1726" t="s">
        <v>1444</v>
      </c>
      <c r="B2" s="1726"/>
      <c r="C2" s="1726"/>
      <c r="D2" s="1726"/>
      <c r="E2" s="1726"/>
      <c r="F2" s="1726"/>
      <c r="G2" s="1726"/>
      <c r="H2" s="1726"/>
      <c r="I2" s="1726"/>
      <c r="J2" s="1726"/>
      <c r="K2" s="1726"/>
      <c r="L2" s="1726"/>
      <c r="M2" s="1726"/>
      <c r="N2" s="1726"/>
      <c r="O2" s="1726"/>
      <c r="P2" s="1726"/>
    </row>
    <row r="3" spans="1:18">
      <c r="A3" s="1727" t="str">
        <f>+'MISO Cover'!K4</f>
        <v>For  the 12 Months Ended 12/31/2014</v>
      </c>
      <c r="B3" s="1727"/>
      <c r="C3" s="1727"/>
      <c r="D3" s="1727"/>
      <c r="E3" s="1727"/>
      <c r="F3" s="1727"/>
      <c r="G3" s="1727"/>
      <c r="H3" s="1727"/>
      <c r="I3" s="1727"/>
      <c r="J3" s="1727"/>
      <c r="K3" s="1727"/>
      <c r="L3" s="1727"/>
      <c r="M3" s="1727"/>
      <c r="N3" s="1727"/>
      <c r="O3" s="1727"/>
      <c r="P3" s="1727"/>
      <c r="Q3" s="183"/>
      <c r="R3" s="183"/>
    </row>
    <row r="4" spans="1:18">
      <c r="B4" s="813"/>
      <c r="C4" s="813"/>
      <c r="D4" s="813"/>
      <c r="E4" s="813"/>
      <c r="F4" s="813"/>
      <c r="G4" s="813"/>
      <c r="H4" s="813"/>
      <c r="I4" s="813"/>
      <c r="J4" s="813"/>
      <c r="K4" s="813"/>
      <c r="L4" s="813"/>
      <c r="M4" s="813"/>
      <c r="N4" s="813"/>
      <c r="O4" s="813"/>
      <c r="P4" s="878"/>
      <c r="Q4" s="183"/>
      <c r="R4" s="183"/>
    </row>
    <row r="5" spans="1:18">
      <c r="A5" s="879" t="s">
        <v>663</v>
      </c>
      <c r="B5" s="1292" t="s">
        <v>261</v>
      </c>
      <c r="C5" s="1292" t="s">
        <v>309</v>
      </c>
      <c r="D5" s="1292" t="s">
        <v>249</v>
      </c>
      <c r="E5" s="1292" t="s">
        <v>262</v>
      </c>
      <c r="F5" s="1292" t="s">
        <v>260</v>
      </c>
      <c r="G5" s="1292" t="s">
        <v>351</v>
      </c>
      <c r="H5" s="1292" t="s">
        <v>263</v>
      </c>
      <c r="I5" s="1292" t="s">
        <v>364</v>
      </c>
      <c r="J5" s="1292" t="s">
        <v>900</v>
      </c>
      <c r="K5" s="1292" t="s">
        <v>901</v>
      </c>
      <c r="L5" s="1292" t="s">
        <v>902</v>
      </c>
      <c r="M5" s="1292" t="s">
        <v>903</v>
      </c>
      <c r="N5" s="1292" t="s">
        <v>904</v>
      </c>
      <c r="O5" s="1292" t="s">
        <v>905</v>
      </c>
      <c r="P5" s="183"/>
      <c r="Q5" s="183"/>
    </row>
    <row r="6" spans="1:18">
      <c r="A6" s="1059"/>
      <c r="P6" s="183"/>
      <c r="Q6" s="183"/>
    </row>
    <row r="7" spans="1:18" ht="13.15" customHeight="1">
      <c r="A7" s="1059">
        <v>1</v>
      </c>
      <c r="B7" s="44" t="s">
        <v>219</v>
      </c>
      <c r="C7" s="1615">
        <v>2014</v>
      </c>
      <c r="D7" s="44"/>
      <c r="E7" s="44"/>
      <c r="F7" s="44"/>
      <c r="G7" s="44"/>
      <c r="H7" s="44"/>
      <c r="I7" s="44"/>
      <c r="J7" s="44"/>
      <c r="K7" s="44"/>
      <c r="L7" s="44"/>
      <c r="M7" s="44"/>
      <c r="N7" s="44"/>
      <c r="O7" s="44"/>
      <c r="P7" s="552"/>
    </row>
    <row r="8" spans="1:18" ht="13.15" customHeight="1">
      <c r="A8" s="1059">
        <f>+A7+1</f>
        <v>2</v>
      </c>
      <c r="B8" s="44" t="s">
        <v>890</v>
      </c>
      <c r="C8" s="1293" t="s">
        <v>891</v>
      </c>
      <c r="D8" s="43"/>
      <c r="E8" s="43"/>
      <c r="F8" s="43"/>
      <c r="G8" s="43"/>
      <c r="H8" s="43"/>
      <c r="I8" s="43"/>
      <c r="J8" s="43"/>
      <c r="K8" s="43"/>
      <c r="L8" s="43"/>
      <c r="M8" s="43"/>
      <c r="N8" s="43"/>
      <c r="O8" s="43"/>
      <c r="P8" s="552"/>
    </row>
    <row r="9" spans="1:18">
      <c r="A9" s="1059">
        <f t="shared" ref="A9:A55" si="0">+A8+1</f>
        <v>3</v>
      </c>
      <c r="B9" s="44"/>
      <c r="C9" s="1778"/>
      <c r="D9" s="1778"/>
      <c r="E9" s="1778"/>
      <c r="F9" s="1778"/>
      <c r="G9" s="1778"/>
      <c r="H9" s="1778"/>
      <c r="I9" s="1778"/>
      <c r="J9" s="1778"/>
      <c r="K9" s="1778"/>
      <c r="L9" s="1778"/>
      <c r="M9" s="1778"/>
      <c r="N9" s="1778"/>
      <c r="O9" s="44"/>
      <c r="P9" s="552"/>
    </row>
    <row r="10" spans="1:18">
      <c r="A10" s="1059">
        <f t="shared" si="0"/>
        <v>4</v>
      </c>
      <c r="B10" s="79"/>
      <c r="C10" s="1299" t="s">
        <v>221</v>
      </c>
      <c r="D10" s="1299" t="s">
        <v>222</v>
      </c>
      <c r="E10" s="1299" t="s">
        <v>223</v>
      </c>
      <c r="F10" s="1299" t="s">
        <v>224</v>
      </c>
      <c r="G10" s="1299" t="s">
        <v>220</v>
      </c>
      <c r="H10" s="1299" t="s">
        <v>225</v>
      </c>
      <c r="I10" s="1299" t="s">
        <v>226</v>
      </c>
      <c r="J10" s="1299" t="s">
        <v>227</v>
      </c>
      <c r="K10" s="1299" t="s">
        <v>228</v>
      </c>
      <c r="L10" s="1299" t="s">
        <v>229</v>
      </c>
      <c r="M10" s="1299" t="s">
        <v>230</v>
      </c>
      <c r="N10" s="1299" t="s">
        <v>231</v>
      </c>
      <c r="O10" s="1299" t="s">
        <v>892</v>
      </c>
      <c r="P10" s="552"/>
    </row>
    <row r="11" spans="1:18">
      <c r="A11" s="1059">
        <f t="shared" si="0"/>
        <v>5</v>
      </c>
      <c r="B11" s="79" t="s">
        <v>893</v>
      </c>
      <c r="C11" s="1486">
        <v>7</v>
      </c>
      <c r="D11" s="1486">
        <v>6</v>
      </c>
      <c r="E11" s="1486">
        <v>4</v>
      </c>
      <c r="F11" s="1486">
        <v>15</v>
      </c>
      <c r="G11" s="1486">
        <v>22</v>
      </c>
      <c r="H11" s="1486">
        <v>20</v>
      </c>
      <c r="I11" s="1486">
        <v>14</v>
      </c>
      <c r="J11" s="1486">
        <v>20</v>
      </c>
      <c r="K11" s="1486">
        <v>10</v>
      </c>
      <c r="L11" s="1486">
        <v>2</v>
      </c>
      <c r="M11" s="1486">
        <v>18</v>
      </c>
      <c r="N11" s="1486">
        <v>1</v>
      </c>
      <c r="O11" s="594"/>
      <c r="P11" s="552"/>
    </row>
    <row r="12" spans="1:18">
      <c r="A12" s="1059">
        <f t="shared" si="0"/>
        <v>6</v>
      </c>
      <c r="B12" s="79" t="s">
        <v>894</v>
      </c>
      <c r="C12" s="1486">
        <v>900</v>
      </c>
      <c r="D12" s="1486">
        <v>2000</v>
      </c>
      <c r="E12" s="1486">
        <v>1000</v>
      </c>
      <c r="F12" s="1486">
        <v>700</v>
      </c>
      <c r="G12" s="1486">
        <v>1700</v>
      </c>
      <c r="H12" s="1486">
        <v>1500</v>
      </c>
      <c r="I12" s="1486">
        <v>1500</v>
      </c>
      <c r="J12" s="1486">
        <v>1700</v>
      </c>
      <c r="K12" s="1486">
        <v>1600</v>
      </c>
      <c r="L12" s="1486">
        <v>1700</v>
      </c>
      <c r="M12" s="1486">
        <v>800</v>
      </c>
      <c r="N12" s="1486">
        <v>2000</v>
      </c>
      <c r="O12" s="594"/>
      <c r="P12" s="552"/>
    </row>
    <row r="13" spans="1:18">
      <c r="A13" s="1059">
        <f t="shared" si="0"/>
        <v>7</v>
      </c>
      <c r="B13" s="79"/>
      <c r="C13" s="594"/>
      <c r="D13" s="594"/>
      <c r="E13" s="594"/>
      <c r="F13" s="594"/>
      <c r="G13" s="594"/>
      <c r="H13" s="594"/>
      <c r="I13" s="594"/>
      <c r="J13" s="594"/>
      <c r="K13" s="594"/>
      <c r="L13" s="594"/>
      <c r="M13" s="594"/>
      <c r="N13" s="594"/>
      <c r="O13" s="594"/>
      <c r="P13" s="552"/>
    </row>
    <row r="14" spans="1:18">
      <c r="A14" s="1059">
        <f t="shared" si="0"/>
        <v>8</v>
      </c>
      <c r="B14" s="1300" t="s">
        <v>895</v>
      </c>
      <c r="C14" s="594"/>
      <c r="D14" s="594"/>
      <c r="E14" s="594"/>
      <c r="F14" s="594"/>
      <c r="G14" s="594"/>
      <c r="H14" s="594"/>
      <c r="I14" s="594"/>
      <c r="J14" s="594"/>
      <c r="K14" s="594"/>
      <c r="L14" s="594"/>
      <c r="M14" s="594"/>
      <c r="N14" s="594"/>
      <c r="O14" s="594"/>
      <c r="P14" s="552"/>
    </row>
    <row r="15" spans="1:18">
      <c r="A15" s="1127">
        <f>+A14+0.01</f>
        <v>8.01</v>
      </c>
      <c r="B15" s="594" t="s">
        <v>1641</v>
      </c>
      <c r="C15" s="1487">
        <v>55</v>
      </c>
      <c r="D15" s="1487">
        <v>49</v>
      </c>
      <c r="E15" s="1487">
        <v>45</v>
      </c>
      <c r="F15" s="1487">
        <v>33</v>
      </c>
      <c r="G15" s="1487">
        <v>45</v>
      </c>
      <c r="H15" s="1487">
        <v>52</v>
      </c>
      <c r="I15" s="1487">
        <v>38</v>
      </c>
      <c r="J15" s="1487">
        <v>56</v>
      </c>
      <c r="K15" s="1487">
        <v>55</v>
      </c>
      <c r="L15" s="1487">
        <v>41</v>
      </c>
      <c r="M15" s="1487">
        <v>46</v>
      </c>
      <c r="N15" s="1487">
        <v>42</v>
      </c>
      <c r="O15" s="1066">
        <f>+SUM(C15:N15)/12</f>
        <v>46.416666666666664</v>
      </c>
      <c r="P15" s="552"/>
    </row>
    <row r="16" spans="1:18">
      <c r="A16" s="1127">
        <f t="shared" ref="A16:A27" si="1">+A15+0.01</f>
        <v>8.02</v>
      </c>
      <c r="B16" s="594" t="s">
        <v>1642</v>
      </c>
      <c r="C16" s="1487">
        <v>38.847999999999999</v>
      </c>
      <c r="D16" s="1487">
        <v>40.323999999999998</v>
      </c>
      <c r="E16" s="1487">
        <v>33.953000000000003</v>
      </c>
      <c r="F16" s="1487">
        <v>26.734999999999999</v>
      </c>
      <c r="G16" s="1487">
        <v>48.097000000000001</v>
      </c>
      <c r="H16" s="1487">
        <v>55.7</v>
      </c>
      <c r="I16" s="1487">
        <v>61.366999999999997</v>
      </c>
      <c r="J16" s="1487">
        <v>62.005000000000003</v>
      </c>
      <c r="K16" s="1487">
        <v>59.241</v>
      </c>
      <c r="L16" s="1487">
        <v>50.088999999999999</v>
      </c>
      <c r="M16" s="1487">
        <v>35.106999999999999</v>
      </c>
      <c r="N16" s="1487">
        <v>35.298999999999999</v>
      </c>
      <c r="O16" s="1066">
        <f t="shared" ref="O16:O29" si="2">+SUM(C16:N16)/12</f>
        <v>45.563749999999999</v>
      </c>
      <c r="P16" s="552"/>
    </row>
    <row r="17" spans="1:21">
      <c r="A17" s="1127">
        <f t="shared" si="1"/>
        <v>8.0299999999999994</v>
      </c>
      <c r="B17" s="594" t="s">
        <v>1643</v>
      </c>
      <c r="C17" s="1487">
        <v>162.00299999999999</v>
      </c>
      <c r="D17" s="1487">
        <v>153.24</v>
      </c>
      <c r="E17" s="1487">
        <v>142.267</v>
      </c>
      <c r="F17" s="1487">
        <v>113.45399999999999</v>
      </c>
      <c r="G17" s="1487">
        <v>162.04</v>
      </c>
      <c r="H17" s="1487">
        <v>176.369</v>
      </c>
      <c r="I17" s="1487">
        <v>191.29599999999999</v>
      </c>
      <c r="J17" s="1487">
        <v>199.137</v>
      </c>
      <c r="K17" s="1487">
        <v>191.625</v>
      </c>
      <c r="L17" s="1487">
        <v>164</v>
      </c>
      <c r="M17" s="1487">
        <v>138.042</v>
      </c>
      <c r="N17" s="1487">
        <v>132.41399999999999</v>
      </c>
      <c r="O17" s="1066">
        <f t="shared" si="2"/>
        <v>160.49058333333332</v>
      </c>
      <c r="P17" s="552"/>
    </row>
    <row r="18" spans="1:21">
      <c r="A18" s="1127">
        <f t="shared" si="1"/>
        <v>8.0399999999999991</v>
      </c>
      <c r="B18" s="594" t="s">
        <v>1644</v>
      </c>
      <c r="C18" s="1487">
        <v>4</v>
      </c>
      <c r="D18" s="1487">
        <v>3</v>
      </c>
      <c r="E18" s="1487">
        <v>3</v>
      </c>
      <c r="F18" s="1487">
        <v>2</v>
      </c>
      <c r="G18" s="1487">
        <v>3</v>
      </c>
      <c r="H18" s="1487">
        <v>4</v>
      </c>
      <c r="I18" s="1487">
        <v>3</v>
      </c>
      <c r="J18" s="1487">
        <v>4</v>
      </c>
      <c r="K18" s="1487">
        <v>3</v>
      </c>
      <c r="L18" s="1487">
        <v>3</v>
      </c>
      <c r="M18" s="1487">
        <v>3</v>
      </c>
      <c r="N18" s="1487">
        <v>3</v>
      </c>
      <c r="O18" s="1066">
        <f t="shared" si="2"/>
        <v>3.1666666666666665</v>
      </c>
      <c r="P18" s="552"/>
    </row>
    <row r="19" spans="1:21">
      <c r="A19" s="1127">
        <f t="shared" si="1"/>
        <v>8.0499999999999989</v>
      </c>
      <c r="B19" s="594" t="s">
        <v>1645</v>
      </c>
      <c r="C19" s="1487">
        <v>133.68</v>
      </c>
      <c r="D19" s="1487">
        <v>139.03899999999999</v>
      </c>
      <c r="E19" s="1487">
        <v>117.839</v>
      </c>
      <c r="F19" s="1487">
        <v>94.478999999999999</v>
      </c>
      <c r="G19" s="1487">
        <v>165.78</v>
      </c>
      <c r="H19" s="1487">
        <v>198.78</v>
      </c>
      <c r="I19" s="1487">
        <v>210.21</v>
      </c>
      <c r="J19" s="1487">
        <v>212.714</v>
      </c>
      <c r="K19" s="1487">
        <v>209.88</v>
      </c>
      <c r="L19" s="1487">
        <v>175.94499999999999</v>
      </c>
      <c r="M19" s="1487">
        <v>115.81100000000001</v>
      </c>
      <c r="N19" s="1487">
        <v>121.38</v>
      </c>
      <c r="O19" s="1066">
        <f t="shared" si="2"/>
        <v>157.96141666666665</v>
      </c>
      <c r="P19" s="552"/>
    </row>
    <row r="20" spans="1:21">
      <c r="A20" s="1127">
        <f t="shared" si="1"/>
        <v>8.0599999999999987</v>
      </c>
      <c r="B20" s="594" t="s">
        <v>1646</v>
      </c>
      <c r="C20" s="1487">
        <v>28.332999999999998</v>
      </c>
      <c r="D20" s="1487">
        <v>26.495000000000001</v>
      </c>
      <c r="E20" s="1487">
        <v>23.131</v>
      </c>
      <c r="F20" s="1487">
        <v>17.949000000000002</v>
      </c>
      <c r="G20" s="1487">
        <v>22.995999999999999</v>
      </c>
      <c r="H20" s="1487">
        <v>27.619</v>
      </c>
      <c r="I20" s="1487">
        <v>28.143999999999998</v>
      </c>
      <c r="J20" s="1487">
        <v>31.048999999999999</v>
      </c>
      <c r="K20" s="1487">
        <v>29.257000000000001</v>
      </c>
      <c r="L20" s="1487">
        <v>21.091000000000001</v>
      </c>
      <c r="M20" s="1487">
        <v>24.018000000000001</v>
      </c>
      <c r="N20" s="1487">
        <v>23.582999999999998</v>
      </c>
      <c r="O20" s="1066">
        <f t="shared" si="2"/>
        <v>25.305416666666662</v>
      </c>
      <c r="P20" s="552"/>
    </row>
    <row r="21" spans="1:21">
      <c r="A21" s="1127">
        <f t="shared" si="1"/>
        <v>8.0699999999999985</v>
      </c>
      <c r="B21" s="594" t="s">
        <v>1647</v>
      </c>
      <c r="C21" s="1487">
        <v>12</v>
      </c>
      <c r="D21" s="1487">
        <v>13</v>
      </c>
      <c r="E21" s="1487">
        <v>13</v>
      </c>
      <c r="F21" s="1487">
        <v>10</v>
      </c>
      <c r="G21" s="1487">
        <v>11</v>
      </c>
      <c r="H21" s="1487">
        <v>13</v>
      </c>
      <c r="I21" s="1487">
        <v>16</v>
      </c>
      <c r="J21" s="1487">
        <v>14</v>
      </c>
      <c r="K21" s="1487">
        <v>15</v>
      </c>
      <c r="L21" s="1487">
        <v>13</v>
      </c>
      <c r="M21" s="1487">
        <v>12</v>
      </c>
      <c r="N21" s="1487">
        <v>12</v>
      </c>
      <c r="O21" s="1066">
        <f t="shared" si="2"/>
        <v>12.833333333333334</v>
      </c>
      <c r="P21" s="552"/>
    </row>
    <row r="22" spans="1:21">
      <c r="A22" s="1127">
        <f t="shared" si="1"/>
        <v>8.0799999999999983</v>
      </c>
      <c r="B22" s="594" t="s">
        <v>1648</v>
      </c>
      <c r="C22" s="1487">
        <v>62.79</v>
      </c>
      <c r="D22" s="1487">
        <v>65.262</v>
      </c>
      <c r="E22" s="1487">
        <v>47.603000000000002</v>
      </c>
      <c r="F22" s="1487">
        <v>43.756999999999998</v>
      </c>
      <c r="G22" s="1487">
        <v>64.706999999999994</v>
      </c>
      <c r="H22" s="1487">
        <v>74.602999999999994</v>
      </c>
      <c r="I22" s="1487">
        <v>77.051000000000002</v>
      </c>
      <c r="J22" s="1487">
        <v>77.703000000000003</v>
      </c>
      <c r="K22" s="1487">
        <v>76.153000000000006</v>
      </c>
      <c r="L22" s="1487">
        <v>60.719000000000001</v>
      </c>
      <c r="M22" s="1487">
        <v>56.610999999999997</v>
      </c>
      <c r="N22" s="1487">
        <v>54.87</v>
      </c>
      <c r="O22" s="1066">
        <f t="shared" si="2"/>
        <v>63.485750000000003</v>
      </c>
      <c r="P22" s="552"/>
    </row>
    <row r="23" spans="1:21" ht="13.5" customHeight="1">
      <c r="A23" s="1127">
        <f t="shared" si="1"/>
        <v>8.0899999999999981</v>
      </c>
      <c r="B23" s="594" t="s">
        <v>1649</v>
      </c>
      <c r="C23" s="1487">
        <v>0</v>
      </c>
      <c r="D23" s="1487">
        <v>0</v>
      </c>
      <c r="E23" s="1487">
        <v>0</v>
      </c>
      <c r="F23" s="1487">
        <v>0</v>
      </c>
      <c r="G23" s="1487">
        <v>0</v>
      </c>
      <c r="H23" s="1487">
        <v>0</v>
      </c>
      <c r="I23" s="1487">
        <v>0</v>
      </c>
      <c r="J23" s="1487">
        <v>0</v>
      </c>
      <c r="K23" s="1487">
        <v>0</v>
      </c>
      <c r="L23" s="1487">
        <v>0</v>
      </c>
      <c r="M23" s="1487">
        <v>0</v>
      </c>
      <c r="N23" s="1487">
        <v>0</v>
      </c>
      <c r="O23" s="1066">
        <f t="shared" si="2"/>
        <v>0</v>
      </c>
      <c r="P23" s="552"/>
    </row>
    <row r="24" spans="1:21">
      <c r="A24" s="1127">
        <f t="shared" si="1"/>
        <v>8.0999999999999979</v>
      </c>
      <c r="B24" s="594" t="s">
        <v>1650</v>
      </c>
      <c r="C24" s="1487">
        <v>253.77099999999999</v>
      </c>
      <c r="D24" s="1487">
        <v>225.357</v>
      </c>
      <c r="E24" s="1487">
        <v>202.25299999999999</v>
      </c>
      <c r="F24" s="1487">
        <v>150.583</v>
      </c>
      <c r="G24" s="1487">
        <v>219.56200000000001</v>
      </c>
      <c r="H24" s="1487">
        <v>246.41399999999999</v>
      </c>
      <c r="I24" s="1487">
        <v>245.684</v>
      </c>
      <c r="J24" s="1487">
        <v>270.84399999999999</v>
      </c>
      <c r="K24" s="1487">
        <v>254.279</v>
      </c>
      <c r="L24" s="1487">
        <v>215.989</v>
      </c>
      <c r="M24" s="1487">
        <v>205.499</v>
      </c>
      <c r="N24" s="1487">
        <v>191.357</v>
      </c>
      <c r="O24" s="1066">
        <f t="shared" si="2"/>
        <v>223.46599999999998</v>
      </c>
      <c r="P24" s="552"/>
    </row>
    <row r="25" spans="1:21">
      <c r="A25" s="1127">
        <f t="shared" si="1"/>
        <v>8.1099999999999977</v>
      </c>
      <c r="B25" s="594" t="s">
        <v>1651</v>
      </c>
      <c r="C25" s="1487">
        <v>1769.3050000000001</v>
      </c>
      <c r="D25" s="1487">
        <v>1526.6210000000001</v>
      </c>
      <c r="E25" s="1487">
        <v>1402.67</v>
      </c>
      <c r="F25" s="1487">
        <v>1259.5170000000001</v>
      </c>
      <c r="G25" s="1487">
        <v>1209.153</v>
      </c>
      <c r="H25" s="1487">
        <v>1509.6869999999999</v>
      </c>
      <c r="I25" s="1487">
        <v>1464.973</v>
      </c>
      <c r="J25" s="1487">
        <v>1601.915</v>
      </c>
      <c r="K25" s="1487">
        <v>1513.9570000000001</v>
      </c>
      <c r="L25" s="1487">
        <v>1259.7819999999999</v>
      </c>
      <c r="M25" s="1487">
        <v>1454.4090000000001</v>
      </c>
      <c r="N25" s="1487">
        <v>1345.692</v>
      </c>
      <c r="O25" s="1066">
        <f t="shared" si="2"/>
        <v>1443.1400833333335</v>
      </c>
      <c r="P25" s="552"/>
    </row>
    <row r="26" spans="1:21">
      <c r="A26" s="1127">
        <f t="shared" si="1"/>
        <v>8.1199999999999974</v>
      </c>
      <c r="B26" s="594" t="s">
        <v>1652</v>
      </c>
      <c r="C26" s="1487">
        <v>321.959</v>
      </c>
      <c r="D26" s="1487">
        <v>285.68099999999998</v>
      </c>
      <c r="E26" s="1487">
        <v>256.07499999999999</v>
      </c>
      <c r="F26" s="1487">
        <v>219.68</v>
      </c>
      <c r="G26" s="1487">
        <v>137.023</v>
      </c>
      <c r="H26" s="1487">
        <v>241</v>
      </c>
      <c r="I26" s="1487">
        <v>252</v>
      </c>
      <c r="J26" s="1487">
        <v>271</v>
      </c>
      <c r="K26" s="1487">
        <v>256</v>
      </c>
      <c r="L26" s="1487">
        <v>178</v>
      </c>
      <c r="M26" s="1487">
        <v>265</v>
      </c>
      <c r="N26" s="1487">
        <v>252</v>
      </c>
      <c r="O26" s="1066">
        <f t="shared" si="2"/>
        <v>244.61816666666664</v>
      </c>
      <c r="P26" s="552"/>
    </row>
    <row r="27" spans="1:21">
      <c r="A27" s="1492">
        <f t="shared" si="1"/>
        <v>8.1299999999999972</v>
      </c>
      <c r="B27" s="1486" t="s">
        <v>1507</v>
      </c>
      <c r="C27" s="1487"/>
      <c r="D27" s="1488"/>
      <c r="E27" s="1488"/>
      <c r="F27" s="1488"/>
      <c r="G27" s="1488"/>
      <c r="H27" s="1488"/>
      <c r="I27" s="1488"/>
      <c r="J27" s="1488"/>
      <c r="K27" s="1487"/>
      <c r="L27" s="1488"/>
      <c r="M27" s="1488"/>
      <c r="N27" s="1488"/>
      <c r="O27" s="1066">
        <f t="shared" si="2"/>
        <v>0</v>
      </c>
      <c r="P27" s="552"/>
    </row>
    <row r="28" spans="1:21" ht="13.5" customHeight="1">
      <c r="A28" s="1492" t="s">
        <v>1498</v>
      </c>
      <c r="B28" s="1486" t="s">
        <v>1507</v>
      </c>
      <c r="C28" s="1489"/>
      <c r="D28" s="1489"/>
      <c r="E28" s="1489"/>
      <c r="F28" s="1489"/>
      <c r="G28" s="1489"/>
      <c r="H28" s="1489"/>
      <c r="I28" s="1489"/>
      <c r="J28" s="1489"/>
      <c r="K28" s="1489"/>
      <c r="L28" s="1489"/>
      <c r="M28" s="1489"/>
      <c r="N28" s="1489"/>
      <c r="O28" s="1066">
        <f t="shared" si="2"/>
        <v>0</v>
      </c>
      <c r="P28" s="552"/>
    </row>
    <row r="29" spans="1:21" ht="13.5" thickBot="1">
      <c r="A29" s="1492" t="s">
        <v>1504</v>
      </c>
      <c r="B29" s="1493" t="s">
        <v>1507</v>
      </c>
      <c r="C29" s="1490"/>
      <c r="D29" s="1491"/>
      <c r="E29" s="1491"/>
      <c r="F29" s="1491"/>
      <c r="G29" s="1491"/>
      <c r="H29" s="1491"/>
      <c r="I29" s="1491"/>
      <c r="J29" s="1491"/>
      <c r="K29" s="1490"/>
      <c r="L29" s="1491"/>
      <c r="M29" s="1491"/>
      <c r="N29" s="1491"/>
      <c r="O29" s="1535">
        <f t="shared" si="2"/>
        <v>0</v>
      </c>
      <c r="P29" s="552"/>
    </row>
    <row r="30" spans="1:21" ht="13.5" thickTop="1">
      <c r="A30" s="1059">
        <f>+A14+1</f>
        <v>9</v>
      </c>
      <c r="B30" s="881" t="str">
        <f>+"Total "&amp;B14&amp;"  "&amp;A59</f>
        <v>Total Network Customers  (1)</v>
      </c>
      <c r="C30" s="1301">
        <f t="shared" ref="C30:O30" si="3">SUM(C15:C29)</f>
        <v>2841.6889999999999</v>
      </c>
      <c r="D30" s="1301">
        <f t="shared" si="3"/>
        <v>2527.0190000000002</v>
      </c>
      <c r="E30" s="1301">
        <f t="shared" si="3"/>
        <v>2286.7909999999997</v>
      </c>
      <c r="F30" s="1301">
        <f t="shared" si="3"/>
        <v>1971.1540000000002</v>
      </c>
      <c r="G30" s="1301">
        <f t="shared" si="3"/>
        <v>2088.3580000000002</v>
      </c>
      <c r="H30" s="1301">
        <f t="shared" si="3"/>
        <v>2599.172</v>
      </c>
      <c r="I30" s="1301">
        <f t="shared" si="3"/>
        <v>2587.7249999999999</v>
      </c>
      <c r="J30" s="1301">
        <f t="shared" si="3"/>
        <v>2800.3670000000002</v>
      </c>
      <c r="K30" s="1301">
        <f t="shared" si="3"/>
        <v>2663.3919999999998</v>
      </c>
      <c r="L30" s="1301">
        <f t="shared" si="3"/>
        <v>2182.6149999999998</v>
      </c>
      <c r="M30" s="1301">
        <f t="shared" si="3"/>
        <v>2355.4970000000003</v>
      </c>
      <c r="N30" s="1301">
        <f t="shared" si="3"/>
        <v>2213.5949999999998</v>
      </c>
      <c r="O30" s="1301">
        <f t="shared" si="3"/>
        <v>2426.4478333333332</v>
      </c>
      <c r="P30" s="552"/>
    </row>
    <row r="31" spans="1:21">
      <c r="A31" s="1059">
        <f t="shared" si="0"/>
        <v>10</v>
      </c>
      <c r="B31" s="880"/>
      <c r="C31" s="1301"/>
      <c r="D31" s="1301"/>
      <c r="E31" s="1301"/>
      <c r="F31" s="1301"/>
      <c r="G31" s="1301"/>
      <c r="H31" s="1301"/>
      <c r="I31" s="1301"/>
      <c r="J31" s="1301"/>
      <c r="K31" s="1301"/>
      <c r="L31" s="1301"/>
      <c r="M31" s="1301"/>
      <c r="N31" s="1301"/>
      <c r="O31" s="1301"/>
      <c r="P31" s="552"/>
    </row>
    <row r="32" spans="1:21">
      <c r="A32" s="1059">
        <f t="shared" si="0"/>
        <v>11</v>
      </c>
      <c r="B32" s="1302" t="str">
        <f>+"Grandfathered Contracts "&amp;A60</f>
        <v>Grandfathered Contracts (2)</v>
      </c>
      <c r="C32" s="1067"/>
      <c r="D32" s="1066"/>
      <c r="E32" s="1066"/>
      <c r="F32" s="1066"/>
      <c r="G32" s="1066"/>
      <c r="H32" s="1066"/>
      <c r="I32" s="1066"/>
      <c r="J32" s="1066"/>
      <c r="K32" s="1067"/>
      <c r="L32" s="1066"/>
      <c r="M32" s="1066"/>
      <c r="N32" s="1066"/>
      <c r="O32" s="1066"/>
      <c r="P32" s="183"/>
      <c r="R32" s="183"/>
      <c r="S32" s="183"/>
      <c r="T32" s="183"/>
      <c r="U32" s="183"/>
    </row>
    <row r="33" spans="1:21" s="183" customFormat="1">
      <c r="A33" s="1127">
        <f>+A32+0.01</f>
        <v>11.01</v>
      </c>
      <c r="B33" s="594" t="str">
        <f>+"SPA DEGRAY  "</f>
        <v xml:space="preserve">SPA DEGRAY  </v>
      </c>
      <c r="C33" s="1494">
        <v>86</v>
      </c>
      <c r="D33" s="1494">
        <v>86</v>
      </c>
      <c r="E33" s="1494">
        <v>86</v>
      </c>
      <c r="F33" s="1494">
        <v>86</v>
      </c>
      <c r="G33" s="1494">
        <v>86</v>
      </c>
      <c r="H33" s="1494">
        <v>86</v>
      </c>
      <c r="I33" s="1494">
        <v>86</v>
      </c>
      <c r="J33" s="1494">
        <v>86</v>
      </c>
      <c r="K33" s="1494">
        <v>86</v>
      </c>
      <c r="L33" s="1494">
        <v>86</v>
      </c>
      <c r="M33" s="1494">
        <v>86</v>
      </c>
      <c r="N33" s="1494">
        <v>86</v>
      </c>
      <c r="O33" s="1066">
        <f t="shared" ref="O33:O37" si="4">+SUM(C33:N33)/12</f>
        <v>86</v>
      </c>
    </row>
    <row r="34" spans="1:21">
      <c r="A34" s="1127">
        <f t="shared" ref="A34:A35" si="5">+A33+0.01</f>
        <v>11.02</v>
      </c>
      <c r="B34" s="1401" t="s">
        <v>1653</v>
      </c>
      <c r="C34" s="1494">
        <v>75</v>
      </c>
      <c r="D34" s="1494">
        <v>75</v>
      </c>
      <c r="E34" s="1494">
        <v>75</v>
      </c>
      <c r="F34" s="1494">
        <v>75</v>
      </c>
      <c r="G34" s="1494">
        <v>75</v>
      </c>
      <c r="H34" s="1494">
        <v>75</v>
      </c>
      <c r="I34" s="1494">
        <v>75</v>
      </c>
      <c r="J34" s="1494">
        <v>75</v>
      </c>
      <c r="K34" s="1494">
        <v>75</v>
      </c>
      <c r="L34" s="1494">
        <v>75</v>
      </c>
      <c r="M34" s="1494">
        <v>75</v>
      </c>
      <c r="N34" s="1494">
        <v>75</v>
      </c>
      <c r="O34" s="1536">
        <f t="shared" si="4"/>
        <v>75</v>
      </c>
      <c r="P34" s="183"/>
      <c r="R34" s="183"/>
      <c r="S34" s="183"/>
      <c r="T34" s="183"/>
      <c r="U34" s="183"/>
    </row>
    <row r="35" spans="1:21">
      <c r="A35" s="1492">
        <f t="shared" si="5"/>
        <v>11.03</v>
      </c>
      <c r="B35" s="1486" t="s">
        <v>1507</v>
      </c>
      <c r="C35" s="1487"/>
      <c r="D35" s="1488"/>
      <c r="E35" s="1488"/>
      <c r="F35" s="1488"/>
      <c r="G35" s="1488"/>
      <c r="H35" s="1488"/>
      <c r="I35" s="1488"/>
      <c r="J35" s="1488"/>
      <c r="K35" s="1487"/>
      <c r="L35" s="1488"/>
      <c r="M35" s="1488"/>
      <c r="N35" s="1488"/>
      <c r="O35" s="1066">
        <f t="shared" si="4"/>
        <v>0</v>
      </c>
      <c r="P35" s="183"/>
      <c r="R35" s="183"/>
      <c r="S35" s="183"/>
      <c r="T35" s="183"/>
      <c r="U35" s="183"/>
    </row>
    <row r="36" spans="1:21">
      <c r="A36" s="1492" t="s">
        <v>1497</v>
      </c>
      <c r="B36" s="1486" t="s">
        <v>1507</v>
      </c>
      <c r="C36" s="1487"/>
      <c r="D36" s="1488"/>
      <c r="E36" s="1488"/>
      <c r="F36" s="1488"/>
      <c r="G36" s="1488"/>
      <c r="H36" s="1488"/>
      <c r="I36" s="1488"/>
      <c r="J36" s="1488"/>
      <c r="K36" s="1487"/>
      <c r="L36" s="1488"/>
      <c r="M36" s="1488"/>
      <c r="N36" s="1488"/>
      <c r="O36" s="1066">
        <f t="shared" si="4"/>
        <v>0</v>
      </c>
      <c r="P36" s="183"/>
      <c r="R36" s="183"/>
      <c r="S36" s="183"/>
      <c r="T36" s="183"/>
      <c r="U36" s="183"/>
    </row>
    <row r="37" spans="1:21" ht="13.5" thickBot="1">
      <c r="A37" s="1492" t="s">
        <v>1505</v>
      </c>
      <c r="B37" s="1493" t="s">
        <v>1507</v>
      </c>
      <c r="C37" s="1490"/>
      <c r="D37" s="1491"/>
      <c r="E37" s="1491"/>
      <c r="F37" s="1491"/>
      <c r="G37" s="1491"/>
      <c r="H37" s="1491"/>
      <c r="I37" s="1491"/>
      <c r="J37" s="1491"/>
      <c r="K37" s="1490"/>
      <c r="L37" s="1491"/>
      <c r="M37" s="1491"/>
      <c r="N37" s="1491"/>
      <c r="O37" s="1535">
        <f t="shared" si="4"/>
        <v>0</v>
      </c>
      <c r="P37" s="183"/>
      <c r="R37" s="183"/>
      <c r="S37" s="183"/>
      <c r="T37" s="183"/>
      <c r="U37" s="183"/>
    </row>
    <row r="38" spans="1:21" ht="13.5" thickTop="1">
      <c r="A38" s="1059">
        <f>+A32+1</f>
        <v>12</v>
      </c>
      <c r="B38" s="881" t="str">
        <f>+"Total Grandfathered Contracts"&amp;"  "&amp;A61</f>
        <v>Total Grandfathered Contracts  (3)</v>
      </c>
      <c r="C38" s="1301">
        <f>SUM(C33:C37)</f>
        <v>161</v>
      </c>
      <c r="D38" s="1301">
        <f t="shared" ref="D38:O38" si="6">SUM(D33:D37)</f>
        <v>161</v>
      </c>
      <c r="E38" s="1301">
        <f t="shared" si="6"/>
        <v>161</v>
      </c>
      <c r="F38" s="1301">
        <f t="shared" si="6"/>
        <v>161</v>
      </c>
      <c r="G38" s="1301">
        <f t="shared" si="6"/>
        <v>161</v>
      </c>
      <c r="H38" s="1301">
        <f t="shared" si="6"/>
        <v>161</v>
      </c>
      <c r="I38" s="1301">
        <f t="shared" si="6"/>
        <v>161</v>
      </c>
      <c r="J38" s="1301">
        <f t="shared" si="6"/>
        <v>161</v>
      </c>
      <c r="K38" s="1301">
        <f t="shared" si="6"/>
        <v>161</v>
      </c>
      <c r="L38" s="1301">
        <f t="shared" si="6"/>
        <v>161</v>
      </c>
      <c r="M38" s="1301">
        <f t="shared" si="6"/>
        <v>161</v>
      </c>
      <c r="N38" s="1301">
        <f t="shared" si="6"/>
        <v>161</v>
      </c>
      <c r="O38" s="1301">
        <f t="shared" si="6"/>
        <v>161</v>
      </c>
      <c r="P38" s="183"/>
      <c r="R38" s="183"/>
      <c r="S38" s="183"/>
      <c r="T38" s="183"/>
      <c r="U38" s="183"/>
    </row>
    <row r="39" spans="1:21">
      <c r="A39" s="1059">
        <f t="shared" si="0"/>
        <v>13</v>
      </c>
      <c r="B39" s="880"/>
      <c r="C39" s="1301"/>
      <c r="D39" s="1301"/>
      <c r="E39" s="1301"/>
      <c r="F39" s="1301"/>
      <c r="G39" s="1301"/>
      <c r="H39" s="1301"/>
      <c r="I39" s="1301"/>
      <c r="J39" s="1301"/>
      <c r="K39" s="1301"/>
      <c r="L39" s="1301"/>
      <c r="M39" s="1301"/>
      <c r="N39" s="1301"/>
      <c r="O39" s="1301"/>
      <c r="P39" s="552"/>
    </row>
    <row r="40" spans="1:21">
      <c r="A40" s="1059">
        <f t="shared" si="0"/>
        <v>14</v>
      </c>
      <c r="B40" s="1300" t="s">
        <v>896</v>
      </c>
      <c r="C40" s="1067"/>
      <c r="D40" s="1066"/>
      <c r="E40" s="1066"/>
      <c r="F40" s="1066"/>
      <c r="G40" s="1066"/>
      <c r="H40" s="1066"/>
      <c r="I40" s="1066"/>
      <c r="J40" s="1066"/>
      <c r="K40" s="1067"/>
      <c r="L40" s="1066"/>
      <c r="M40" s="1066"/>
      <c r="N40" s="1066"/>
      <c r="O40" s="1066"/>
      <c r="P40" s="552"/>
    </row>
    <row r="41" spans="1:21">
      <c r="A41" s="1059">
        <f>+A40+0.01</f>
        <v>14.01</v>
      </c>
      <c r="B41" s="594" t="s">
        <v>1654</v>
      </c>
      <c r="C41" s="1487">
        <v>78</v>
      </c>
      <c r="D41" s="1487">
        <v>78</v>
      </c>
      <c r="E41" s="1487">
        <v>78</v>
      </c>
      <c r="F41" s="1487">
        <v>78</v>
      </c>
      <c r="G41" s="1487">
        <v>78</v>
      </c>
      <c r="H41" s="1487">
        <v>78</v>
      </c>
      <c r="I41" s="1487">
        <v>0</v>
      </c>
      <c r="J41" s="1487">
        <v>0</v>
      </c>
      <c r="K41" s="1487">
        <v>0</v>
      </c>
      <c r="L41" s="1487">
        <v>0</v>
      </c>
      <c r="M41" s="1487">
        <v>0</v>
      </c>
      <c r="N41" s="1487">
        <v>0</v>
      </c>
      <c r="O41" s="1066">
        <f t="shared" ref="O41:O44" si="7">+SUM(C41:N41)/12</f>
        <v>39</v>
      </c>
      <c r="P41" s="552"/>
    </row>
    <row r="42" spans="1:21">
      <c r="A42" s="1495">
        <f t="shared" ref="A42" si="8">+A41+0.01</f>
        <v>14.02</v>
      </c>
      <c r="B42" s="1486" t="s">
        <v>1507</v>
      </c>
      <c r="C42" s="1487"/>
      <c r="D42" s="1488"/>
      <c r="E42" s="1488"/>
      <c r="F42" s="1488"/>
      <c r="G42" s="1488"/>
      <c r="H42" s="1488"/>
      <c r="I42" s="1488"/>
      <c r="J42" s="1488"/>
      <c r="K42" s="1487"/>
      <c r="L42" s="1488"/>
      <c r="M42" s="1488"/>
      <c r="N42" s="1488"/>
      <c r="O42" s="1066">
        <f t="shared" si="7"/>
        <v>0</v>
      </c>
      <c r="P42" s="552"/>
    </row>
    <row r="43" spans="1:21">
      <c r="A43" s="1495" t="s">
        <v>1497</v>
      </c>
      <c r="B43" s="1486" t="s">
        <v>1507</v>
      </c>
      <c r="C43" s="1487"/>
      <c r="D43" s="1488"/>
      <c r="E43" s="1488"/>
      <c r="F43" s="1488"/>
      <c r="G43" s="1488"/>
      <c r="H43" s="1488"/>
      <c r="I43" s="1488"/>
      <c r="J43" s="1488"/>
      <c r="K43" s="1487"/>
      <c r="L43" s="1488"/>
      <c r="M43" s="1488"/>
      <c r="N43" s="1488"/>
      <c r="O43" s="1066">
        <f t="shared" si="7"/>
        <v>0</v>
      </c>
      <c r="P43" s="552"/>
    </row>
    <row r="44" spans="1:21" ht="13.5" thickBot="1">
      <c r="A44" s="1495" t="s">
        <v>1506</v>
      </c>
      <c r="B44" s="1493" t="s">
        <v>1507</v>
      </c>
      <c r="C44" s="1490"/>
      <c r="D44" s="1491"/>
      <c r="E44" s="1491"/>
      <c r="F44" s="1491"/>
      <c r="G44" s="1491"/>
      <c r="H44" s="1491"/>
      <c r="I44" s="1491"/>
      <c r="J44" s="1491"/>
      <c r="K44" s="1490"/>
      <c r="L44" s="1491"/>
      <c r="M44" s="1491"/>
      <c r="N44" s="1491"/>
      <c r="O44" s="1535">
        <f t="shared" si="7"/>
        <v>0</v>
      </c>
      <c r="P44" s="552"/>
    </row>
    <row r="45" spans="1:21" ht="13.5" thickTop="1">
      <c r="A45" s="1059">
        <f>+A40+1</f>
        <v>15</v>
      </c>
      <c r="B45" s="881" t="str">
        <f>+"Total "&amp;B40&amp;"  "&amp;A62</f>
        <v>Total Long Term Firm PTP  (4)</v>
      </c>
      <c r="C45" s="1303">
        <f>SUM(C41:C44)</f>
        <v>78</v>
      </c>
      <c r="D45" s="1303">
        <f t="shared" ref="D45:O45" si="9">SUM(D41:D44)</f>
        <v>78</v>
      </c>
      <c r="E45" s="1303">
        <f t="shared" si="9"/>
        <v>78</v>
      </c>
      <c r="F45" s="1303">
        <f t="shared" si="9"/>
        <v>78</v>
      </c>
      <c r="G45" s="1303">
        <f t="shared" si="9"/>
        <v>78</v>
      </c>
      <c r="H45" s="1303">
        <f t="shared" si="9"/>
        <v>78</v>
      </c>
      <c r="I45" s="1303">
        <f t="shared" si="9"/>
        <v>0</v>
      </c>
      <c r="J45" s="1303">
        <f t="shared" si="9"/>
        <v>0</v>
      </c>
      <c r="K45" s="1303">
        <f t="shared" si="9"/>
        <v>0</v>
      </c>
      <c r="L45" s="1303">
        <f t="shared" si="9"/>
        <v>0</v>
      </c>
      <c r="M45" s="1303">
        <f t="shared" si="9"/>
        <v>0</v>
      </c>
      <c r="N45" s="1303">
        <f t="shared" si="9"/>
        <v>0</v>
      </c>
      <c r="O45" s="1303">
        <f t="shared" si="9"/>
        <v>39</v>
      </c>
      <c r="P45" s="552"/>
    </row>
    <row r="46" spans="1:21">
      <c r="A46" s="1059">
        <f t="shared" si="0"/>
        <v>16</v>
      </c>
      <c r="B46" s="880"/>
      <c r="C46" s="1068"/>
      <c r="D46" s="1068"/>
      <c r="E46" s="1068"/>
      <c r="F46" s="1068"/>
      <c r="G46" s="1068"/>
      <c r="H46" s="1068"/>
      <c r="I46" s="1069"/>
      <c r="J46" s="1069"/>
      <c r="K46" s="1068"/>
      <c r="L46" s="1069"/>
      <c r="M46" s="1069"/>
      <c r="N46" s="1069"/>
      <c r="O46" s="1069"/>
      <c r="P46" s="552"/>
    </row>
    <row r="47" spans="1:21">
      <c r="A47" s="1059">
        <f t="shared" si="0"/>
        <v>17</v>
      </c>
      <c r="B47" s="1300" t="s">
        <v>897</v>
      </c>
      <c r="C47" s="1067"/>
      <c r="D47" s="1066"/>
      <c r="E47" s="1066"/>
      <c r="F47" s="1066"/>
      <c r="G47" s="1066"/>
      <c r="H47" s="1066"/>
      <c r="I47" s="1066"/>
      <c r="J47" s="1066"/>
      <c r="K47" s="1067"/>
      <c r="L47" s="1066"/>
      <c r="M47" s="1066"/>
      <c r="N47" s="1066"/>
      <c r="O47" s="1066"/>
      <c r="P47" s="552"/>
    </row>
    <row r="48" spans="1:21">
      <c r="A48" s="1059">
        <f t="shared" si="0"/>
        <v>18</v>
      </c>
      <c r="B48" s="79" t="s">
        <v>898</v>
      </c>
      <c r="C48" s="1496">
        <v>3619.3110000000001</v>
      </c>
      <c r="D48" s="1497">
        <v>3304.9810000000002</v>
      </c>
      <c r="E48" s="1497">
        <v>3031.2089999999998</v>
      </c>
      <c r="F48" s="1497">
        <v>2270.846</v>
      </c>
      <c r="G48" s="1497">
        <v>3134.6419999999998</v>
      </c>
      <c r="H48" s="1497">
        <v>3523.828</v>
      </c>
      <c r="I48" s="1497">
        <v>3836.2750000000001</v>
      </c>
      <c r="J48" s="1497">
        <v>3885.6329999999998</v>
      </c>
      <c r="K48" s="1496">
        <v>3473.6080000000002</v>
      </c>
      <c r="L48" s="1497">
        <v>2871.3850000000002</v>
      </c>
      <c r="M48" s="1497">
        <v>2876.5030000000002</v>
      </c>
      <c r="N48" s="1497">
        <v>2783.4050000000002</v>
      </c>
      <c r="O48" s="1537">
        <f t="shared" ref="O48" si="10">+SUM(C48:N48)/12</f>
        <v>3217.6354999999999</v>
      </c>
      <c r="P48" s="552"/>
    </row>
    <row r="49" spans="1:17">
      <c r="A49" s="1059">
        <f t="shared" si="0"/>
        <v>19</v>
      </c>
      <c r="B49" s="79"/>
      <c r="C49" s="1070"/>
      <c r="D49" s="1071"/>
      <c r="E49" s="1066"/>
      <c r="F49" s="1066"/>
      <c r="G49" s="1066"/>
      <c r="H49" s="1066"/>
      <c r="I49" s="1066"/>
      <c r="J49" s="1066"/>
      <c r="K49" s="1067"/>
      <c r="L49" s="1066"/>
      <c r="M49" s="1066"/>
      <c r="N49" s="1066"/>
      <c r="O49" s="1066"/>
      <c r="P49" s="552"/>
    </row>
    <row r="50" spans="1:17" ht="14.45" customHeight="1">
      <c r="A50" s="1059">
        <f t="shared" si="0"/>
        <v>20</v>
      </c>
      <c r="B50" s="1300" t="s">
        <v>899</v>
      </c>
      <c r="C50" s="1070"/>
      <c r="D50" s="1070"/>
      <c r="E50" s="1070"/>
      <c r="F50" s="1070"/>
      <c r="G50" s="1070"/>
      <c r="H50" s="1070"/>
      <c r="I50" s="1070"/>
      <c r="J50" s="1070"/>
      <c r="K50" s="1070"/>
      <c r="L50" s="1070"/>
      <c r="M50" s="1070"/>
      <c r="N50" s="1070"/>
      <c r="O50" s="1067"/>
      <c r="P50" s="552"/>
    </row>
    <row r="51" spans="1:17">
      <c r="A51" s="1059">
        <f t="shared" si="0"/>
        <v>21</v>
      </c>
      <c r="B51" s="1302" t="str">
        <f>+"EATO  "&amp;A63</f>
        <v>EATO  (5)</v>
      </c>
      <c r="C51" s="1304">
        <f>C30+C38+C45+C48</f>
        <v>6700</v>
      </c>
      <c r="D51" s="1304">
        <f t="shared" ref="D51:N51" si="11">D30+D38+D45+D48</f>
        <v>6071</v>
      </c>
      <c r="E51" s="1304">
        <f t="shared" si="11"/>
        <v>5557</v>
      </c>
      <c r="F51" s="1304">
        <f t="shared" si="11"/>
        <v>4481</v>
      </c>
      <c r="G51" s="1304">
        <f t="shared" si="11"/>
        <v>5462</v>
      </c>
      <c r="H51" s="1304">
        <f t="shared" si="11"/>
        <v>6362</v>
      </c>
      <c r="I51" s="1304">
        <f t="shared" si="11"/>
        <v>6585</v>
      </c>
      <c r="J51" s="1304">
        <f t="shared" si="11"/>
        <v>6847</v>
      </c>
      <c r="K51" s="1304">
        <f t="shared" si="11"/>
        <v>6298</v>
      </c>
      <c r="L51" s="1304">
        <f t="shared" si="11"/>
        <v>5215</v>
      </c>
      <c r="M51" s="1304">
        <f t="shared" si="11"/>
        <v>5393</v>
      </c>
      <c r="N51" s="1304">
        <f t="shared" si="11"/>
        <v>5158</v>
      </c>
      <c r="O51" s="1304">
        <f t="shared" ref="O51" si="12">+SUM(C51:N51)/12</f>
        <v>5844.083333333333</v>
      </c>
      <c r="P51" s="552"/>
    </row>
    <row r="52" spans="1:17">
      <c r="A52" s="1059">
        <f t="shared" si="0"/>
        <v>22</v>
      </c>
      <c r="B52" s="880" t="str">
        <f>+"Reference  "&amp;A64</f>
        <v>Reference  (6)</v>
      </c>
      <c r="C52" s="1068" t="s">
        <v>1059</v>
      </c>
      <c r="D52" s="1068" t="s">
        <v>1060</v>
      </c>
      <c r="E52" s="1068" t="s">
        <v>1061</v>
      </c>
      <c r="F52" s="1068" t="s">
        <v>1062</v>
      </c>
      <c r="G52" s="1068" t="s">
        <v>1063</v>
      </c>
      <c r="H52" s="1068" t="s">
        <v>1064</v>
      </c>
      <c r="I52" s="1069" t="s">
        <v>1065</v>
      </c>
      <c r="J52" s="1069" t="s">
        <v>1066</v>
      </c>
      <c r="K52" s="1068" t="s">
        <v>1067</v>
      </c>
      <c r="L52" s="1069" t="s">
        <v>1068</v>
      </c>
      <c r="M52" s="1069" t="s">
        <v>1069</v>
      </c>
      <c r="N52" s="1069" t="s">
        <v>1070</v>
      </c>
      <c r="O52" s="1069"/>
      <c r="P52" s="552"/>
    </row>
    <row r="53" spans="1:17">
      <c r="A53" s="1059">
        <f t="shared" si="0"/>
        <v>23</v>
      </c>
      <c r="B53" s="881" t="s">
        <v>1514</v>
      </c>
      <c r="C53" s="1489">
        <v>0</v>
      </c>
      <c r="D53" s="1489">
        <v>0</v>
      </c>
      <c r="E53" s="1489">
        <v>0</v>
      </c>
      <c r="F53" s="1489">
        <v>0</v>
      </c>
      <c r="G53" s="1489">
        <v>0</v>
      </c>
      <c r="H53" s="1489">
        <v>0</v>
      </c>
      <c r="I53" s="1489">
        <v>0</v>
      </c>
      <c r="J53" s="1489">
        <v>0</v>
      </c>
      <c r="K53" s="1489">
        <v>0</v>
      </c>
      <c r="L53" s="1489">
        <v>0</v>
      </c>
      <c r="M53" s="1489">
        <v>0</v>
      </c>
      <c r="N53" s="1489">
        <v>0</v>
      </c>
      <c r="O53" s="1066">
        <f t="shared" ref="O53" si="13">+SUM(C53:N53)/12</f>
        <v>0</v>
      </c>
      <c r="P53" s="183"/>
      <c r="Q53" s="183"/>
    </row>
    <row r="54" spans="1:17">
      <c r="A54" s="1059">
        <f t="shared" si="0"/>
        <v>24</v>
      </c>
      <c r="B54" s="880"/>
      <c r="C54" s="1068">
        <v>0</v>
      </c>
      <c r="D54" s="1068"/>
      <c r="E54" s="1068"/>
      <c r="F54" s="1068"/>
      <c r="G54" s="1068"/>
      <c r="H54" s="1068"/>
      <c r="I54" s="1069"/>
      <c r="J54" s="1069"/>
      <c r="K54" s="1068"/>
      <c r="L54" s="1069"/>
      <c r="M54" s="1069"/>
      <c r="N54" s="1069"/>
      <c r="O54" s="1069"/>
      <c r="P54" s="183"/>
      <c r="Q54" s="183"/>
    </row>
    <row r="55" spans="1:17">
      <c r="A55" s="1059">
        <f t="shared" si="0"/>
        <v>25</v>
      </c>
      <c r="B55" s="1643" t="s">
        <v>1717</v>
      </c>
      <c r="C55" s="1304">
        <f>+C51+C53</f>
        <v>6700</v>
      </c>
      <c r="D55" s="1304">
        <f t="shared" ref="D55:N55" si="14">+D51+D53</f>
        <v>6071</v>
      </c>
      <c r="E55" s="1304">
        <f t="shared" si="14"/>
        <v>5557</v>
      </c>
      <c r="F55" s="1304">
        <f t="shared" si="14"/>
        <v>4481</v>
      </c>
      <c r="G55" s="1304">
        <f t="shared" si="14"/>
        <v>5462</v>
      </c>
      <c r="H55" s="1304">
        <f t="shared" si="14"/>
        <v>6362</v>
      </c>
      <c r="I55" s="1304">
        <f t="shared" si="14"/>
        <v>6585</v>
      </c>
      <c r="J55" s="1304">
        <f t="shared" si="14"/>
        <v>6847</v>
      </c>
      <c r="K55" s="1304">
        <f t="shared" si="14"/>
        <v>6298</v>
      </c>
      <c r="L55" s="1304">
        <f t="shared" si="14"/>
        <v>5215</v>
      </c>
      <c r="M55" s="1304">
        <f t="shared" si="14"/>
        <v>5393</v>
      </c>
      <c r="N55" s="1304">
        <f t="shared" si="14"/>
        <v>5158</v>
      </c>
      <c r="O55" s="1304">
        <f t="shared" ref="O55" si="15">+SUM(C55:N55)/12</f>
        <v>5844.083333333333</v>
      </c>
      <c r="P55" s="552"/>
    </row>
    <row r="56" spans="1:17">
      <c r="A56" s="1059"/>
      <c r="B56" s="43"/>
      <c r="C56" s="43"/>
      <c r="D56" s="43"/>
      <c r="E56" s="43"/>
      <c r="F56" s="43"/>
      <c r="G56" s="43"/>
      <c r="H56" s="43"/>
      <c r="I56" s="43"/>
      <c r="J56" s="43"/>
      <c r="K56" s="43"/>
      <c r="L56" s="43"/>
      <c r="M56" s="43"/>
      <c r="N56" s="43"/>
      <c r="O56" s="43"/>
      <c r="P56" s="552"/>
    </row>
    <row r="57" spans="1:17">
      <c r="A57" s="1059"/>
      <c r="B57" s="43"/>
      <c r="C57" s="43"/>
      <c r="D57" s="43"/>
      <c r="E57" s="43"/>
      <c r="F57" s="43"/>
      <c r="G57" s="43"/>
      <c r="H57" s="43"/>
      <c r="I57" s="43"/>
      <c r="J57" s="43"/>
      <c r="K57" s="43"/>
      <c r="L57" s="43"/>
      <c r="M57" s="43"/>
      <c r="N57" s="43"/>
      <c r="O57" s="43"/>
      <c r="P57" s="552"/>
    </row>
    <row r="58" spans="1:17">
      <c r="A58" s="1293" t="s">
        <v>746</v>
      </c>
      <c r="B58" s="183"/>
      <c r="C58" s="43"/>
      <c r="D58" s="43"/>
      <c r="E58" s="43"/>
      <c r="F58" s="43"/>
      <c r="G58" s="43"/>
      <c r="H58" s="43"/>
      <c r="I58" s="43"/>
      <c r="J58" s="43"/>
      <c r="K58" s="43"/>
      <c r="L58" s="43"/>
      <c r="M58" s="43"/>
      <c r="N58" s="43"/>
      <c r="O58" s="43"/>
      <c r="P58" s="552"/>
    </row>
    <row r="59" spans="1:17">
      <c r="A59" s="1060" t="s">
        <v>367</v>
      </c>
      <c r="B59" s="1479" t="str">
        <f>+"Sum (Ln "&amp;A14&amp;" Subparts)"</f>
        <v>Sum (Ln 8 Subparts)</v>
      </c>
      <c r="C59" s="43"/>
      <c r="D59" s="43"/>
      <c r="E59" s="43"/>
      <c r="F59" s="43"/>
      <c r="G59" s="43"/>
      <c r="H59" s="43"/>
      <c r="I59" s="43"/>
      <c r="J59" s="43"/>
      <c r="K59" s="43"/>
      <c r="L59" s="43"/>
      <c r="M59" s="43"/>
      <c r="N59" s="43"/>
      <c r="O59" s="43"/>
      <c r="P59" s="552"/>
    </row>
    <row r="60" spans="1:17" ht="12.75" customHeight="1">
      <c r="A60" s="1060" t="s">
        <v>769</v>
      </c>
      <c r="B60" s="1708" t="s">
        <v>1401</v>
      </c>
      <c r="C60" s="1708"/>
      <c r="D60" s="1708"/>
      <c r="E60" s="1708"/>
      <c r="F60" s="1708"/>
      <c r="G60" s="1708"/>
      <c r="H60" s="1708"/>
      <c r="I60" s="1708"/>
      <c r="J60" s="1708"/>
      <c r="K60" s="1708"/>
      <c r="L60" s="1708"/>
      <c r="M60" s="1708"/>
      <c r="N60" s="1708"/>
      <c r="O60" s="1708"/>
      <c r="P60" s="552"/>
    </row>
    <row r="61" spans="1:17">
      <c r="A61" s="1060" t="s">
        <v>770</v>
      </c>
      <c r="B61" s="1479" t="str">
        <f>+"Sum (Ln "&amp;A32&amp;" Subparts)"</f>
        <v>Sum (Ln 11 Subparts)</v>
      </c>
      <c r="C61" s="43"/>
      <c r="D61" s="43"/>
      <c r="E61" s="43"/>
      <c r="F61" s="43"/>
      <c r="G61" s="43"/>
      <c r="H61" s="43"/>
      <c r="I61" s="43"/>
      <c r="J61" s="43"/>
      <c r="K61" s="43"/>
      <c r="L61" s="43"/>
      <c r="M61" s="43"/>
      <c r="N61" s="43"/>
      <c r="O61" s="43"/>
      <c r="P61" s="552"/>
    </row>
    <row r="62" spans="1:17">
      <c r="A62" s="1060" t="s">
        <v>771</v>
      </c>
      <c r="B62" s="1479" t="str">
        <f>+"Sum (Ln "&amp;A40&amp;" Subparts)"</f>
        <v>Sum (Ln 14 Subparts)</v>
      </c>
      <c r="C62" s="43"/>
      <c r="D62" s="43"/>
      <c r="E62" s="43"/>
      <c r="F62" s="43"/>
      <c r="G62" s="43"/>
      <c r="H62" s="43"/>
      <c r="I62" s="43"/>
      <c r="J62" s="43"/>
      <c r="K62" s="43"/>
      <c r="L62" s="43"/>
      <c r="M62" s="43"/>
      <c r="N62" s="43"/>
      <c r="O62" s="43"/>
      <c r="P62" s="552"/>
    </row>
    <row r="63" spans="1:17">
      <c r="A63" s="1060" t="s">
        <v>772</v>
      </c>
      <c r="B63" s="878" t="str">
        <f>+"Sum (Ln "&amp;A30&amp;" + "&amp;A38&amp;" + "&amp;A45&amp;" + "&amp;A48&amp;")"</f>
        <v>Sum (Ln 9 + 12 + 15 + 18)</v>
      </c>
      <c r="C63" s="43"/>
      <c r="D63" s="43"/>
      <c r="E63" s="43"/>
      <c r="F63" s="43"/>
      <c r="G63" s="43"/>
      <c r="H63" s="43"/>
      <c r="I63" s="43"/>
      <c r="J63" s="43"/>
      <c r="K63" s="43"/>
      <c r="L63" s="43"/>
      <c r="M63" s="43"/>
      <c r="N63" s="43"/>
      <c r="O63" s="43"/>
      <c r="P63" s="552"/>
    </row>
    <row r="64" spans="1:17">
      <c r="A64" s="1060" t="s">
        <v>1201</v>
      </c>
      <c r="B64" s="43" t="s">
        <v>1695</v>
      </c>
      <c r="C64" s="43"/>
      <c r="D64" s="43"/>
      <c r="E64" s="43"/>
      <c r="F64" s="43"/>
      <c r="G64" s="43"/>
      <c r="H64" s="43"/>
      <c r="I64" s="43"/>
      <c r="J64" s="43"/>
      <c r="K64" s="43"/>
      <c r="L64" s="43"/>
      <c r="M64" s="43"/>
      <c r="N64" s="43"/>
      <c r="O64" s="43"/>
      <c r="P64" s="552"/>
    </row>
    <row r="65" spans="1:16">
      <c r="A65" s="1060" t="s">
        <v>1203</v>
      </c>
      <c r="B65" s="43" t="s">
        <v>1679</v>
      </c>
      <c r="C65" s="43"/>
      <c r="D65" s="43"/>
      <c r="E65" s="43"/>
      <c r="F65" s="43"/>
      <c r="G65" s="43"/>
      <c r="H65" s="43"/>
      <c r="I65" s="43"/>
      <c r="J65" s="43"/>
      <c r="K65" s="43"/>
      <c r="L65" s="43"/>
      <c r="M65" s="43"/>
      <c r="N65" s="43"/>
      <c r="O65" s="43"/>
      <c r="P65" s="552"/>
    </row>
    <row r="66" spans="1:16">
      <c r="A66" s="1060" t="s">
        <v>1678</v>
      </c>
      <c r="B66" s="878" t="str">
        <f>+"Sum (Ln "&amp;A51&amp;" + "&amp;A53&amp;")"</f>
        <v>Sum (Ln 21 + 23)</v>
      </c>
      <c r="P66" s="552"/>
    </row>
  </sheetData>
  <mergeCells count="5">
    <mergeCell ref="B60:O60"/>
    <mergeCell ref="C9:N9"/>
    <mergeCell ref="A1:P1"/>
    <mergeCell ref="A2:P2"/>
    <mergeCell ref="A3:P3"/>
  </mergeCells>
  <printOptions horizontalCentered="1"/>
  <pageMargins left="0.5" right="0.5" top="0.5" bottom="0.75" header="0.3" footer="0.5"/>
  <pageSetup scale="61" orientation="landscape" r:id="rId1"/>
  <headerFooter>
    <oddFooter>&amp;CPage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31"/>
  <sheetViews>
    <sheetView zoomScale="90" zoomScaleNormal="90" workbookViewId="0">
      <selection activeCell="D8" sqref="D8:P25"/>
    </sheetView>
  </sheetViews>
  <sheetFormatPr defaultColWidth="9.140625" defaultRowHeight="12.75"/>
  <cols>
    <col min="1" max="1" width="5.85546875" style="890" customWidth="1"/>
    <col min="2" max="2" width="7.7109375" style="883" bestFit="1" customWidth="1"/>
    <col min="3" max="3" width="30.28515625" style="883" customWidth="1"/>
    <col min="4" max="16" width="12.7109375" style="883" customWidth="1"/>
    <col min="17" max="17" width="12.85546875" style="883" bestFit="1" customWidth="1"/>
    <col min="18" max="19" width="6.85546875" style="883" customWidth="1"/>
    <col min="20" max="20" width="23.28515625" style="883" bestFit="1" customWidth="1"/>
    <col min="21" max="21" width="27.42578125" style="883" bestFit="1" customWidth="1"/>
    <col min="22" max="22" width="23.28515625" style="883" bestFit="1" customWidth="1"/>
    <col min="23" max="23" width="27.42578125" style="883" bestFit="1" customWidth="1"/>
    <col min="24" max="24" width="23.28515625" style="883" bestFit="1" customWidth="1"/>
    <col min="25" max="25" width="27.42578125" style="883" bestFit="1" customWidth="1"/>
    <col min="26" max="26" width="23.28515625" style="883" bestFit="1" customWidth="1"/>
    <col min="27" max="27" width="32.7109375" style="883" bestFit="1" customWidth="1"/>
    <col min="28" max="28" width="28.5703125" style="883" bestFit="1" customWidth="1"/>
    <col min="29" max="29" width="32.7109375" style="883" bestFit="1" customWidth="1"/>
    <col min="30" max="30" width="28.5703125" style="883" bestFit="1" customWidth="1"/>
    <col min="31" max="16384" width="9.140625" style="883"/>
  </cols>
  <sheetData>
    <row r="1" spans="1:18" s="44" customFormat="1">
      <c r="A1" s="1714" t="str">
        <f>+'MISO Cover'!C6</f>
        <v>Entergy Arkansas, Inc.</v>
      </c>
      <c r="B1" s="1714"/>
      <c r="C1" s="1714"/>
      <c r="D1" s="1714"/>
      <c r="E1" s="1714"/>
      <c r="F1" s="1714"/>
      <c r="G1" s="1714"/>
      <c r="H1" s="1714"/>
      <c r="I1" s="1714"/>
      <c r="J1" s="1714"/>
      <c r="K1" s="1714"/>
      <c r="L1" s="1714"/>
      <c r="M1" s="1714"/>
      <c r="N1" s="1714"/>
      <c r="O1" s="1714"/>
      <c r="P1" s="1714"/>
      <c r="Q1" s="1714"/>
    </row>
    <row r="2" spans="1:18" s="44" customFormat="1">
      <c r="A2" s="1706" t="s">
        <v>1381</v>
      </c>
      <c r="B2" s="1706"/>
      <c r="C2" s="1706"/>
      <c r="D2" s="1706"/>
      <c r="E2" s="1706"/>
      <c r="F2" s="1706"/>
      <c r="G2" s="1706"/>
      <c r="H2" s="1706"/>
      <c r="I2" s="1706"/>
      <c r="J2" s="1706"/>
      <c r="K2" s="1706"/>
      <c r="L2" s="1706"/>
      <c r="M2" s="1706"/>
      <c r="N2" s="1706"/>
      <c r="O2" s="1706"/>
      <c r="P2" s="1706"/>
      <c r="Q2" s="1706"/>
    </row>
    <row r="3" spans="1:18" s="44" customFormat="1">
      <c r="A3" s="1714" t="str">
        <f>+'MISO Cover'!K4</f>
        <v>For  the 12 Months Ended 12/31/2014</v>
      </c>
      <c r="B3" s="1714"/>
      <c r="C3" s="1714"/>
      <c r="D3" s="1714"/>
      <c r="E3" s="1714"/>
      <c r="F3" s="1714"/>
      <c r="G3" s="1714"/>
      <c r="H3" s="1714"/>
      <c r="I3" s="1714"/>
      <c r="J3" s="1714"/>
      <c r="K3" s="1714"/>
      <c r="L3" s="1714"/>
      <c r="M3" s="1714"/>
      <c r="N3" s="1714"/>
      <c r="O3" s="1714"/>
      <c r="P3" s="1714"/>
      <c r="Q3" s="1714"/>
    </row>
    <row r="4" spans="1:18" s="44" customFormat="1">
      <c r="A4" s="812"/>
      <c r="B4" s="812"/>
      <c r="C4" s="812"/>
      <c r="D4" s="812"/>
      <c r="E4" s="812"/>
      <c r="F4" s="812"/>
      <c r="G4" s="812"/>
      <c r="H4" s="812"/>
      <c r="I4" s="812"/>
      <c r="J4" s="812"/>
      <c r="K4" s="812"/>
      <c r="L4" s="812"/>
      <c r="M4" s="812"/>
      <c r="N4" s="812"/>
      <c r="O4" s="812"/>
      <c r="P4" s="812"/>
      <c r="Q4" s="812"/>
    </row>
    <row r="5" spans="1:18" s="812" customFormat="1">
      <c r="A5" s="812" t="s">
        <v>663</v>
      </c>
      <c r="B5" s="812" t="s">
        <v>261</v>
      </c>
      <c r="C5" s="812" t="s">
        <v>309</v>
      </c>
      <c r="D5" s="812" t="s">
        <v>249</v>
      </c>
      <c r="E5" s="812" t="s">
        <v>262</v>
      </c>
      <c r="F5" s="812" t="s">
        <v>260</v>
      </c>
      <c r="G5" s="812" t="s">
        <v>351</v>
      </c>
      <c r="H5" s="812" t="s">
        <v>263</v>
      </c>
      <c r="I5" s="812" t="s">
        <v>364</v>
      </c>
      <c r="J5" s="812" t="s">
        <v>253</v>
      </c>
      <c r="K5" s="812" t="s">
        <v>901</v>
      </c>
      <c r="L5" s="812" t="s">
        <v>265</v>
      </c>
      <c r="M5" s="812" t="s">
        <v>293</v>
      </c>
      <c r="N5" s="812" t="s">
        <v>294</v>
      </c>
      <c r="O5" s="812" t="s">
        <v>352</v>
      </c>
      <c r="P5" s="812" t="s">
        <v>563</v>
      </c>
      <c r="Q5" s="812" t="s">
        <v>564</v>
      </c>
    </row>
    <row r="6" spans="1:18" s="44" customFormat="1">
      <c r="A6" s="959">
        <v>1</v>
      </c>
      <c r="B6" s="195"/>
      <c r="C6" s="195"/>
      <c r="D6" s="195"/>
      <c r="E6" s="195"/>
      <c r="F6" s="195"/>
      <c r="G6" s="195"/>
      <c r="H6" s="195"/>
      <c r="I6" s="195"/>
      <c r="J6" s="195"/>
      <c r="K6" s="195"/>
      <c r="L6" s="195"/>
      <c r="M6" s="195"/>
      <c r="N6" s="195"/>
      <c r="O6" s="195"/>
      <c r="P6" s="195"/>
      <c r="Q6" s="1780" t="s">
        <v>1091</v>
      </c>
    </row>
    <row r="7" spans="1:18">
      <c r="A7" s="960">
        <f>1+A6</f>
        <v>2</v>
      </c>
      <c r="B7" s="883" t="s">
        <v>372</v>
      </c>
      <c r="C7" s="883" t="s">
        <v>631</v>
      </c>
      <c r="D7" s="1624" t="s">
        <v>231</v>
      </c>
      <c r="E7" s="1624" t="s">
        <v>221</v>
      </c>
      <c r="F7" s="1624" t="s">
        <v>222</v>
      </c>
      <c r="G7" s="1624" t="s">
        <v>223</v>
      </c>
      <c r="H7" s="1624" t="s">
        <v>224</v>
      </c>
      <c r="I7" s="1624" t="s">
        <v>220</v>
      </c>
      <c r="J7" s="1624" t="s">
        <v>225</v>
      </c>
      <c r="K7" s="1624" t="s">
        <v>226</v>
      </c>
      <c r="L7" s="1624" t="s">
        <v>227</v>
      </c>
      <c r="M7" s="1624" t="s">
        <v>228</v>
      </c>
      <c r="N7" s="1624" t="s">
        <v>229</v>
      </c>
      <c r="O7" s="1624" t="s">
        <v>230</v>
      </c>
      <c r="P7" s="1624" t="s">
        <v>231</v>
      </c>
      <c r="Q7" s="1781"/>
    </row>
    <row r="8" spans="1:18">
      <c r="A8" s="961">
        <f>+A7+0.01</f>
        <v>2.0099999999999998</v>
      </c>
      <c r="B8" s="1403" t="s">
        <v>642</v>
      </c>
      <c r="C8" s="184" t="s">
        <v>561</v>
      </c>
      <c r="D8" s="1484">
        <v>32210505.960000001</v>
      </c>
      <c r="E8" s="1484">
        <v>29878394.109999999</v>
      </c>
      <c r="F8" s="1484">
        <v>34236402.759999998</v>
      </c>
      <c r="G8" s="1484">
        <v>54321092.770000003</v>
      </c>
      <c r="H8" s="1484">
        <v>49233911.100000001</v>
      </c>
      <c r="I8" s="1484">
        <v>52932019.420000002</v>
      </c>
      <c r="J8" s="1484">
        <v>55469281</v>
      </c>
      <c r="K8" s="1484">
        <v>54034084.899999999</v>
      </c>
      <c r="L8" s="1484">
        <v>54886823.280000001</v>
      </c>
      <c r="M8" s="1484">
        <v>54649084.590000004</v>
      </c>
      <c r="N8" s="1484">
        <v>54096534.18</v>
      </c>
      <c r="O8" s="1484">
        <v>53998308.460000001</v>
      </c>
      <c r="P8" s="1484">
        <v>52709263.049999997</v>
      </c>
      <c r="Q8" s="884">
        <f t="shared" ref="Q8:Q25" si="0">SUM(D8:P8)/13</f>
        <v>48665823.506153837</v>
      </c>
      <c r="R8" s="885"/>
    </row>
    <row r="9" spans="1:18">
      <c r="A9" s="961">
        <f>+A8+0.01</f>
        <v>2.0199999999999996</v>
      </c>
      <c r="B9" s="1403" t="s">
        <v>641</v>
      </c>
      <c r="C9" s="184" t="s">
        <v>562</v>
      </c>
      <c r="D9" s="1484">
        <v>2009882.08</v>
      </c>
      <c r="E9" s="1484">
        <v>2207773.19</v>
      </c>
      <c r="F9" s="1484">
        <v>2363873.8199999998</v>
      </c>
      <c r="G9" s="1484">
        <v>2584202.58</v>
      </c>
      <c r="H9" s="1484">
        <v>2867722.79</v>
      </c>
      <c r="I9" s="1484">
        <v>3125439.11</v>
      </c>
      <c r="J9" s="1484">
        <v>3389958.09</v>
      </c>
      <c r="K9" s="1484">
        <v>3653203.1</v>
      </c>
      <c r="L9" s="1484">
        <v>3926651.95</v>
      </c>
      <c r="M9" s="1484">
        <v>3917558.18</v>
      </c>
      <c r="N9" s="1484">
        <v>4456540.99</v>
      </c>
      <c r="O9" s="1484">
        <v>4765202.1500000004</v>
      </c>
      <c r="P9" s="1484">
        <v>5026145.04</v>
      </c>
      <c r="Q9" s="884">
        <f t="shared" si="0"/>
        <v>3407242.5438461537</v>
      </c>
      <c r="R9" s="885"/>
    </row>
    <row r="10" spans="1:18">
      <c r="A10" s="961">
        <f t="shared" ref="A10:A23" si="1">+A9+0.01</f>
        <v>2.0299999999999994</v>
      </c>
      <c r="B10" s="1403" t="s">
        <v>599</v>
      </c>
      <c r="C10" s="184" t="s">
        <v>600</v>
      </c>
      <c r="D10" s="1484">
        <v>0</v>
      </c>
      <c r="E10" s="1484">
        <v>0</v>
      </c>
      <c r="F10" s="1484">
        <v>0</v>
      </c>
      <c r="G10" s="1484">
        <v>0</v>
      </c>
      <c r="H10" s="1484">
        <v>0</v>
      </c>
      <c r="I10" s="1484">
        <v>0</v>
      </c>
      <c r="J10" s="1484">
        <v>0</v>
      </c>
      <c r="K10" s="1484">
        <v>0</v>
      </c>
      <c r="L10" s="1484">
        <v>0</v>
      </c>
      <c r="M10" s="1484">
        <v>0</v>
      </c>
      <c r="N10" s="1484">
        <v>0</v>
      </c>
      <c r="O10" s="1484">
        <v>0</v>
      </c>
      <c r="P10" s="1484">
        <v>0</v>
      </c>
      <c r="Q10" s="884">
        <f t="shared" si="0"/>
        <v>0</v>
      </c>
      <c r="R10" s="885"/>
    </row>
    <row r="11" spans="1:18">
      <c r="A11" s="961">
        <f t="shared" si="1"/>
        <v>2.0399999999999991</v>
      </c>
      <c r="B11" s="1403" t="s">
        <v>640</v>
      </c>
      <c r="C11" s="184" t="s">
        <v>643</v>
      </c>
      <c r="D11" s="1484">
        <v>0</v>
      </c>
      <c r="E11" s="1484">
        <v>0</v>
      </c>
      <c r="F11" s="1484">
        <v>0</v>
      </c>
      <c r="G11" s="1484">
        <v>0</v>
      </c>
      <c r="H11" s="1484">
        <v>0</v>
      </c>
      <c r="I11" s="1484">
        <v>0</v>
      </c>
      <c r="J11" s="1484">
        <v>0</v>
      </c>
      <c r="K11" s="1484">
        <v>0</v>
      </c>
      <c r="L11" s="1484">
        <v>0</v>
      </c>
      <c r="M11" s="1484">
        <v>0</v>
      </c>
      <c r="N11" s="1484">
        <v>0</v>
      </c>
      <c r="O11" s="1484">
        <v>0</v>
      </c>
      <c r="P11" s="1484">
        <v>0</v>
      </c>
      <c r="Q11" s="884">
        <f t="shared" si="0"/>
        <v>0</v>
      </c>
      <c r="R11" s="885"/>
    </row>
    <row r="12" spans="1:18">
      <c r="A12" s="961">
        <f t="shared" si="1"/>
        <v>2.0499999999999989</v>
      </c>
      <c r="B12" s="1403" t="s">
        <v>1296</v>
      </c>
      <c r="C12" s="184" t="s">
        <v>1298</v>
      </c>
      <c r="D12" s="1484">
        <v>0</v>
      </c>
      <c r="E12" s="1484">
        <v>0</v>
      </c>
      <c r="F12" s="1484">
        <v>0</v>
      </c>
      <c r="G12" s="1484">
        <v>0</v>
      </c>
      <c r="H12" s="1484">
        <v>0</v>
      </c>
      <c r="I12" s="1484">
        <v>0</v>
      </c>
      <c r="J12" s="1484">
        <v>0</v>
      </c>
      <c r="K12" s="1484">
        <v>0</v>
      </c>
      <c r="L12" s="1484">
        <v>0</v>
      </c>
      <c r="M12" s="1484">
        <v>0</v>
      </c>
      <c r="N12" s="1484">
        <v>0</v>
      </c>
      <c r="O12" s="1484">
        <v>0</v>
      </c>
      <c r="P12" s="1484">
        <v>0</v>
      </c>
      <c r="Q12" s="884">
        <f t="shared" si="0"/>
        <v>0</v>
      </c>
      <c r="R12" s="885"/>
    </row>
    <row r="13" spans="1:18">
      <c r="A13" s="961">
        <f t="shared" si="1"/>
        <v>2.0599999999999987</v>
      </c>
      <c r="B13" s="1403" t="s">
        <v>601</v>
      </c>
      <c r="C13" s="184" t="s">
        <v>602</v>
      </c>
      <c r="D13" s="1484">
        <v>-34220388.039999999</v>
      </c>
      <c r="E13" s="1484">
        <v>-32086167.300000001</v>
      </c>
      <c r="F13" s="1484">
        <v>-36600276.579999998</v>
      </c>
      <c r="G13" s="1484">
        <v>-56905295.350000001</v>
      </c>
      <c r="H13" s="1484">
        <v>-52101633.890000001</v>
      </c>
      <c r="I13" s="1484">
        <v>-56057458.530000001</v>
      </c>
      <c r="J13" s="1484">
        <v>-58859239.090000004</v>
      </c>
      <c r="K13" s="1484">
        <v>-57687288</v>
      </c>
      <c r="L13" s="1484">
        <v>-58813475.229999997</v>
      </c>
      <c r="M13" s="1484">
        <v>-58566642.770000003</v>
      </c>
      <c r="N13" s="1484">
        <v>-58553075.170000002</v>
      </c>
      <c r="O13" s="1484">
        <v>-58763510.609999999</v>
      </c>
      <c r="P13" s="1484">
        <v>-57735408.090000004</v>
      </c>
      <c r="Q13" s="884">
        <f t="shared" si="0"/>
        <v>-52073066.050000004</v>
      </c>
      <c r="R13" s="885"/>
    </row>
    <row r="14" spans="1:18">
      <c r="A14" s="961">
        <f t="shared" si="1"/>
        <v>2.0699999999999985</v>
      </c>
      <c r="B14" s="1403" t="s">
        <v>1297</v>
      </c>
      <c r="C14" s="184" t="s">
        <v>1299</v>
      </c>
      <c r="D14" s="1484">
        <v>0</v>
      </c>
      <c r="E14" s="1484">
        <v>0</v>
      </c>
      <c r="F14" s="1484">
        <v>0</v>
      </c>
      <c r="G14" s="1484">
        <v>0</v>
      </c>
      <c r="H14" s="1484">
        <v>0</v>
      </c>
      <c r="I14" s="1484">
        <v>0</v>
      </c>
      <c r="J14" s="1484">
        <v>0</v>
      </c>
      <c r="K14" s="1484">
        <v>0</v>
      </c>
      <c r="L14" s="1484">
        <v>0</v>
      </c>
      <c r="M14" s="1484">
        <v>0</v>
      </c>
      <c r="N14" s="1484">
        <v>0</v>
      </c>
      <c r="O14" s="1484">
        <v>0</v>
      </c>
      <c r="P14" s="1484">
        <v>0</v>
      </c>
      <c r="Q14" s="884">
        <f t="shared" si="0"/>
        <v>0</v>
      </c>
      <c r="R14" s="885"/>
    </row>
    <row r="15" spans="1:18">
      <c r="A15" s="961">
        <f t="shared" si="1"/>
        <v>2.0799999999999983</v>
      </c>
      <c r="B15" s="1403" t="s">
        <v>639</v>
      </c>
      <c r="C15" s="184" t="s">
        <v>557</v>
      </c>
      <c r="D15" s="1484">
        <v>-2910190.96</v>
      </c>
      <c r="E15" s="1484">
        <v>-2902482.91</v>
      </c>
      <c r="F15" s="1484">
        <v>-2958388.17</v>
      </c>
      <c r="G15" s="1484">
        <v>-2539513.0499999998</v>
      </c>
      <c r="H15" s="1484">
        <v>-2588842.61</v>
      </c>
      <c r="I15" s="1484">
        <v>-2608058.15</v>
      </c>
      <c r="J15" s="1484">
        <v>-2741919.71</v>
      </c>
      <c r="K15" s="1484">
        <v>-2764093.19</v>
      </c>
      <c r="L15" s="1484">
        <v>-2612915.5299999998</v>
      </c>
      <c r="M15" s="1484">
        <v>-2524530.33</v>
      </c>
      <c r="N15" s="1484">
        <v>-2533492.02</v>
      </c>
      <c r="O15" s="1484">
        <v>-2507814.5099999998</v>
      </c>
      <c r="P15" s="1484">
        <v>-3378566.5</v>
      </c>
      <c r="Q15" s="884">
        <f t="shared" si="0"/>
        <v>-2736215.9723076923</v>
      </c>
      <c r="R15" s="885"/>
    </row>
    <row r="16" spans="1:18">
      <c r="A16" s="961">
        <f t="shared" si="1"/>
        <v>2.0899999999999981</v>
      </c>
      <c r="B16" s="1403" t="s">
        <v>638</v>
      </c>
      <c r="C16" s="184" t="s">
        <v>558</v>
      </c>
      <c r="D16" s="1484">
        <v>-1588890.89</v>
      </c>
      <c r="E16" s="1484">
        <v>-1588890.89</v>
      </c>
      <c r="F16" s="1484">
        <v>-1588890.89</v>
      </c>
      <c r="G16" s="1484">
        <v>-1638890.89</v>
      </c>
      <c r="H16" s="1484">
        <v>-1638890.89</v>
      </c>
      <c r="I16" s="1484">
        <v>-1638890.89</v>
      </c>
      <c r="J16" s="1484">
        <v>-988890.89</v>
      </c>
      <c r="K16" s="1484">
        <v>-988890.89</v>
      </c>
      <c r="L16" s="1484">
        <v>-988890.89</v>
      </c>
      <c r="M16" s="1484">
        <v>-1063890.8899999999</v>
      </c>
      <c r="N16" s="1484">
        <v>-1063890.8899999999</v>
      </c>
      <c r="O16" s="1484">
        <v>-1063890.8899999999</v>
      </c>
      <c r="P16" s="1484">
        <v>-1063890.8899999999</v>
      </c>
      <c r="Q16" s="884">
        <f t="shared" si="0"/>
        <v>-1300429.3515384619</v>
      </c>
      <c r="R16" s="885"/>
    </row>
    <row r="17" spans="1:18">
      <c r="A17" s="961">
        <v>2.0999999999999979</v>
      </c>
      <c r="B17" s="1403" t="s">
        <v>637</v>
      </c>
      <c r="C17" s="184" t="s">
        <v>560</v>
      </c>
      <c r="D17" s="1484">
        <v>-7328335.29</v>
      </c>
      <c r="E17" s="1484">
        <v>-7328335.29</v>
      </c>
      <c r="F17" s="1484">
        <v>-7328335.29</v>
      </c>
      <c r="G17" s="1484">
        <v>-7328335.29</v>
      </c>
      <c r="H17" s="1484">
        <v>-7328335.29</v>
      </c>
      <c r="I17" s="1484">
        <v>-7328335.29</v>
      </c>
      <c r="J17" s="1484">
        <v>-7328335.29</v>
      </c>
      <c r="K17" s="1484">
        <v>-7328335.29</v>
      </c>
      <c r="L17" s="1484">
        <v>-7328335.29</v>
      </c>
      <c r="M17" s="1484">
        <v>-7328335.29</v>
      </c>
      <c r="N17" s="1484">
        <v>-7328335.29</v>
      </c>
      <c r="O17" s="1484">
        <v>-7328335.29</v>
      </c>
      <c r="P17" s="1484">
        <v>-7690745.29</v>
      </c>
      <c r="Q17" s="884">
        <f t="shared" si="0"/>
        <v>-7356212.9823076939</v>
      </c>
      <c r="R17" s="885"/>
    </row>
    <row r="18" spans="1:18">
      <c r="A18" s="961">
        <f t="shared" si="1"/>
        <v>2.1099999999999977</v>
      </c>
      <c r="B18" s="1403" t="s">
        <v>636</v>
      </c>
      <c r="C18" s="184" t="s">
        <v>559</v>
      </c>
      <c r="D18" s="1484">
        <v>-19070999.920000002</v>
      </c>
      <c r="E18" s="1484">
        <v>-17901266.18</v>
      </c>
      <c r="F18" s="1484">
        <v>-15999427.26</v>
      </c>
      <c r="G18" s="1484">
        <v>-14878937.9</v>
      </c>
      <c r="H18" s="1484">
        <v>-13599235.33</v>
      </c>
      <c r="I18" s="1484">
        <v>-12407906.5</v>
      </c>
      <c r="J18" s="1484">
        <v>-7551606.3099999996</v>
      </c>
      <c r="K18" s="1484">
        <v>-10225501.85</v>
      </c>
      <c r="L18" s="1484">
        <v>-8734232.0199999996</v>
      </c>
      <c r="M18" s="1484">
        <v>-6988569.4000000004</v>
      </c>
      <c r="N18" s="1484">
        <v>-6213291.2800000003</v>
      </c>
      <c r="O18" s="1484">
        <v>-4980134.6100000003</v>
      </c>
      <c r="P18" s="1484">
        <v>-59525000.310000002</v>
      </c>
      <c r="Q18" s="884">
        <f t="shared" si="0"/>
        <v>-15236623.75923077</v>
      </c>
      <c r="R18" s="885"/>
    </row>
    <row r="19" spans="1:18">
      <c r="A19" s="961">
        <f t="shared" si="1"/>
        <v>2.1199999999999974</v>
      </c>
      <c r="B19" s="1403" t="s">
        <v>635</v>
      </c>
      <c r="C19" s="184" t="s">
        <v>644</v>
      </c>
      <c r="D19" s="1484">
        <v>-1246999.6499999999</v>
      </c>
      <c r="E19" s="1484">
        <v>-1202035.02</v>
      </c>
      <c r="F19" s="1484">
        <v>-1220281.1100000001</v>
      </c>
      <c r="G19" s="1484">
        <v>-1246951.8999999999</v>
      </c>
      <c r="H19" s="1484">
        <v>-1235861.06</v>
      </c>
      <c r="I19" s="1484">
        <v>-1178991.07</v>
      </c>
      <c r="J19" s="1484">
        <v>-1247008.83</v>
      </c>
      <c r="K19" s="1484">
        <v>-1226181.25</v>
      </c>
      <c r="L19" s="1484">
        <v>-1107108.78</v>
      </c>
      <c r="M19" s="1484">
        <v>-1246985.72</v>
      </c>
      <c r="N19" s="1484">
        <v>-1295469.48</v>
      </c>
      <c r="O19" s="1484">
        <v>-1113342.3400000001</v>
      </c>
      <c r="P19" s="1484">
        <v>-1246999.24</v>
      </c>
      <c r="Q19" s="884">
        <f t="shared" si="0"/>
        <v>-1216478.1115384616</v>
      </c>
      <c r="R19" s="885"/>
    </row>
    <row r="20" spans="1:18">
      <c r="A20" s="961">
        <f t="shared" si="1"/>
        <v>2.1299999999999972</v>
      </c>
      <c r="B20" s="1403" t="s">
        <v>634</v>
      </c>
      <c r="C20" s="184" t="s">
        <v>603</v>
      </c>
      <c r="D20" s="1484">
        <v>0</v>
      </c>
      <c r="E20" s="1484">
        <v>0</v>
      </c>
      <c r="F20" s="1484">
        <v>0</v>
      </c>
      <c r="G20" s="1484">
        <v>0</v>
      </c>
      <c r="H20" s="1484">
        <v>0</v>
      </c>
      <c r="I20" s="1484">
        <v>0</v>
      </c>
      <c r="J20" s="1484">
        <v>0</v>
      </c>
      <c r="K20" s="1484">
        <v>0</v>
      </c>
      <c r="L20" s="1484">
        <v>0</v>
      </c>
      <c r="M20" s="1484">
        <v>0</v>
      </c>
      <c r="N20" s="1484">
        <v>0</v>
      </c>
      <c r="O20" s="1484">
        <v>0</v>
      </c>
      <c r="P20" s="1484">
        <v>0</v>
      </c>
      <c r="Q20" s="884">
        <f t="shared" si="0"/>
        <v>0</v>
      </c>
      <c r="R20" s="885"/>
    </row>
    <row r="21" spans="1:18">
      <c r="A21" s="961">
        <f t="shared" si="1"/>
        <v>2.139999999999997</v>
      </c>
      <c r="B21" s="1403" t="s">
        <v>633</v>
      </c>
      <c r="C21" s="184" t="s">
        <v>645</v>
      </c>
      <c r="D21" s="1484">
        <v>0</v>
      </c>
      <c r="E21" s="1484">
        <v>0</v>
      </c>
      <c r="F21" s="1484">
        <v>0</v>
      </c>
      <c r="G21" s="1484">
        <v>0</v>
      </c>
      <c r="H21" s="1484">
        <v>0</v>
      </c>
      <c r="I21" s="1484">
        <v>0</v>
      </c>
      <c r="J21" s="1484">
        <v>0</v>
      </c>
      <c r="K21" s="1484">
        <v>0</v>
      </c>
      <c r="L21" s="1484">
        <v>0</v>
      </c>
      <c r="M21" s="1484">
        <v>0</v>
      </c>
      <c r="N21" s="1484">
        <v>0</v>
      </c>
      <c r="O21" s="1484">
        <v>0</v>
      </c>
      <c r="P21" s="1484">
        <v>0</v>
      </c>
      <c r="Q21" s="884">
        <f t="shared" si="0"/>
        <v>0</v>
      </c>
      <c r="R21" s="885"/>
    </row>
    <row r="22" spans="1:18">
      <c r="A22" s="961">
        <f t="shared" si="1"/>
        <v>2.1499999999999968</v>
      </c>
      <c r="B22" s="1403" t="s">
        <v>632</v>
      </c>
      <c r="C22" s="184" t="s">
        <v>604</v>
      </c>
      <c r="D22" s="1484">
        <v>0</v>
      </c>
      <c r="E22" s="1484">
        <v>0</v>
      </c>
      <c r="F22" s="1484">
        <v>0</v>
      </c>
      <c r="G22" s="1484">
        <v>0</v>
      </c>
      <c r="H22" s="1484">
        <v>0</v>
      </c>
      <c r="I22" s="1484">
        <v>0</v>
      </c>
      <c r="J22" s="1484">
        <v>0</v>
      </c>
      <c r="K22" s="1484">
        <v>0</v>
      </c>
      <c r="L22" s="1484">
        <v>0</v>
      </c>
      <c r="M22" s="1484">
        <v>0</v>
      </c>
      <c r="N22" s="1484">
        <v>0</v>
      </c>
      <c r="O22" s="1484">
        <v>0</v>
      </c>
      <c r="P22" s="1484">
        <v>0</v>
      </c>
      <c r="Q22" s="884">
        <f t="shared" si="0"/>
        <v>0</v>
      </c>
      <c r="R22" s="885"/>
    </row>
    <row r="23" spans="1:18">
      <c r="A23" s="1451">
        <f t="shared" si="1"/>
        <v>2.1599999999999966</v>
      </c>
      <c r="B23" s="1483" t="s">
        <v>1507</v>
      </c>
      <c r="C23" s="198"/>
      <c r="D23" s="1484">
        <v>0</v>
      </c>
      <c r="E23" s="1484">
        <v>0</v>
      </c>
      <c r="F23" s="1484">
        <v>0</v>
      </c>
      <c r="G23" s="1484">
        <v>0</v>
      </c>
      <c r="H23" s="1484">
        <v>0</v>
      </c>
      <c r="I23" s="1484">
        <v>0</v>
      </c>
      <c r="J23" s="1484">
        <v>0</v>
      </c>
      <c r="K23" s="1484">
        <v>0</v>
      </c>
      <c r="L23" s="1484">
        <v>0</v>
      </c>
      <c r="M23" s="1484">
        <v>0</v>
      </c>
      <c r="N23" s="1484">
        <v>0</v>
      </c>
      <c r="O23" s="1484">
        <v>0</v>
      </c>
      <c r="P23" s="1484">
        <v>0</v>
      </c>
      <c r="Q23" s="884">
        <f t="shared" si="0"/>
        <v>0</v>
      </c>
      <c r="R23" s="885"/>
    </row>
    <row r="24" spans="1:18">
      <c r="A24" s="1451" t="s">
        <v>1497</v>
      </c>
      <c r="B24" s="1483" t="s">
        <v>1507</v>
      </c>
      <c r="C24" s="198"/>
      <c r="D24" s="1484">
        <v>0</v>
      </c>
      <c r="E24" s="1484">
        <v>0</v>
      </c>
      <c r="F24" s="1484">
        <v>0</v>
      </c>
      <c r="G24" s="1484">
        <v>0</v>
      </c>
      <c r="H24" s="1484">
        <v>0</v>
      </c>
      <c r="I24" s="1484">
        <v>0</v>
      </c>
      <c r="J24" s="1484">
        <v>0</v>
      </c>
      <c r="K24" s="1484">
        <v>0</v>
      </c>
      <c r="L24" s="1484">
        <v>0</v>
      </c>
      <c r="M24" s="1484">
        <v>0</v>
      </c>
      <c r="N24" s="1484">
        <v>0</v>
      </c>
      <c r="O24" s="1484">
        <v>0</v>
      </c>
      <c r="P24" s="1484">
        <v>0</v>
      </c>
      <c r="Q24" s="884">
        <f t="shared" si="0"/>
        <v>0</v>
      </c>
      <c r="R24" s="885"/>
    </row>
    <row r="25" spans="1:18">
      <c r="A25" s="1451" t="s">
        <v>1500</v>
      </c>
      <c r="B25" s="1483" t="s">
        <v>1507</v>
      </c>
      <c r="C25" s="198"/>
      <c r="D25" s="1485">
        <v>0</v>
      </c>
      <c r="E25" s="1485">
        <v>0</v>
      </c>
      <c r="F25" s="1485">
        <v>0</v>
      </c>
      <c r="G25" s="1485">
        <v>0</v>
      </c>
      <c r="H25" s="1485">
        <v>0</v>
      </c>
      <c r="I25" s="1485">
        <v>0</v>
      </c>
      <c r="J25" s="1485">
        <v>0</v>
      </c>
      <c r="K25" s="1485">
        <v>0</v>
      </c>
      <c r="L25" s="1485">
        <v>0</v>
      </c>
      <c r="M25" s="1485">
        <v>0</v>
      </c>
      <c r="N25" s="1485">
        <v>0</v>
      </c>
      <c r="O25" s="1485">
        <v>0</v>
      </c>
      <c r="P25" s="1485">
        <v>0</v>
      </c>
      <c r="Q25" s="1402">
        <f t="shared" si="0"/>
        <v>0</v>
      </c>
      <c r="R25" s="885"/>
    </row>
    <row r="26" spans="1:18" s="889" customFormat="1">
      <c r="A26" s="960">
        <f>+A7+1</f>
        <v>3</v>
      </c>
      <c r="B26" s="886"/>
      <c r="C26" s="886" t="str">
        <f>+"Total   Sum (Ln "&amp;A7&amp;" Subparts)"</f>
        <v>Total   Sum (Ln 2 Subparts)</v>
      </c>
      <c r="D26" s="887">
        <f>SUM(D8:D25)</f>
        <v>-32145416.710000001</v>
      </c>
      <c r="E26" s="887">
        <f t="shared" ref="E26:P26" si="2">SUM(E8:E25)</f>
        <v>-30923010.289999999</v>
      </c>
      <c r="F26" s="887">
        <f t="shared" si="2"/>
        <v>-29095322.719999999</v>
      </c>
      <c r="G26" s="887">
        <f t="shared" si="2"/>
        <v>-27632629.030000001</v>
      </c>
      <c r="H26" s="887">
        <f t="shared" si="2"/>
        <v>-26391165.179999996</v>
      </c>
      <c r="I26" s="887">
        <f t="shared" si="2"/>
        <v>-25162181.899999999</v>
      </c>
      <c r="J26" s="887">
        <f t="shared" si="2"/>
        <v>-19857761.030000001</v>
      </c>
      <c r="K26" s="887">
        <f t="shared" si="2"/>
        <v>-22533002.469999999</v>
      </c>
      <c r="L26" s="887">
        <f t="shared" si="2"/>
        <v>-20771482.509999994</v>
      </c>
      <c r="M26" s="887">
        <f t="shared" si="2"/>
        <v>-19152311.629999999</v>
      </c>
      <c r="N26" s="887">
        <f t="shared" si="2"/>
        <v>-18434478.960000001</v>
      </c>
      <c r="O26" s="887">
        <f t="shared" si="2"/>
        <v>-16993517.640000001</v>
      </c>
      <c r="P26" s="887">
        <f t="shared" si="2"/>
        <v>-72905202.230000004</v>
      </c>
      <c r="Q26" s="887">
        <f>SUM(Q8:Q25)</f>
        <v>-27845960.176923096</v>
      </c>
      <c r="R26" s="888"/>
    </row>
    <row r="27" spans="1:18" s="889" customFormat="1">
      <c r="A27" s="1248"/>
      <c r="D27" s="1126" t="s">
        <v>769</v>
      </c>
      <c r="P27" s="1126" t="s">
        <v>769</v>
      </c>
    </row>
    <row r="28" spans="1:18">
      <c r="A28" s="890" t="s">
        <v>746</v>
      </c>
    </row>
    <row r="29" spans="1:18">
      <c r="A29" s="891" t="s">
        <v>367</v>
      </c>
      <c r="B29" s="1708" t="s">
        <v>1527</v>
      </c>
      <c r="C29" s="1708"/>
      <c r="D29" s="1708"/>
      <c r="E29" s="1708"/>
      <c r="F29" s="1708"/>
      <c r="G29" s="1708"/>
      <c r="H29" s="1708"/>
      <c r="I29" s="1708"/>
      <c r="J29" s="1708"/>
      <c r="K29" s="1708"/>
      <c r="L29" s="1708"/>
      <c r="M29" s="1708"/>
      <c r="N29" s="1708"/>
      <c r="O29" s="1708"/>
      <c r="P29" s="1708"/>
      <c r="Q29" s="1708"/>
    </row>
    <row r="30" spans="1:18">
      <c r="A30" s="1126" t="s">
        <v>769</v>
      </c>
      <c r="B30" s="889" t="s">
        <v>1155</v>
      </c>
      <c r="C30" s="889"/>
    </row>
    <row r="31" spans="1:18">
      <c r="A31" s="1126" t="s">
        <v>770</v>
      </c>
      <c r="B31" s="1715" t="s">
        <v>1380</v>
      </c>
      <c r="C31" s="1715"/>
      <c r="D31" s="1715"/>
      <c r="E31" s="1715"/>
      <c r="F31" s="1715"/>
      <c r="G31" s="1715"/>
      <c r="H31" s="1715"/>
      <c r="I31" s="1715"/>
      <c r="J31" s="1715"/>
      <c r="K31" s="1715"/>
      <c r="L31" s="1715"/>
      <c r="M31" s="1715"/>
      <c r="N31" s="1715"/>
      <c r="O31" s="1715"/>
      <c r="P31" s="1715"/>
      <c r="Q31" s="1715"/>
    </row>
  </sheetData>
  <mergeCells count="6">
    <mergeCell ref="B31:Q31"/>
    <mergeCell ref="B29:Q29"/>
    <mergeCell ref="Q6:Q7"/>
    <mergeCell ref="A1:Q1"/>
    <mergeCell ref="A2:Q2"/>
    <mergeCell ref="A3:Q3"/>
  </mergeCells>
  <printOptions horizontalCentered="1"/>
  <pageMargins left="0.2" right="0.2" top="0.7" bottom="0.7" header="0.3" footer="0.5"/>
  <pageSetup scale="60" orientation="landscape" r:id="rId1"/>
  <headerFooter>
    <oddFooter>&amp;CPage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5"/>
  <sheetViews>
    <sheetView topLeftCell="A48" zoomScaleNormal="100" workbookViewId="0">
      <selection activeCell="D86" sqref="D86"/>
    </sheetView>
  </sheetViews>
  <sheetFormatPr defaultColWidth="8.85546875" defaultRowHeight="12.75"/>
  <cols>
    <col min="1" max="1" width="6.140625" style="649" customWidth="1"/>
    <col min="2" max="2" width="43.42578125" style="647" customWidth="1"/>
    <col min="3" max="3" width="11.42578125" style="647" customWidth="1"/>
    <col min="4" max="4" width="10.42578125" style="647" customWidth="1"/>
    <col min="5" max="5" width="11.42578125" style="660" customWidth="1"/>
    <col min="6" max="6" width="12.85546875" style="660" customWidth="1"/>
    <col min="7" max="7" width="10.42578125" style="1057" customWidth="1"/>
    <col min="8" max="8" width="9.5703125" style="1035" customWidth="1"/>
    <col min="9" max="10" width="10.42578125" style="660" bestFit="1" customWidth="1"/>
    <col min="11" max="11" width="12.85546875" style="1057" customWidth="1"/>
    <col min="12" max="12" width="9.85546875" style="647" customWidth="1"/>
    <col min="13" max="13" width="9.5703125" style="647" bestFit="1" customWidth="1"/>
    <col min="14" max="16384" width="8.85546875" style="647"/>
  </cols>
  <sheetData>
    <row r="1" spans="1:18">
      <c r="A1" s="1752" t="str">
        <f>+'MISO Cover'!C6</f>
        <v>Entergy Arkansas, Inc.</v>
      </c>
      <c r="B1" s="1752"/>
      <c r="C1" s="1752"/>
      <c r="D1" s="1752"/>
      <c r="E1" s="1752"/>
      <c r="F1" s="1752"/>
      <c r="G1" s="1752"/>
      <c r="H1" s="1752"/>
      <c r="I1" s="1752"/>
      <c r="J1" s="1752"/>
      <c r="K1" s="1752"/>
      <c r="L1" s="909"/>
    </row>
    <row r="2" spans="1:18">
      <c r="A2" s="1753" t="s">
        <v>1515</v>
      </c>
      <c r="B2" s="1753"/>
      <c r="C2" s="1753"/>
      <c r="D2" s="1753"/>
      <c r="E2" s="1753"/>
      <c r="F2" s="1753"/>
      <c r="G2" s="1753"/>
      <c r="H2" s="1753"/>
      <c r="I2" s="1753"/>
      <c r="J2" s="1753"/>
      <c r="K2" s="1753"/>
      <c r="L2" s="173"/>
    </row>
    <row r="3" spans="1:18">
      <c r="A3" s="1752" t="str">
        <f>+'MISO Cover'!K4</f>
        <v>For  the 12 Months Ended 12/31/2014</v>
      </c>
      <c r="B3" s="1752"/>
      <c r="C3" s="1752"/>
      <c r="D3" s="1752"/>
      <c r="E3" s="1752"/>
      <c r="F3" s="1752"/>
      <c r="G3" s="1752"/>
      <c r="H3" s="1752"/>
      <c r="I3" s="1752"/>
      <c r="J3" s="1752"/>
      <c r="K3" s="1752"/>
    </row>
    <row r="4" spans="1:18">
      <c r="B4" s="910"/>
      <c r="C4" s="910"/>
      <c r="D4" s="910"/>
      <c r="E4" s="903"/>
      <c r="F4" s="903"/>
      <c r="G4" s="903"/>
      <c r="I4" s="903"/>
      <c r="J4" s="903"/>
      <c r="K4" s="903"/>
      <c r="L4" s="909"/>
    </row>
    <row r="5" spans="1:18">
      <c r="A5" s="1753" t="s">
        <v>1671</v>
      </c>
      <c r="B5" s="1753"/>
      <c r="C5" s="1753"/>
      <c r="D5" s="1753"/>
      <c r="E5" s="1753"/>
      <c r="F5" s="1753"/>
      <c r="G5" s="1753"/>
      <c r="H5" s="1753"/>
      <c r="I5" s="1753"/>
      <c r="J5" s="1753"/>
      <c r="K5" s="1753"/>
    </row>
    <row r="6" spans="1:18">
      <c r="A6" s="1234"/>
      <c r="B6" s="1234"/>
      <c r="C6" s="1234"/>
      <c r="D6" s="1234"/>
      <c r="E6" s="1234"/>
      <c r="F6" s="1234"/>
      <c r="G6" s="1234"/>
      <c r="H6" s="1234"/>
      <c r="I6" s="1234"/>
      <c r="J6" s="1234"/>
      <c r="K6" s="1234"/>
    </row>
    <row r="7" spans="1:18" s="1035" customFormat="1">
      <c r="A7" s="1032"/>
      <c r="B7" s="1234"/>
      <c r="C7" s="1421"/>
      <c r="D7" s="1421"/>
      <c r="E7" s="1421" t="str">
        <f>+C8&amp;" + "&amp;D8</f>
        <v>B + C</v>
      </c>
      <c r="G7" s="241" t="str">
        <f>+"- ("&amp;E8&amp;"+"&amp;F8&amp;")"</f>
        <v>- (D+E)</v>
      </c>
      <c r="H7" s="1032" t="str">
        <f>+G8&amp;" * "&amp;D8&amp;"/"&amp;E8</f>
        <v>F * C/D</v>
      </c>
      <c r="K7" s="1032" t="str">
        <f>+G8&amp;" - "&amp;I8&amp;" - "&amp;J8</f>
        <v>F - H - I</v>
      </c>
      <c r="L7" s="1056"/>
    </row>
    <row r="8" spans="1:18" s="1035" customFormat="1" ht="13.15" customHeight="1">
      <c r="A8" s="1032" t="s">
        <v>663</v>
      </c>
      <c r="B8" s="894" t="s">
        <v>261</v>
      </c>
      <c r="C8" s="894" t="s">
        <v>309</v>
      </c>
      <c r="D8" s="894" t="s">
        <v>249</v>
      </c>
      <c r="E8" s="895" t="s">
        <v>262</v>
      </c>
      <c r="F8" s="895" t="s">
        <v>260</v>
      </c>
      <c r="G8" s="895" t="s">
        <v>351</v>
      </c>
      <c r="H8" s="895" t="s">
        <v>263</v>
      </c>
      <c r="I8" s="895" t="s">
        <v>364</v>
      </c>
      <c r="J8" s="895" t="s">
        <v>253</v>
      </c>
      <c r="K8" s="895" t="s">
        <v>254</v>
      </c>
      <c r="M8" s="1247"/>
      <c r="N8" s="1247"/>
      <c r="O8" s="1247"/>
      <c r="P8" s="1247"/>
      <c r="Q8" s="1247"/>
      <c r="R8" s="1245"/>
    </row>
    <row r="9" spans="1:18" s="1035" customFormat="1" ht="15">
      <c r="A9" s="1032"/>
      <c r="B9" s="894"/>
      <c r="C9" s="1784" t="s">
        <v>1344</v>
      </c>
      <c r="D9" s="1784"/>
      <c r="E9" s="1784"/>
      <c r="F9" s="1363" t="s">
        <v>1308</v>
      </c>
      <c r="G9" s="1784" t="s">
        <v>1347</v>
      </c>
      <c r="H9" s="1784"/>
      <c r="I9" s="1784" t="s">
        <v>1342</v>
      </c>
      <c r="J9" s="1784"/>
      <c r="K9" s="1363" t="s">
        <v>1347</v>
      </c>
      <c r="M9" s="1247"/>
      <c r="N9" s="1247"/>
      <c r="O9" s="1247"/>
      <c r="P9" s="1247"/>
      <c r="Q9" s="1247"/>
      <c r="R9" s="1245"/>
    </row>
    <row r="10" spans="1:18" s="1032" customFormat="1" ht="15" customHeight="1">
      <c r="A10" s="1033">
        <v>1</v>
      </c>
      <c r="B10" s="911" t="s">
        <v>372</v>
      </c>
      <c r="C10" s="1471" t="s">
        <v>1490</v>
      </c>
      <c r="D10" s="1246" t="s">
        <v>1345</v>
      </c>
      <c r="E10" s="1246" t="s">
        <v>308</v>
      </c>
      <c r="F10" s="1246" t="s">
        <v>1346</v>
      </c>
      <c r="G10" s="1246" t="s">
        <v>1349</v>
      </c>
      <c r="H10" s="1472" t="s">
        <v>1348</v>
      </c>
      <c r="I10" s="1246" t="s">
        <v>1341</v>
      </c>
      <c r="J10" s="1246" t="s">
        <v>1343</v>
      </c>
      <c r="K10" s="1246" t="s">
        <v>308</v>
      </c>
      <c r="M10" s="1247"/>
      <c r="N10" s="1247"/>
      <c r="O10" s="1247"/>
      <c r="P10" s="1247"/>
      <c r="Q10" s="1247"/>
      <c r="R10" s="1245"/>
    </row>
    <row r="11" spans="1:18">
      <c r="A11" s="1034">
        <f>+A10+0.01</f>
        <v>1.01</v>
      </c>
      <c r="B11" s="608" t="s">
        <v>705</v>
      </c>
      <c r="C11" s="222">
        <v>0</v>
      </c>
      <c r="D11" s="222">
        <v>0</v>
      </c>
      <c r="E11" s="80">
        <f t="shared" ref="E11:E33" si="0">+C11+D11</f>
        <v>0</v>
      </c>
      <c r="F11" s="1473">
        <v>0</v>
      </c>
      <c r="G11" s="80">
        <f>-(E11+F11)</f>
        <v>0</v>
      </c>
      <c r="H11" s="527">
        <f t="shared" ref="H11:H50" si="1">G11*IF($E11=0,0,+ABS($D11)/(ABS($C11)+ABS($D11)))</f>
        <v>0</v>
      </c>
      <c r="I11" s="1473">
        <v>0</v>
      </c>
      <c r="J11" s="1473">
        <v>0</v>
      </c>
      <c r="K11" s="912">
        <f>+G11-I11-J11</f>
        <v>0</v>
      </c>
      <c r="L11" s="1157"/>
      <c r="M11" s="1247"/>
      <c r="N11" s="1247"/>
      <c r="O11" s="1247"/>
      <c r="P11" s="1247"/>
      <c r="Q11" s="1247"/>
    </row>
    <row r="12" spans="1:18">
      <c r="A12" s="1034">
        <f t="shared" ref="A12:A52" si="2">+A11+0.01</f>
        <v>1.02</v>
      </c>
      <c r="B12" s="608" t="s">
        <v>706</v>
      </c>
      <c r="C12" s="222">
        <v>0</v>
      </c>
      <c r="D12" s="222">
        <v>0</v>
      </c>
      <c r="E12" s="80">
        <f t="shared" si="0"/>
        <v>0</v>
      </c>
      <c r="F12" s="1473">
        <v>0</v>
      </c>
      <c r="G12" s="80">
        <f t="shared" ref="G12:G50" si="3">-E12-F12</f>
        <v>0</v>
      </c>
      <c r="H12" s="527">
        <f t="shared" si="1"/>
        <v>0</v>
      </c>
      <c r="I12" s="1473">
        <v>0</v>
      </c>
      <c r="J12" s="1473">
        <v>0</v>
      </c>
      <c r="K12" s="912">
        <f t="shared" ref="K12:K54" si="4">+G12-I12-J12</f>
        <v>0</v>
      </c>
      <c r="L12" s="1157"/>
      <c r="M12" s="1247"/>
      <c r="N12" s="1247"/>
      <c r="O12" s="1247"/>
      <c r="P12" s="1247"/>
      <c r="Q12" s="1247"/>
    </row>
    <row r="13" spans="1:18">
      <c r="A13" s="1034">
        <f t="shared" si="2"/>
        <v>1.03</v>
      </c>
      <c r="B13" s="608" t="s">
        <v>707</v>
      </c>
      <c r="C13" s="222">
        <v>0</v>
      </c>
      <c r="D13" s="222">
        <v>0</v>
      </c>
      <c r="E13" s="80">
        <f t="shared" si="0"/>
        <v>0</v>
      </c>
      <c r="F13" s="1473">
        <v>0</v>
      </c>
      <c r="G13" s="80">
        <f t="shared" si="3"/>
        <v>0</v>
      </c>
      <c r="H13" s="527">
        <f t="shared" si="1"/>
        <v>0</v>
      </c>
      <c r="I13" s="1473">
        <v>0</v>
      </c>
      <c r="J13" s="1473">
        <v>0</v>
      </c>
      <c r="K13" s="912">
        <f t="shared" si="4"/>
        <v>0</v>
      </c>
      <c r="L13" s="1157"/>
      <c r="M13" s="1247"/>
      <c r="N13" s="1247"/>
      <c r="O13" s="1247"/>
      <c r="P13" s="1247"/>
      <c r="Q13" s="1247"/>
    </row>
    <row r="14" spans="1:18">
      <c r="A14" s="1034">
        <f t="shared" si="2"/>
        <v>1.04</v>
      </c>
      <c r="B14" s="608" t="s">
        <v>708</v>
      </c>
      <c r="C14" s="222">
        <v>0</v>
      </c>
      <c r="D14" s="222">
        <v>0</v>
      </c>
      <c r="E14" s="80">
        <f t="shared" si="0"/>
        <v>0</v>
      </c>
      <c r="F14" s="1473">
        <v>0</v>
      </c>
      <c r="G14" s="80">
        <f t="shared" si="3"/>
        <v>0</v>
      </c>
      <c r="H14" s="527">
        <f t="shared" si="1"/>
        <v>0</v>
      </c>
      <c r="I14" s="1473">
        <v>0</v>
      </c>
      <c r="J14" s="1473">
        <v>0</v>
      </c>
      <c r="K14" s="912">
        <f t="shared" si="4"/>
        <v>0</v>
      </c>
      <c r="L14" s="1157"/>
      <c r="M14" s="1247"/>
      <c r="N14" s="1247"/>
      <c r="O14" s="1247"/>
      <c r="P14" s="1247"/>
      <c r="Q14" s="1247"/>
    </row>
    <row r="15" spans="1:18">
      <c r="A15" s="1034">
        <f t="shared" si="2"/>
        <v>1.05</v>
      </c>
      <c r="B15" s="608" t="s">
        <v>373</v>
      </c>
      <c r="C15" s="222">
        <v>5946.7799999999979</v>
      </c>
      <c r="D15" s="222">
        <v>0</v>
      </c>
      <c r="E15" s="80">
        <f t="shared" si="0"/>
        <v>5946.7799999999979</v>
      </c>
      <c r="F15" s="1473">
        <v>-5890.34</v>
      </c>
      <c r="G15" s="80">
        <f t="shared" si="3"/>
        <v>-56.439999999997781</v>
      </c>
      <c r="H15" s="527">
        <f t="shared" si="1"/>
        <v>0</v>
      </c>
      <c r="I15" s="1473">
        <v>5742.03</v>
      </c>
      <c r="J15" s="1473">
        <v>68910.209999999992</v>
      </c>
      <c r="K15" s="912">
        <f t="shared" si="4"/>
        <v>-74708.679999999993</v>
      </c>
      <c r="L15" s="1157"/>
      <c r="M15" s="1247"/>
      <c r="N15" s="1247"/>
    </row>
    <row r="16" spans="1:18">
      <c r="A16" s="1034">
        <f t="shared" si="2"/>
        <v>1.06</v>
      </c>
      <c r="B16" s="608" t="s">
        <v>709</v>
      </c>
      <c r="C16" s="222">
        <v>-2267.3899999999985</v>
      </c>
      <c r="D16" s="222">
        <v>0</v>
      </c>
      <c r="E16" s="80">
        <f t="shared" si="0"/>
        <v>-2267.3899999999985</v>
      </c>
      <c r="F16" s="1473">
        <v>2921.85</v>
      </c>
      <c r="G16" s="80">
        <f t="shared" si="3"/>
        <v>-654.4600000000014</v>
      </c>
      <c r="H16" s="527">
        <f t="shared" si="1"/>
        <v>0</v>
      </c>
      <c r="I16" s="1473">
        <v>3825.0099999999993</v>
      </c>
      <c r="J16" s="1473">
        <v>39261.949999999997</v>
      </c>
      <c r="K16" s="912">
        <f t="shared" si="4"/>
        <v>-43741.42</v>
      </c>
      <c r="L16" s="1157"/>
      <c r="M16" s="1247"/>
      <c r="N16" s="1247"/>
    </row>
    <row r="17" spans="1:14">
      <c r="A17" s="1034">
        <f t="shared" si="2"/>
        <v>1.07</v>
      </c>
      <c r="B17" s="608" t="s">
        <v>710</v>
      </c>
      <c r="C17" s="222">
        <v>214.89000000000416</v>
      </c>
      <c r="D17" s="222">
        <v>-151.00000000000259</v>
      </c>
      <c r="E17" s="80">
        <f t="shared" si="0"/>
        <v>63.890000000001578</v>
      </c>
      <c r="F17" s="1473">
        <v>9734.3000000000029</v>
      </c>
      <c r="G17" s="80">
        <f t="shared" si="3"/>
        <v>-9798.1900000000041</v>
      </c>
      <c r="H17" s="527">
        <f t="shared" si="1"/>
        <v>-4043.6379512968338</v>
      </c>
      <c r="I17" s="1473"/>
      <c r="J17" s="1473">
        <v>193308.06999999998</v>
      </c>
      <c r="K17" s="912">
        <f t="shared" si="4"/>
        <v>-203106.25999999998</v>
      </c>
      <c r="L17" s="1157"/>
      <c r="M17" s="1247"/>
      <c r="N17" s="1247"/>
    </row>
    <row r="18" spans="1:14">
      <c r="A18" s="1034">
        <f t="shared" si="2"/>
        <v>1.08</v>
      </c>
      <c r="B18" s="608" t="s">
        <v>711</v>
      </c>
      <c r="C18" s="222">
        <v>0</v>
      </c>
      <c r="D18" s="222">
        <v>0</v>
      </c>
      <c r="E18" s="80">
        <f t="shared" si="0"/>
        <v>0</v>
      </c>
      <c r="F18" s="1473"/>
      <c r="G18" s="80">
        <f t="shared" si="3"/>
        <v>0</v>
      </c>
      <c r="H18" s="527">
        <f t="shared" si="1"/>
        <v>0</v>
      </c>
      <c r="I18" s="1473"/>
      <c r="J18" s="1473"/>
      <c r="K18" s="912">
        <f t="shared" si="4"/>
        <v>0</v>
      </c>
      <c r="L18" s="1157"/>
      <c r="M18" s="1247"/>
      <c r="N18" s="1247"/>
    </row>
    <row r="19" spans="1:14">
      <c r="A19" s="1034">
        <f t="shared" si="2"/>
        <v>1.0900000000000001</v>
      </c>
      <c r="B19" s="608" t="s">
        <v>712</v>
      </c>
      <c r="C19" s="222">
        <v>0</v>
      </c>
      <c r="D19" s="222">
        <v>0</v>
      </c>
      <c r="E19" s="80">
        <f t="shared" si="0"/>
        <v>0</v>
      </c>
      <c r="F19" s="1473"/>
      <c r="G19" s="80">
        <f t="shared" si="3"/>
        <v>0</v>
      </c>
      <c r="H19" s="527">
        <f t="shared" si="1"/>
        <v>0</v>
      </c>
      <c r="I19" s="1473"/>
      <c r="J19" s="1473"/>
      <c r="K19" s="912">
        <f t="shared" si="4"/>
        <v>0</v>
      </c>
      <c r="L19" s="1157"/>
      <c r="M19" s="1247"/>
      <c r="N19" s="1247"/>
    </row>
    <row r="20" spans="1:14">
      <c r="A20" s="1034">
        <f t="shared" si="2"/>
        <v>1.1000000000000001</v>
      </c>
      <c r="B20" s="608" t="s">
        <v>713</v>
      </c>
      <c r="C20" s="222">
        <v>0</v>
      </c>
      <c r="D20" s="222">
        <v>0</v>
      </c>
      <c r="E20" s="80">
        <f t="shared" si="0"/>
        <v>0</v>
      </c>
      <c r="F20" s="1473"/>
      <c r="G20" s="80">
        <f t="shared" si="3"/>
        <v>0</v>
      </c>
      <c r="H20" s="527">
        <f t="shared" si="1"/>
        <v>0</v>
      </c>
      <c r="I20" s="1473"/>
      <c r="J20" s="1473">
        <v>301.43</v>
      </c>
      <c r="K20" s="912">
        <f t="shared" si="4"/>
        <v>-301.43</v>
      </c>
      <c r="L20" s="1157"/>
      <c r="M20" s="1247"/>
      <c r="N20" s="1247"/>
    </row>
    <row r="21" spans="1:14">
      <c r="A21" s="1034">
        <f t="shared" si="2"/>
        <v>1.1100000000000001</v>
      </c>
      <c r="B21" s="608" t="s">
        <v>714</v>
      </c>
      <c r="C21" s="222">
        <v>5.490000000000002</v>
      </c>
      <c r="D21" s="222">
        <v>-7.1054273576010019E-15</v>
      </c>
      <c r="E21" s="80">
        <f t="shared" si="0"/>
        <v>5.4899999999999949</v>
      </c>
      <c r="F21" s="1473">
        <v>-1.1499999999999773</v>
      </c>
      <c r="G21" s="80">
        <f t="shared" si="3"/>
        <v>-4.3400000000000176</v>
      </c>
      <c r="H21" s="527">
        <f t="shared" si="1"/>
        <v>-5.6170409347884197E-15</v>
      </c>
      <c r="I21" s="1473"/>
      <c r="J21" s="1473">
        <v>0.20000000000000007</v>
      </c>
      <c r="K21" s="912">
        <f t="shared" si="4"/>
        <v>-4.5400000000000178</v>
      </c>
      <c r="L21" s="1157"/>
      <c r="M21" s="1247"/>
      <c r="N21" s="1247"/>
    </row>
    <row r="22" spans="1:14">
      <c r="A22" s="1034">
        <f t="shared" si="2"/>
        <v>1.1200000000000001</v>
      </c>
      <c r="B22" s="608" t="s">
        <v>715</v>
      </c>
      <c r="C22" s="222">
        <v>0</v>
      </c>
      <c r="D22" s="222">
        <v>1.519999999999996</v>
      </c>
      <c r="E22" s="80">
        <f t="shared" si="0"/>
        <v>1.519999999999996</v>
      </c>
      <c r="F22" s="1473">
        <v>52.52</v>
      </c>
      <c r="G22" s="80">
        <f t="shared" si="3"/>
        <v>-54.04</v>
      </c>
      <c r="H22" s="527">
        <f t="shared" si="1"/>
        <v>-54.04</v>
      </c>
      <c r="I22" s="1473"/>
      <c r="J22" s="1473">
        <v>944.82000000000016</v>
      </c>
      <c r="K22" s="912">
        <f t="shared" si="4"/>
        <v>-998.86000000000013</v>
      </c>
      <c r="L22" s="1157"/>
      <c r="M22" s="1247"/>
      <c r="N22" s="1247"/>
    </row>
    <row r="23" spans="1:14">
      <c r="A23" s="1034">
        <f t="shared" si="2"/>
        <v>1.1300000000000001</v>
      </c>
      <c r="B23" s="608" t="s">
        <v>716</v>
      </c>
      <c r="C23" s="222">
        <v>17381.620000000003</v>
      </c>
      <c r="D23" s="222">
        <v>1409.3500000000013</v>
      </c>
      <c r="E23" s="80">
        <f t="shared" si="0"/>
        <v>18790.970000000005</v>
      </c>
      <c r="F23" s="1473">
        <v>-13163.029999999992</v>
      </c>
      <c r="G23" s="80">
        <f t="shared" si="3"/>
        <v>-5627.9400000000132</v>
      </c>
      <c r="H23" s="527">
        <f t="shared" si="1"/>
        <v>-422.10366143951182</v>
      </c>
      <c r="I23" s="1473">
        <v>274525.58</v>
      </c>
      <c r="J23" s="1473">
        <v>181278.86</v>
      </c>
      <c r="K23" s="912">
        <f t="shared" si="4"/>
        <v>-461432.38</v>
      </c>
      <c r="L23" s="1157"/>
      <c r="M23" s="1247"/>
      <c r="N23" s="1247"/>
    </row>
    <row r="24" spans="1:14">
      <c r="A24" s="1034">
        <f t="shared" si="2"/>
        <v>1.1400000000000001</v>
      </c>
      <c r="B24" s="608">
        <v>561100</v>
      </c>
      <c r="C24" s="222">
        <v>0</v>
      </c>
      <c r="D24" s="222">
        <v>0</v>
      </c>
      <c r="E24" s="80">
        <f t="shared" si="0"/>
        <v>0</v>
      </c>
      <c r="F24" s="1473"/>
      <c r="G24" s="912">
        <f t="shared" si="3"/>
        <v>0</v>
      </c>
      <c r="H24" s="527">
        <f t="shared" si="1"/>
        <v>0</v>
      </c>
      <c r="I24" s="1473">
        <v>29.470000000000002</v>
      </c>
      <c r="J24" s="1473"/>
      <c r="K24" s="912">
        <f t="shared" si="4"/>
        <v>-29.470000000000002</v>
      </c>
      <c r="L24" s="1157"/>
      <c r="M24" s="1247"/>
      <c r="N24" s="1247"/>
    </row>
    <row r="25" spans="1:14">
      <c r="A25" s="1034">
        <f t="shared" si="2"/>
        <v>1.1500000000000001</v>
      </c>
      <c r="B25" s="608">
        <v>561200</v>
      </c>
      <c r="C25" s="222">
        <v>0</v>
      </c>
      <c r="D25" s="222">
        <v>0</v>
      </c>
      <c r="E25" s="80">
        <f t="shared" si="0"/>
        <v>0</v>
      </c>
      <c r="F25" s="1473"/>
      <c r="G25" s="912">
        <f t="shared" ref="G25" si="5">-E25-F25</f>
        <v>0</v>
      </c>
      <c r="H25" s="527">
        <f t="shared" ref="H25" si="6">G25*IF($E25=0,0,+ABS($D25)/(ABS($C25)+ABS($D25)))</f>
        <v>0</v>
      </c>
      <c r="I25" s="1473">
        <v>1226.6099999999999</v>
      </c>
      <c r="J25" s="1473">
        <v>-34.780000000000008</v>
      </c>
      <c r="K25" s="912">
        <f t="shared" si="4"/>
        <v>-1191.83</v>
      </c>
      <c r="L25" s="1157"/>
      <c r="M25" s="1247"/>
      <c r="N25" s="1247"/>
    </row>
    <row r="26" spans="1:14">
      <c r="A26" s="1034">
        <f t="shared" si="2"/>
        <v>1.1600000000000001</v>
      </c>
      <c r="B26" s="608" t="s">
        <v>1400</v>
      </c>
      <c r="C26" s="222">
        <v>6534.71</v>
      </c>
      <c r="D26" s="222">
        <v>0</v>
      </c>
      <c r="E26" s="80">
        <f t="shared" ref="E26" si="7">+C26+D26</f>
        <v>6534.71</v>
      </c>
      <c r="F26" s="1473"/>
      <c r="G26" s="912">
        <f t="shared" ref="G26" si="8">-E26-F26</f>
        <v>-6534.71</v>
      </c>
      <c r="H26" s="527">
        <f t="shared" ref="H26" si="9">G26*IF($E26=0,0,+ABS($D26)/(ABS($C26)+ABS($D26)))</f>
        <v>0</v>
      </c>
      <c r="I26" s="1473"/>
      <c r="J26" s="1473"/>
      <c r="K26" s="912">
        <f t="shared" ref="K26" si="10">+G26-I26-J26</f>
        <v>-6534.71</v>
      </c>
      <c r="L26" s="1157"/>
      <c r="M26" s="1247"/>
      <c r="N26" s="1247"/>
    </row>
    <row r="27" spans="1:14">
      <c r="A27" s="1034">
        <f t="shared" si="2"/>
        <v>1.1700000000000002</v>
      </c>
      <c r="B27" s="608" t="s">
        <v>717</v>
      </c>
      <c r="C27" s="222">
        <v>0</v>
      </c>
      <c r="D27" s="222">
        <v>0</v>
      </c>
      <c r="E27" s="80">
        <f t="shared" si="0"/>
        <v>0</v>
      </c>
      <c r="F27" s="1473"/>
      <c r="G27" s="912">
        <f t="shared" si="3"/>
        <v>0</v>
      </c>
      <c r="H27" s="527">
        <f t="shared" si="1"/>
        <v>0</v>
      </c>
      <c r="I27" s="1473">
        <v>1364.72</v>
      </c>
      <c r="J27" s="1473">
        <v>-0.84</v>
      </c>
      <c r="K27" s="912">
        <f t="shared" si="4"/>
        <v>-1363.88</v>
      </c>
      <c r="L27" s="1157"/>
      <c r="M27" s="1247"/>
      <c r="N27" s="1247"/>
    </row>
    <row r="28" spans="1:14">
      <c r="A28" s="1034">
        <f t="shared" si="2"/>
        <v>1.1800000000000002</v>
      </c>
      <c r="B28" s="608" t="s">
        <v>718</v>
      </c>
      <c r="C28" s="222">
        <v>0</v>
      </c>
      <c r="D28" s="222">
        <v>-306.85000000000002</v>
      </c>
      <c r="E28" s="80">
        <f t="shared" si="0"/>
        <v>-306.85000000000002</v>
      </c>
      <c r="F28" s="1473">
        <v>367.9000000000002</v>
      </c>
      <c r="G28" s="80">
        <f t="shared" si="3"/>
        <v>-61.050000000000182</v>
      </c>
      <c r="H28" s="527">
        <f t="shared" si="1"/>
        <v>-61.050000000000182</v>
      </c>
      <c r="I28" s="1473">
        <v>896.84</v>
      </c>
      <c r="J28" s="1473">
        <v>822.21</v>
      </c>
      <c r="K28" s="912">
        <f t="shared" si="4"/>
        <v>-1780.1000000000004</v>
      </c>
      <c r="L28" s="1157"/>
      <c r="M28" s="1247"/>
      <c r="N28" s="1247"/>
    </row>
    <row r="29" spans="1:14">
      <c r="A29" s="1034">
        <f t="shared" si="2"/>
        <v>1.1900000000000002</v>
      </c>
      <c r="B29" s="608">
        <v>562000</v>
      </c>
      <c r="C29" s="222">
        <v>947935.87</v>
      </c>
      <c r="D29" s="222">
        <v>0</v>
      </c>
      <c r="E29" s="80">
        <f t="shared" ref="E29" si="11">+C29+D29</f>
        <v>947935.87</v>
      </c>
      <c r="F29" s="1473">
        <v>-947935.87</v>
      </c>
      <c r="G29" s="80">
        <f t="shared" ref="G29" si="12">-E29-F29</f>
        <v>0</v>
      </c>
      <c r="H29" s="527">
        <f t="shared" ref="H29" si="13">G29*IF($E29=0,0,+ABS($D29)/(ABS($C29)+ABS($D29)))</f>
        <v>0</v>
      </c>
      <c r="I29" s="1473">
        <v>114927.75</v>
      </c>
      <c r="J29" s="1473">
        <v>110779.56</v>
      </c>
      <c r="K29" s="912">
        <f t="shared" ref="K29" si="14">+G29-I29-J29</f>
        <v>-225707.31</v>
      </c>
      <c r="L29" s="1157"/>
      <c r="M29" s="1247"/>
      <c r="N29" s="1247"/>
    </row>
    <row r="30" spans="1:14">
      <c r="A30" s="1034">
        <f t="shared" si="2"/>
        <v>1.2000000000000002</v>
      </c>
      <c r="B30" s="608" t="s">
        <v>719</v>
      </c>
      <c r="C30" s="222">
        <v>963.53000000000338</v>
      </c>
      <c r="D30" s="222">
        <v>968.79</v>
      </c>
      <c r="E30" s="80">
        <f t="shared" si="0"/>
        <v>1932.3200000000033</v>
      </c>
      <c r="F30" s="1473">
        <v>-1870.9999999999927</v>
      </c>
      <c r="G30" s="80">
        <f t="shared" si="3"/>
        <v>-61.320000000010623</v>
      </c>
      <c r="H30" s="527">
        <f t="shared" si="1"/>
        <v>-30.743460089431455</v>
      </c>
      <c r="I30" s="1473">
        <v>542554.6</v>
      </c>
      <c r="J30" s="1473">
        <v>515676.72</v>
      </c>
      <c r="K30" s="912">
        <f t="shared" si="4"/>
        <v>-1058292.6400000001</v>
      </c>
      <c r="L30" s="1157"/>
      <c r="M30" s="1247"/>
      <c r="N30" s="1247"/>
    </row>
    <row r="31" spans="1:14">
      <c r="A31" s="1034">
        <f t="shared" si="2"/>
        <v>1.2100000000000002</v>
      </c>
      <c r="B31" s="608">
        <v>567000</v>
      </c>
      <c r="C31" s="222">
        <v>0</v>
      </c>
      <c r="D31" s="222">
        <v>0</v>
      </c>
      <c r="E31" s="80">
        <f t="shared" si="0"/>
        <v>0</v>
      </c>
      <c r="F31" s="1473"/>
      <c r="G31" s="80">
        <f t="shared" ref="G31:G32" si="15">-E31-F31</f>
        <v>0</v>
      </c>
      <c r="H31" s="527">
        <f t="shared" ref="H31:H32" si="16">G31*IF($E31=0,0,+ABS($D31)/(ABS($C31)+ABS($D31)))</f>
        <v>0</v>
      </c>
      <c r="I31" s="1473"/>
      <c r="J31" s="1473"/>
      <c r="K31" s="912">
        <f t="shared" ref="K31:K32" si="17">+G31-I31-J31</f>
        <v>0</v>
      </c>
      <c r="L31" s="1157"/>
      <c r="M31" s="1247"/>
      <c r="N31" s="1247"/>
    </row>
    <row r="32" spans="1:14">
      <c r="A32" s="1034">
        <f t="shared" si="2"/>
        <v>1.2200000000000002</v>
      </c>
      <c r="B32" s="608">
        <v>568000</v>
      </c>
      <c r="C32" s="222">
        <v>0</v>
      </c>
      <c r="D32" s="222">
        <v>0</v>
      </c>
      <c r="E32" s="80">
        <f t="shared" si="0"/>
        <v>0</v>
      </c>
      <c r="F32" s="1473"/>
      <c r="G32" s="80">
        <f t="shared" si="15"/>
        <v>0</v>
      </c>
      <c r="H32" s="527">
        <f t="shared" si="16"/>
        <v>0</v>
      </c>
      <c r="I32" s="1473">
        <v>296.87</v>
      </c>
      <c r="J32" s="1473"/>
      <c r="K32" s="912">
        <f t="shared" si="17"/>
        <v>-296.87</v>
      </c>
      <c r="L32" s="1157"/>
      <c r="M32" s="1247"/>
      <c r="N32" s="1247"/>
    </row>
    <row r="33" spans="1:14">
      <c r="A33" s="1034">
        <f t="shared" si="2"/>
        <v>1.2300000000000002</v>
      </c>
      <c r="B33" s="608">
        <v>569000</v>
      </c>
      <c r="C33" s="222">
        <v>0</v>
      </c>
      <c r="D33" s="222">
        <v>0</v>
      </c>
      <c r="E33" s="80">
        <f t="shared" si="0"/>
        <v>0</v>
      </c>
      <c r="F33" s="1473"/>
      <c r="G33" s="80">
        <f t="shared" si="3"/>
        <v>0</v>
      </c>
      <c r="H33" s="527">
        <f t="shared" si="1"/>
        <v>0</v>
      </c>
      <c r="I33" s="1473"/>
      <c r="J33" s="1473"/>
      <c r="K33" s="912">
        <f t="shared" si="4"/>
        <v>0</v>
      </c>
      <c r="L33" s="1157"/>
      <c r="M33" s="1247"/>
      <c r="N33" s="1247"/>
    </row>
    <row r="34" spans="1:14">
      <c r="A34" s="1034">
        <f t="shared" si="2"/>
        <v>1.2400000000000002</v>
      </c>
      <c r="B34" s="608" t="s">
        <v>720</v>
      </c>
      <c r="C34" s="222">
        <v>0</v>
      </c>
      <c r="D34" s="222">
        <v>0</v>
      </c>
      <c r="E34" s="80">
        <f t="shared" ref="E34:E35" si="18">+C34+D34</f>
        <v>0</v>
      </c>
      <c r="F34" s="1473">
        <v>1.0000000000000009E-2</v>
      </c>
      <c r="G34" s="80">
        <f t="shared" ref="G34:G35" si="19">-E34-F34</f>
        <v>-1.0000000000000009E-2</v>
      </c>
      <c r="H34" s="527">
        <f t="shared" ref="H34:H35" si="20">G34*IF($E34=0,0,+ABS($D34)/(ABS($C34)+ABS($D34)))</f>
        <v>0</v>
      </c>
      <c r="I34" s="1473">
        <v>395.64</v>
      </c>
      <c r="J34" s="1473">
        <v>-63.3</v>
      </c>
      <c r="K34" s="912">
        <f t="shared" ref="K34:K35" si="21">+G34-I34-J34</f>
        <v>-332.34999999999997</v>
      </c>
      <c r="L34" s="1157"/>
      <c r="M34" s="1247"/>
      <c r="N34" s="1247"/>
    </row>
    <row r="35" spans="1:14">
      <c r="A35" s="1034">
        <f t="shared" si="2"/>
        <v>1.2500000000000002</v>
      </c>
      <c r="B35" s="608">
        <v>573000</v>
      </c>
      <c r="C35" s="222">
        <v>0</v>
      </c>
      <c r="D35" s="222">
        <v>0</v>
      </c>
      <c r="E35" s="80">
        <f t="shared" si="18"/>
        <v>0</v>
      </c>
      <c r="F35" s="1473"/>
      <c r="G35" s="80">
        <f t="shared" si="19"/>
        <v>0</v>
      </c>
      <c r="H35" s="527">
        <f t="shared" si="20"/>
        <v>0</v>
      </c>
      <c r="I35" s="1473"/>
      <c r="J35" s="1473"/>
      <c r="K35" s="912">
        <f t="shared" si="21"/>
        <v>0</v>
      </c>
      <c r="L35" s="1157"/>
      <c r="M35" s="1247"/>
      <c r="N35" s="1247"/>
    </row>
    <row r="36" spans="1:14">
      <c r="A36" s="1034">
        <f t="shared" si="2"/>
        <v>1.2600000000000002</v>
      </c>
      <c r="B36" s="608">
        <v>575100</v>
      </c>
      <c r="C36" s="222"/>
      <c r="D36" s="222"/>
      <c r="E36" s="80">
        <f t="shared" ref="E36:E45" si="22">+C36+D36</f>
        <v>0</v>
      </c>
      <c r="F36" s="1473"/>
      <c r="G36" s="80">
        <f t="shared" si="3"/>
        <v>0</v>
      </c>
      <c r="H36" s="527">
        <f t="shared" si="1"/>
        <v>0</v>
      </c>
      <c r="I36" s="1473"/>
      <c r="J36" s="1473"/>
      <c r="K36" s="912">
        <f t="shared" si="4"/>
        <v>0</v>
      </c>
      <c r="L36" s="1157"/>
      <c r="M36" s="1247"/>
      <c r="N36" s="1247"/>
    </row>
    <row r="37" spans="1:14">
      <c r="A37" s="1034">
        <f t="shared" si="2"/>
        <v>1.2700000000000002</v>
      </c>
      <c r="B37" s="608" t="s">
        <v>721</v>
      </c>
      <c r="C37" s="222">
        <v>0</v>
      </c>
      <c r="D37" s="222">
        <v>0</v>
      </c>
      <c r="E37" s="80">
        <f t="shared" si="22"/>
        <v>0</v>
      </c>
      <c r="F37" s="1473"/>
      <c r="G37" s="80">
        <f t="shared" si="3"/>
        <v>0</v>
      </c>
      <c r="H37" s="527">
        <f t="shared" si="1"/>
        <v>0</v>
      </c>
      <c r="I37" s="1473"/>
      <c r="J37" s="1473">
        <v>-0.55000000000000004</v>
      </c>
      <c r="K37" s="912">
        <f t="shared" si="4"/>
        <v>0.55000000000000004</v>
      </c>
      <c r="L37" s="1157"/>
      <c r="M37" s="1247"/>
      <c r="N37" s="1247"/>
    </row>
    <row r="38" spans="1:14">
      <c r="A38" s="1034">
        <f t="shared" si="2"/>
        <v>1.2800000000000002</v>
      </c>
      <c r="B38" s="608" t="s">
        <v>722</v>
      </c>
      <c r="C38" s="222">
        <v>0</v>
      </c>
      <c r="D38" s="222">
        <v>0</v>
      </c>
      <c r="E38" s="80">
        <f t="shared" si="22"/>
        <v>0</v>
      </c>
      <c r="F38" s="1473"/>
      <c r="G38" s="80">
        <f t="shared" si="3"/>
        <v>0</v>
      </c>
      <c r="H38" s="527">
        <f t="shared" si="1"/>
        <v>0</v>
      </c>
      <c r="I38" s="1473"/>
      <c r="J38" s="1473">
        <v>9.5299999999999994</v>
      </c>
      <c r="K38" s="912">
        <f t="shared" si="4"/>
        <v>-9.5299999999999994</v>
      </c>
      <c r="L38" s="1157"/>
      <c r="M38" s="1247"/>
      <c r="N38" s="1247"/>
    </row>
    <row r="39" spans="1:14">
      <c r="A39" s="1034">
        <f t="shared" si="2"/>
        <v>1.2900000000000003</v>
      </c>
      <c r="B39" s="608" t="s">
        <v>723</v>
      </c>
      <c r="C39" s="222">
        <v>0</v>
      </c>
      <c r="D39" s="222">
        <v>0</v>
      </c>
      <c r="E39" s="80">
        <f t="shared" ref="E39" si="23">+C39+D39</f>
        <v>0</v>
      </c>
      <c r="F39" s="1473"/>
      <c r="G39" s="80">
        <f t="shared" ref="G39" si="24">-E39-F39</f>
        <v>0</v>
      </c>
      <c r="H39" s="527">
        <f t="shared" ref="H39" si="25">G39*IF($E39=0,0,+ABS($D39)/(ABS($C39)+ABS($D39)))</f>
        <v>0</v>
      </c>
      <c r="I39" s="1473"/>
      <c r="J39" s="1473"/>
      <c r="K39" s="912">
        <f t="shared" ref="K39" si="26">+G39-I39-J39</f>
        <v>0</v>
      </c>
      <c r="L39" s="1157"/>
      <c r="M39" s="1247"/>
      <c r="N39" s="1247"/>
    </row>
    <row r="40" spans="1:14">
      <c r="A40" s="1034">
        <f t="shared" si="2"/>
        <v>1.3000000000000003</v>
      </c>
      <c r="B40" s="608">
        <v>912000</v>
      </c>
      <c r="C40" s="222"/>
      <c r="D40" s="222"/>
      <c r="E40" s="80">
        <f t="shared" si="22"/>
        <v>0</v>
      </c>
      <c r="F40" s="1473"/>
      <c r="G40" s="80">
        <f t="shared" si="3"/>
        <v>0</v>
      </c>
      <c r="H40" s="527">
        <f t="shared" si="1"/>
        <v>0</v>
      </c>
      <c r="I40" s="1473"/>
      <c r="J40" s="1473"/>
      <c r="K40" s="912">
        <f t="shared" si="4"/>
        <v>0</v>
      </c>
      <c r="L40" s="1157"/>
      <c r="M40" s="1247"/>
      <c r="N40" s="1247"/>
    </row>
    <row r="41" spans="1:14">
      <c r="A41" s="1034">
        <f t="shared" si="2"/>
        <v>1.3100000000000003</v>
      </c>
      <c r="B41" s="608" t="s">
        <v>724</v>
      </c>
      <c r="C41" s="222">
        <v>12319.869999999995</v>
      </c>
      <c r="D41" s="222">
        <v>35610.219999999987</v>
      </c>
      <c r="E41" s="80">
        <f t="shared" si="22"/>
        <v>47930.089999999982</v>
      </c>
      <c r="F41" s="1473">
        <v>-37291.199999999997</v>
      </c>
      <c r="G41" s="80">
        <f t="shared" si="3"/>
        <v>-10638.889999999985</v>
      </c>
      <c r="H41" s="527">
        <f t="shared" si="1"/>
        <v>-7904.2875457942901</v>
      </c>
      <c r="I41" s="1473">
        <v>39469.429999999993</v>
      </c>
      <c r="J41" s="1473">
        <v>310347.7</v>
      </c>
      <c r="K41" s="912">
        <f t="shared" si="4"/>
        <v>-360456.02</v>
      </c>
      <c r="L41" s="1297"/>
      <c r="M41" s="1247"/>
      <c r="N41" s="1247"/>
    </row>
    <row r="42" spans="1:14">
      <c r="A42" s="1034">
        <f t="shared" si="2"/>
        <v>1.3200000000000003</v>
      </c>
      <c r="B42" s="608" t="s">
        <v>725</v>
      </c>
      <c r="C42" s="222">
        <v>10194.279999999995</v>
      </c>
      <c r="D42" s="222">
        <v>0</v>
      </c>
      <c r="E42" s="80">
        <f t="shared" si="22"/>
        <v>10194.279999999995</v>
      </c>
      <c r="F42" s="1473">
        <v>-10276.449999999999</v>
      </c>
      <c r="G42" s="80">
        <f t="shared" si="3"/>
        <v>82.170000000003711</v>
      </c>
      <c r="H42" s="527">
        <f t="shared" si="1"/>
        <v>0</v>
      </c>
      <c r="I42" s="1473">
        <v>5678.9599999999991</v>
      </c>
      <c r="J42" s="1473">
        <v>48022.540000000008</v>
      </c>
      <c r="K42" s="912">
        <f t="shared" si="4"/>
        <v>-53619.33</v>
      </c>
      <c r="L42" s="1157"/>
      <c r="M42" s="1247"/>
      <c r="N42" s="1247"/>
    </row>
    <row r="43" spans="1:14">
      <c r="A43" s="1034">
        <f t="shared" si="2"/>
        <v>1.3300000000000003</v>
      </c>
      <c r="B43" s="608" t="s">
        <v>726</v>
      </c>
      <c r="C43" s="222">
        <v>-150763.15999999997</v>
      </c>
      <c r="D43" s="222">
        <v>0</v>
      </c>
      <c r="E43" s="80">
        <f t="shared" si="22"/>
        <v>-150763.15999999997</v>
      </c>
      <c r="F43" s="1473">
        <v>144647.47000000003</v>
      </c>
      <c r="G43" s="80">
        <f t="shared" si="3"/>
        <v>6115.6899999999441</v>
      </c>
      <c r="H43" s="527">
        <f t="shared" si="1"/>
        <v>0</v>
      </c>
      <c r="I43" s="1473">
        <v>128054.21999999997</v>
      </c>
      <c r="J43" s="1473">
        <v>1513945.7600000002</v>
      </c>
      <c r="K43" s="912">
        <f t="shared" si="4"/>
        <v>-1635884.2900000003</v>
      </c>
      <c r="L43" s="1157"/>
      <c r="M43" s="1247"/>
      <c r="N43" s="1247"/>
    </row>
    <row r="44" spans="1:14">
      <c r="A44" s="1034">
        <f t="shared" si="2"/>
        <v>1.3400000000000003</v>
      </c>
      <c r="B44" s="608">
        <v>924000</v>
      </c>
      <c r="C44" s="222">
        <v>0</v>
      </c>
      <c r="D44" s="222">
        <v>0</v>
      </c>
      <c r="E44" s="80">
        <f t="shared" si="22"/>
        <v>0</v>
      </c>
      <c r="F44" s="1473"/>
      <c r="G44" s="80">
        <f t="shared" si="3"/>
        <v>0</v>
      </c>
      <c r="H44" s="527">
        <f t="shared" si="1"/>
        <v>0</v>
      </c>
      <c r="I44" s="1473">
        <v>3.5699999999999994</v>
      </c>
      <c r="J44" s="1473"/>
      <c r="K44" s="912">
        <f t="shared" si="4"/>
        <v>-3.5699999999999994</v>
      </c>
      <c r="L44" s="1157"/>
      <c r="M44" s="1247"/>
      <c r="N44" s="1247"/>
    </row>
    <row r="45" spans="1:14" ht="14.25" customHeight="1">
      <c r="A45" s="1034">
        <f t="shared" si="2"/>
        <v>1.3500000000000003</v>
      </c>
      <c r="B45" s="608" t="s">
        <v>727</v>
      </c>
      <c r="C45" s="222">
        <v>0</v>
      </c>
      <c r="D45" s="222">
        <v>0</v>
      </c>
      <c r="E45" s="80">
        <f t="shared" si="22"/>
        <v>0</v>
      </c>
      <c r="F45" s="1473"/>
      <c r="G45" s="80">
        <f t="shared" si="3"/>
        <v>0</v>
      </c>
      <c r="H45" s="527">
        <f t="shared" si="1"/>
        <v>0</v>
      </c>
      <c r="I45" s="1473">
        <v>0.84</v>
      </c>
      <c r="J45" s="1473">
        <v>18.699999999999996</v>
      </c>
      <c r="K45" s="912">
        <f t="shared" si="4"/>
        <v>-19.539999999999996</v>
      </c>
      <c r="L45" s="1157"/>
      <c r="M45" s="1247"/>
      <c r="N45" s="1247"/>
    </row>
    <row r="46" spans="1:14" ht="14.25" customHeight="1">
      <c r="A46" s="1034">
        <f t="shared" si="2"/>
        <v>1.3600000000000003</v>
      </c>
      <c r="B46" s="608" t="s">
        <v>728</v>
      </c>
      <c r="C46" s="222">
        <v>19886.199999999997</v>
      </c>
      <c r="D46" s="222">
        <v>0</v>
      </c>
      <c r="E46" s="80">
        <f t="shared" ref="E46:E54" si="27">+C46+D46</f>
        <v>19886.199999999997</v>
      </c>
      <c r="F46" s="1473">
        <v>-11473.97</v>
      </c>
      <c r="G46" s="80">
        <f t="shared" si="3"/>
        <v>-8412.2299999999977</v>
      </c>
      <c r="H46" s="527">
        <f t="shared" si="1"/>
        <v>0</v>
      </c>
      <c r="I46" s="1473">
        <v>28278.25</v>
      </c>
      <c r="J46" s="1473">
        <v>245911.91999999998</v>
      </c>
      <c r="K46" s="912">
        <f t="shared" si="4"/>
        <v>-282602.39999999997</v>
      </c>
      <c r="L46" s="1157"/>
      <c r="M46" s="1247"/>
      <c r="N46" s="1247"/>
    </row>
    <row r="47" spans="1:14" ht="14.25" customHeight="1">
      <c r="A47" s="1034">
        <f t="shared" si="2"/>
        <v>1.3700000000000003</v>
      </c>
      <c r="B47" s="608" t="s">
        <v>613</v>
      </c>
      <c r="C47" s="222">
        <v>0</v>
      </c>
      <c r="D47" s="222">
        <v>49.37</v>
      </c>
      <c r="E47" s="80">
        <f t="shared" si="27"/>
        <v>49.37</v>
      </c>
      <c r="F47" s="1473">
        <v>-8.9999999999990905</v>
      </c>
      <c r="G47" s="912">
        <f t="shared" si="3"/>
        <v>-40.370000000000907</v>
      </c>
      <c r="H47" s="527">
        <f t="shared" si="1"/>
        <v>-40.370000000000907</v>
      </c>
      <c r="I47" s="1473">
        <v>6083.0700000000006</v>
      </c>
      <c r="J47" s="1473">
        <v>20.400000000000006</v>
      </c>
      <c r="K47" s="912">
        <f t="shared" si="4"/>
        <v>-6143.8400000000011</v>
      </c>
      <c r="L47" s="1157"/>
      <c r="M47" s="1247"/>
      <c r="N47" s="1247"/>
    </row>
    <row r="48" spans="1:14" ht="14.25" customHeight="1">
      <c r="A48" s="1034">
        <f t="shared" si="2"/>
        <v>1.3800000000000003</v>
      </c>
      <c r="B48" s="608" t="s">
        <v>614</v>
      </c>
      <c r="C48" s="222">
        <v>0</v>
      </c>
      <c r="D48" s="222">
        <v>0</v>
      </c>
      <c r="E48" s="80">
        <f t="shared" si="27"/>
        <v>0</v>
      </c>
      <c r="F48" s="1473"/>
      <c r="G48" s="912">
        <f t="shared" si="3"/>
        <v>0</v>
      </c>
      <c r="H48" s="527">
        <f t="shared" si="1"/>
        <v>0</v>
      </c>
      <c r="I48" s="1473">
        <v>496.09000000000003</v>
      </c>
      <c r="J48" s="1473"/>
      <c r="K48" s="912">
        <f t="shared" si="4"/>
        <v>-496.09000000000003</v>
      </c>
      <c r="L48" s="1157"/>
      <c r="M48" s="1247"/>
      <c r="N48" s="1247"/>
    </row>
    <row r="49" spans="1:14">
      <c r="A49" s="1034">
        <f t="shared" si="2"/>
        <v>1.3900000000000003</v>
      </c>
      <c r="B49" s="608" t="s">
        <v>729</v>
      </c>
      <c r="C49" s="222">
        <v>135</v>
      </c>
      <c r="D49" s="222">
        <v>0</v>
      </c>
      <c r="E49" s="80">
        <f t="shared" si="27"/>
        <v>135</v>
      </c>
      <c r="F49" s="1473">
        <v>-134.99</v>
      </c>
      <c r="G49" s="80">
        <f t="shared" si="3"/>
        <v>-9.9999999999909051E-3</v>
      </c>
      <c r="H49" s="527">
        <f t="shared" si="1"/>
        <v>0</v>
      </c>
      <c r="I49" s="1473">
        <v>1623.5100000000002</v>
      </c>
      <c r="J49" s="1473">
        <v>17982.18</v>
      </c>
      <c r="K49" s="912">
        <f t="shared" si="4"/>
        <v>-19605.7</v>
      </c>
      <c r="L49" s="1157"/>
      <c r="N49" s="1247"/>
    </row>
    <row r="50" spans="1:14">
      <c r="A50" s="1034">
        <f t="shared" si="2"/>
        <v>1.4000000000000004</v>
      </c>
      <c r="B50" s="608" t="s">
        <v>730</v>
      </c>
      <c r="C50" s="222">
        <v>0</v>
      </c>
      <c r="D50" s="222">
        <v>0</v>
      </c>
      <c r="E50" s="80">
        <f t="shared" si="27"/>
        <v>0</v>
      </c>
      <c r="F50" s="1473">
        <v>1.379999999999999</v>
      </c>
      <c r="G50" s="80">
        <f t="shared" si="3"/>
        <v>-1.379999999999999</v>
      </c>
      <c r="H50" s="527">
        <f t="shared" si="1"/>
        <v>0</v>
      </c>
      <c r="I50" s="1473">
        <v>33.39</v>
      </c>
      <c r="J50" s="1473">
        <v>742.81999999999994</v>
      </c>
      <c r="K50" s="912">
        <f t="shared" si="4"/>
        <v>-777.58999999999992</v>
      </c>
      <c r="N50" s="1247"/>
    </row>
    <row r="51" spans="1:14">
      <c r="A51" s="1034">
        <f t="shared" si="2"/>
        <v>1.4100000000000004</v>
      </c>
      <c r="B51" s="608">
        <v>935000</v>
      </c>
      <c r="C51" s="222">
        <v>38.200000000000003</v>
      </c>
      <c r="D51" s="222">
        <v>0</v>
      </c>
      <c r="E51" s="80">
        <f t="shared" si="27"/>
        <v>38.200000000000003</v>
      </c>
      <c r="F51" s="1473">
        <v>-38.200000000000003</v>
      </c>
      <c r="G51" s="80">
        <f t="shared" ref="G51" si="28">-E51-F51</f>
        <v>0</v>
      </c>
      <c r="H51" s="527">
        <f t="shared" ref="H51" si="29">G51*IF($E51=0,0,+ABS($D51)/(ABS($C51)+ABS($D51)))</f>
        <v>0</v>
      </c>
      <c r="I51" s="1473">
        <v>19.18</v>
      </c>
      <c r="J51" s="1473">
        <v>7.63</v>
      </c>
      <c r="K51" s="912">
        <f t="shared" si="4"/>
        <v>-26.81</v>
      </c>
      <c r="N51" s="1247"/>
    </row>
    <row r="52" spans="1:14">
      <c r="A52" s="1474">
        <f t="shared" si="2"/>
        <v>1.4200000000000004</v>
      </c>
      <c r="B52" s="1434" t="s">
        <v>1507</v>
      </c>
      <c r="C52" s="222">
        <v>0</v>
      </c>
      <c r="D52" s="222">
        <v>0</v>
      </c>
      <c r="E52" s="222">
        <f t="shared" si="27"/>
        <v>0</v>
      </c>
      <c r="F52" s="1473">
        <v>0</v>
      </c>
      <c r="G52" s="222">
        <v>0</v>
      </c>
      <c r="H52" s="1475">
        <v>0</v>
      </c>
      <c r="I52" s="1473">
        <v>0</v>
      </c>
      <c r="J52" s="1473">
        <v>0</v>
      </c>
      <c r="K52" s="1473">
        <f t="shared" si="4"/>
        <v>0</v>
      </c>
      <c r="N52" s="1247"/>
    </row>
    <row r="53" spans="1:14">
      <c r="A53" s="1474" t="s">
        <v>1498</v>
      </c>
      <c r="B53" s="1434" t="s">
        <v>1507</v>
      </c>
      <c r="C53" s="222">
        <v>0</v>
      </c>
      <c r="D53" s="222">
        <v>0</v>
      </c>
      <c r="E53" s="222">
        <f t="shared" si="27"/>
        <v>0</v>
      </c>
      <c r="F53" s="1473">
        <v>0</v>
      </c>
      <c r="G53" s="222">
        <v>0</v>
      </c>
      <c r="H53" s="1475">
        <v>0</v>
      </c>
      <c r="I53" s="1473">
        <v>0</v>
      </c>
      <c r="J53" s="1473">
        <v>0</v>
      </c>
      <c r="K53" s="1473">
        <f t="shared" si="4"/>
        <v>0</v>
      </c>
      <c r="N53" s="1247"/>
    </row>
    <row r="54" spans="1:14">
      <c r="A54" s="1474" t="s">
        <v>1502</v>
      </c>
      <c r="B54" s="1434" t="s">
        <v>1507</v>
      </c>
      <c r="C54" s="222">
        <v>0</v>
      </c>
      <c r="D54" s="222">
        <v>0</v>
      </c>
      <c r="E54" s="222">
        <f t="shared" si="27"/>
        <v>0</v>
      </c>
      <c r="F54" s="1473">
        <v>0</v>
      </c>
      <c r="G54" s="222">
        <v>0</v>
      </c>
      <c r="H54" s="1475">
        <v>0</v>
      </c>
      <c r="I54" s="1473">
        <v>0</v>
      </c>
      <c r="J54" s="1473">
        <v>0</v>
      </c>
      <c r="K54" s="1473">
        <f t="shared" si="4"/>
        <v>0</v>
      </c>
      <c r="N54" s="1247"/>
    </row>
    <row r="55" spans="1:14" ht="13.5" thickBot="1">
      <c r="A55" s="1033">
        <f>+A10+1</f>
        <v>2</v>
      </c>
      <c r="B55" s="896" t="str">
        <f>+"Total  Sum (Ln "&amp;A10&amp;" Subparts"&amp;")"</f>
        <v>Total  Sum (Ln 1 Subparts)</v>
      </c>
      <c r="C55" s="913">
        <f>SUM(C11:C54)</f>
        <v>868525.8899999999</v>
      </c>
      <c r="D55" s="913">
        <f>SUM(D11:D54)</f>
        <v>37581.399999999987</v>
      </c>
      <c r="E55" s="913">
        <f>SUM(E11:E54)</f>
        <v>906107.28999999992</v>
      </c>
      <c r="F55" s="913">
        <f>SUM(F11:F54)</f>
        <v>-870359.76999999967</v>
      </c>
      <c r="G55" s="913">
        <f>SUM(G11:G54)</f>
        <v>-35747.520000000062</v>
      </c>
      <c r="H55" s="913">
        <f t="shared" ref="H55:K55" si="30">SUM(H11:H54)</f>
        <v>-12556.232618620068</v>
      </c>
      <c r="I55" s="913">
        <f t="shared" si="30"/>
        <v>1155525.6299999999</v>
      </c>
      <c r="J55" s="913">
        <f t="shared" si="30"/>
        <v>3248193.7399999998</v>
      </c>
      <c r="K55" s="913">
        <f t="shared" si="30"/>
        <v>-4439466.8899999997</v>
      </c>
    </row>
    <row r="56" spans="1:14" ht="13.5" thickTop="1">
      <c r="A56" s="1033">
        <f t="shared" ref="A56:A77" si="31">+A55+1</f>
        <v>3</v>
      </c>
      <c r="B56" s="896"/>
      <c r="C56" s="914"/>
      <c r="D56" s="914"/>
      <c r="E56" s="914"/>
      <c r="F56" s="914"/>
      <c r="G56" s="914"/>
      <c r="H56" s="914"/>
      <c r="I56" s="914"/>
      <c r="J56" s="914"/>
      <c r="K56" s="914"/>
      <c r="L56" s="935"/>
    </row>
    <row r="57" spans="1:14">
      <c r="A57" s="1033">
        <f t="shared" si="31"/>
        <v>4</v>
      </c>
      <c r="B57" s="896" t="s">
        <v>1041</v>
      </c>
      <c r="C57" s="896"/>
      <c r="D57" s="896"/>
      <c r="E57" s="897"/>
      <c r="F57" s="897"/>
      <c r="G57" s="897"/>
      <c r="I57" s="897"/>
      <c r="J57" s="897"/>
      <c r="K57" s="897"/>
      <c r="L57" s="935"/>
    </row>
    <row r="58" spans="1:14">
      <c r="A58" s="1033">
        <f t="shared" si="31"/>
        <v>5</v>
      </c>
      <c r="B58" s="898" t="s">
        <v>1149</v>
      </c>
      <c r="C58" s="912">
        <f>+SUM(C24:C27)</f>
        <v>6534.71</v>
      </c>
      <c r="D58" s="912">
        <f>+SUM(D24:D27)</f>
        <v>0</v>
      </c>
      <c r="E58" s="912">
        <f>+C58+D58</f>
        <v>6534.71</v>
      </c>
      <c r="F58" s="912">
        <f>+SUM(F24:F27)</f>
        <v>0</v>
      </c>
      <c r="G58" s="80">
        <f t="shared" ref="G58:G61" si="32">-E58-F58</f>
        <v>-6534.71</v>
      </c>
      <c r="H58" s="1538">
        <f>IF(E58=0, 0,+G58*D58/E58)</f>
        <v>0</v>
      </c>
      <c r="I58" s="912">
        <f>+SUM(I24:I27)</f>
        <v>2620.8000000000002</v>
      </c>
      <c r="J58" s="912">
        <f t="shared" ref="J58" si="33">+SUM(J24:J27)</f>
        <v>-35.620000000000012</v>
      </c>
      <c r="K58" s="912">
        <f>+SUM(K24:K27)</f>
        <v>-9119.89</v>
      </c>
      <c r="L58" s="935"/>
    </row>
    <row r="59" spans="1:14" ht="15">
      <c r="A59" s="1033">
        <f t="shared" si="31"/>
        <v>6</v>
      </c>
      <c r="B59" s="898" t="s">
        <v>975</v>
      </c>
      <c r="C59" s="719">
        <f>+C28</f>
        <v>0</v>
      </c>
      <c r="D59" s="719">
        <f>+D28</f>
        <v>-306.85000000000002</v>
      </c>
      <c r="E59" s="719">
        <f t="shared" ref="E59:E61" si="34">+C59+D59</f>
        <v>-306.85000000000002</v>
      </c>
      <c r="F59" s="719">
        <f>+F28</f>
        <v>367.9000000000002</v>
      </c>
      <c r="G59" s="498">
        <f t="shared" si="32"/>
        <v>-61.050000000000182</v>
      </c>
      <c r="H59" s="719">
        <f>+H28</f>
        <v>-61.050000000000182</v>
      </c>
      <c r="I59" s="719">
        <f t="shared" ref="I59:J59" si="35">+I28</f>
        <v>896.84</v>
      </c>
      <c r="J59" s="719">
        <f t="shared" si="35"/>
        <v>822.21</v>
      </c>
      <c r="K59" s="719">
        <f>+K28</f>
        <v>-1780.1000000000004</v>
      </c>
      <c r="L59" s="935"/>
    </row>
    <row r="60" spans="1:14">
      <c r="A60" s="1033">
        <f t="shared" si="31"/>
        <v>7</v>
      </c>
      <c r="B60" s="1107" t="str">
        <f>+"Total Lines "&amp;A58&amp;" + "&amp;A59</f>
        <v>Total Lines 5 + 6</v>
      </c>
      <c r="C60" s="912">
        <f t="shared" ref="C60:G60" si="36">SUM(C58:C59)</f>
        <v>6534.71</v>
      </c>
      <c r="D60" s="912">
        <f t="shared" si="36"/>
        <v>-306.85000000000002</v>
      </c>
      <c r="E60" s="912">
        <f t="shared" si="36"/>
        <v>6227.86</v>
      </c>
      <c r="F60" s="912">
        <f t="shared" si="36"/>
        <v>367.9000000000002</v>
      </c>
      <c r="G60" s="912">
        <f t="shared" si="36"/>
        <v>-6595.76</v>
      </c>
      <c r="H60" s="912">
        <f t="shared" ref="H60:K60" si="37">SUM(H58:H59)</f>
        <v>-61.050000000000182</v>
      </c>
      <c r="I60" s="912">
        <f t="shared" si="37"/>
        <v>3517.6400000000003</v>
      </c>
      <c r="J60" s="912">
        <f t="shared" si="37"/>
        <v>786.59</v>
      </c>
      <c r="K60" s="912">
        <f t="shared" si="37"/>
        <v>-10899.99</v>
      </c>
      <c r="L60" s="935"/>
    </row>
    <row r="61" spans="1:14" ht="15">
      <c r="A61" s="1033">
        <f t="shared" si="31"/>
        <v>8</v>
      </c>
      <c r="B61" s="1244" t="s">
        <v>1304</v>
      </c>
      <c r="C61" s="719">
        <f>+SUM(C23:C35)-SUM(C24:C28)</f>
        <v>966281.02</v>
      </c>
      <c r="D61" s="719">
        <f>+SUM(D23:D35)-SUM(D24:D28)</f>
        <v>2378.1400000000012</v>
      </c>
      <c r="E61" s="719">
        <f t="shared" si="34"/>
        <v>968659.16</v>
      </c>
      <c r="F61" s="719">
        <f>+SUM(F23:F35)-SUM(F24:F28)</f>
        <v>-962969.89</v>
      </c>
      <c r="G61" s="498">
        <f t="shared" si="32"/>
        <v>-5689.2700000000186</v>
      </c>
      <c r="H61" s="719">
        <f>+SUM(H23:H35)-SUM(H24:H28)</f>
        <v>-452.84712152894326</v>
      </c>
      <c r="I61" s="719">
        <f>+SUM(I23:I35)-SUM(I24:I28)</f>
        <v>932700.44</v>
      </c>
      <c r="J61" s="719">
        <f>+SUM(J23:J36)-SUM(J24:J28)</f>
        <v>807671.84</v>
      </c>
      <c r="K61" s="719">
        <f>+SUM(K23:K35)-SUM(K24:K28)</f>
        <v>-1746061.5500000003</v>
      </c>
    </row>
    <row r="62" spans="1:14">
      <c r="A62" s="1033">
        <f t="shared" si="31"/>
        <v>9</v>
      </c>
      <c r="B62" s="896" t="s">
        <v>1718</v>
      </c>
      <c r="C62" s="912">
        <f t="shared" ref="C62:J62" si="38">+C60+C61</f>
        <v>972815.73</v>
      </c>
      <c r="D62" s="912">
        <f t="shared" si="38"/>
        <v>2071.2900000000013</v>
      </c>
      <c r="E62" s="912">
        <f t="shared" si="38"/>
        <v>974887.02</v>
      </c>
      <c r="F62" s="912">
        <f t="shared" si="38"/>
        <v>-962601.99</v>
      </c>
      <c r="G62" s="912">
        <f t="shared" si="38"/>
        <v>-12285.030000000019</v>
      </c>
      <c r="H62" s="912">
        <f t="shared" si="38"/>
        <v>-513.89712152894344</v>
      </c>
      <c r="I62" s="912">
        <f t="shared" si="38"/>
        <v>936218.08</v>
      </c>
      <c r="J62" s="912">
        <f t="shared" si="38"/>
        <v>808458.42999999993</v>
      </c>
      <c r="K62" s="912">
        <f>+K60+K61</f>
        <v>-1756961.5400000003</v>
      </c>
    </row>
    <row r="63" spans="1:14">
      <c r="A63" s="1033">
        <f t="shared" si="31"/>
        <v>10</v>
      </c>
      <c r="B63" s="896"/>
      <c r="C63" s="912"/>
      <c r="D63" s="912"/>
      <c r="E63" s="912"/>
      <c r="F63" s="912"/>
      <c r="G63" s="912"/>
      <c r="I63" s="912"/>
      <c r="J63" s="912"/>
      <c r="K63" s="912"/>
    </row>
    <row r="64" spans="1:14">
      <c r="A64" s="1033">
        <f t="shared" si="31"/>
        <v>11</v>
      </c>
      <c r="B64" s="896" t="s">
        <v>245</v>
      </c>
      <c r="C64" s="912"/>
      <c r="D64" s="912"/>
      <c r="E64" s="912"/>
      <c r="F64" s="912"/>
      <c r="G64" s="912"/>
      <c r="I64" s="912"/>
      <c r="J64" s="912"/>
      <c r="K64" s="912"/>
    </row>
    <row r="65" spans="1:12">
      <c r="A65" s="1033">
        <f t="shared" si="31"/>
        <v>12</v>
      </c>
      <c r="B65" s="898" t="s">
        <v>1173</v>
      </c>
      <c r="C65" s="899">
        <f>+SUM(C11:C14)</f>
        <v>0</v>
      </c>
      <c r="D65" s="899">
        <f t="shared" ref="D65:K65" si="39">+SUM(D11:D14)</f>
        <v>0</v>
      </c>
      <c r="E65" s="899">
        <f t="shared" si="39"/>
        <v>0</v>
      </c>
      <c r="F65" s="899">
        <f t="shared" si="39"/>
        <v>0</v>
      </c>
      <c r="G65" s="899">
        <f t="shared" si="39"/>
        <v>0</v>
      </c>
      <c r="H65" s="899">
        <f t="shared" si="39"/>
        <v>0</v>
      </c>
      <c r="I65" s="899">
        <f t="shared" si="39"/>
        <v>0</v>
      </c>
      <c r="J65" s="899">
        <f t="shared" si="39"/>
        <v>0</v>
      </c>
      <c r="K65" s="899">
        <f t="shared" si="39"/>
        <v>0</v>
      </c>
    </row>
    <row r="66" spans="1:12">
      <c r="A66" s="1033">
        <f t="shared" si="31"/>
        <v>13</v>
      </c>
      <c r="B66" s="898" t="s">
        <v>1172</v>
      </c>
      <c r="C66" s="900">
        <f>+C15</f>
        <v>5946.7799999999979</v>
      </c>
      <c r="D66" s="900">
        <f t="shared" ref="D66:K66" si="40">+D15</f>
        <v>0</v>
      </c>
      <c r="E66" s="900">
        <f t="shared" si="40"/>
        <v>5946.7799999999979</v>
      </c>
      <c r="F66" s="900">
        <f t="shared" si="40"/>
        <v>-5890.34</v>
      </c>
      <c r="G66" s="900">
        <f t="shared" si="40"/>
        <v>-56.439999999997781</v>
      </c>
      <c r="H66" s="900">
        <f t="shared" si="40"/>
        <v>0</v>
      </c>
      <c r="I66" s="900">
        <f t="shared" si="40"/>
        <v>5742.03</v>
      </c>
      <c r="J66" s="900">
        <f t="shared" si="40"/>
        <v>68910.209999999992</v>
      </c>
      <c r="K66" s="900">
        <f t="shared" si="40"/>
        <v>-74708.679999999993</v>
      </c>
    </row>
    <row r="67" spans="1:12">
      <c r="A67" s="1033">
        <f t="shared" si="31"/>
        <v>14</v>
      </c>
      <c r="B67" s="898" t="s">
        <v>1171</v>
      </c>
      <c r="C67" s="900">
        <f>+C16</f>
        <v>-2267.3899999999985</v>
      </c>
      <c r="D67" s="900">
        <f t="shared" ref="D67:K67" si="41">+D16</f>
        <v>0</v>
      </c>
      <c r="E67" s="900">
        <f t="shared" si="41"/>
        <v>-2267.3899999999985</v>
      </c>
      <c r="F67" s="900">
        <f t="shared" si="41"/>
        <v>2921.85</v>
      </c>
      <c r="G67" s="900">
        <f t="shared" si="41"/>
        <v>-654.4600000000014</v>
      </c>
      <c r="H67" s="900">
        <f t="shared" si="41"/>
        <v>0</v>
      </c>
      <c r="I67" s="900">
        <f t="shared" si="41"/>
        <v>3825.0099999999993</v>
      </c>
      <c r="J67" s="900">
        <f t="shared" si="41"/>
        <v>39261.949999999997</v>
      </c>
      <c r="K67" s="900">
        <f t="shared" si="41"/>
        <v>-43741.42</v>
      </c>
    </row>
    <row r="68" spans="1:12">
      <c r="A68" s="1033">
        <f t="shared" si="31"/>
        <v>15</v>
      </c>
      <c r="B68" s="898" t="s">
        <v>1165</v>
      </c>
      <c r="C68" s="899">
        <f>+SUM(C17:C22)</f>
        <v>220.38000000000417</v>
      </c>
      <c r="D68" s="899">
        <f t="shared" ref="D68:K68" si="42">+SUM(D17:D22)</f>
        <v>-149.48000000000258</v>
      </c>
      <c r="E68" s="899">
        <f t="shared" si="42"/>
        <v>70.900000000001569</v>
      </c>
      <c r="F68" s="899">
        <f t="shared" si="42"/>
        <v>9785.6700000000037</v>
      </c>
      <c r="G68" s="899">
        <f t="shared" si="42"/>
        <v>-9856.5700000000052</v>
      </c>
      <c r="H68" s="899">
        <f t="shared" si="42"/>
        <v>-4097.6779512968342</v>
      </c>
      <c r="I68" s="899">
        <f t="shared" si="42"/>
        <v>0</v>
      </c>
      <c r="J68" s="899">
        <f t="shared" si="42"/>
        <v>194554.52</v>
      </c>
      <c r="K68" s="899">
        <f t="shared" si="42"/>
        <v>-204411.08999999997</v>
      </c>
    </row>
    <row r="69" spans="1:12">
      <c r="A69" s="1033">
        <f t="shared" si="31"/>
        <v>16</v>
      </c>
      <c r="B69" s="898" t="s">
        <v>1164</v>
      </c>
      <c r="C69" s="899">
        <f>+SUM(C23:C35)</f>
        <v>972815.73</v>
      </c>
      <c r="D69" s="899">
        <f t="shared" ref="D69:J69" si="43">+SUM(D23:D35)</f>
        <v>2071.2900000000013</v>
      </c>
      <c r="E69" s="899">
        <f t="shared" si="43"/>
        <v>974887.0199999999</v>
      </c>
      <c r="F69" s="899">
        <f t="shared" si="43"/>
        <v>-962601.99</v>
      </c>
      <c r="G69" s="899">
        <f t="shared" si="43"/>
        <v>-12285.030000000022</v>
      </c>
      <c r="H69" s="899">
        <f t="shared" si="43"/>
        <v>-513.89712152894344</v>
      </c>
      <c r="I69" s="899">
        <f t="shared" si="43"/>
        <v>936218.08</v>
      </c>
      <c r="J69" s="899">
        <f t="shared" si="43"/>
        <v>808458.42999999993</v>
      </c>
      <c r="K69" s="899">
        <f>+SUM(K23:K35)</f>
        <v>-1756961.5400000003</v>
      </c>
    </row>
    <row r="70" spans="1:12">
      <c r="A70" s="1033">
        <f t="shared" si="31"/>
        <v>17</v>
      </c>
      <c r="B70" s="898" t="s">
        <v>1166</v>
      </c>
      <c r="C70" s="899">
        <f>+C36</f>
        <v>0</v>
      </c>
      <c r="D70" s="899">
        <f t="shared" ref="D70:K70" si="44">+D36</f>
        <v>0</v>
      </c>
      <c r="E70" s="899">
        <f t="shared" si="44"/>
        <v>0</v>
      </c>
      <c r="F70" s="899">
        <f t="shared" si="44"/>
        <v>0</v>
      </c>
      <c r="G70" s="899">
        <f t="shared" si="44"/>
        <v>0</v>
      </c>
      <c r="H70" s="899">
        <f t="shared" si="44"/>
        <v>0</v>
      </c>
      <c r="I70" s="899">
        <f t="shared" si="44"/>
        <v>0</v>
      </c>
      <c r="J70" s="899">
        <f t="shared" si="44"/>
        <v>0</v>
      </c>
      <c r="K70" s="899">
        <f t="shared" si="44"/>
        <v>0</v>
      </c>
    </row>
    <row r="71" spans="1:12">
      <c r="A71" s="1033">
        <f t="shared" si="31"/>
        <v>18</v>
      </c>
      <c r="B71" s="898" t="s">
        <v>1167</v>
      </c>
      <c r="C71" s="899"/>
      <c r="D71" s="899"/>
      <c r="E71" s="899"/>
      <c r="F71" s="899"/>
      <c r="G71" s="899"/>
      <c r="H71" s="899"/>
      <c r="I71" s="899"/>
      <c r="J71" s="899"/>
      <c r="K71" s="899"/>
    </row>
    <row r="72" spans="1:12">
      <c r="A72" s="1033">
        <f t="shared" si="31"/>
        <v>19</v>
      </c>
      <c r="B72" s="898" t="s">
        <v>1168</v>
      </c>
      <c r="C72" s="899">
        <f>SUM(C37:C38)</f>
        <v>0</v>
      </c>
      <c r="D72" s="899">
        <f t="shared" ref="D72:K72" si="45">SUM(D37:D38)</f>
        <v>0</v>
      </c>
      <c r="E72" s="899">
        <f t="shared" si="45"/>
        <v>0</v>
      </c>
      <c r="F72" s="899">
        <f t="shared" si="45"/>
        <v>0</v>
      </c>
      <c r="G72" s="899">
        <f t="shared" si="45"/>
        <v>0</v>
      </c>
      <c r="H72" s="899">
        <f t="shared" si="45"/>
        <v>0</v>
      </c>
      <c r="I72" s="899">
        <f t="shared" si="45"/>
        <v>0</v>
      </c>
      <c r="J72" s="899">
        <f t="shared" si="45"/>
        <v>8.9799999999999986</v>
      </c>
      <c r="K72" s="899">
        <f t="shared" si="45"/>
        <v>-8.9799999999999986</v>
      </c>
    </row>
    <row r="73" spans="1:12">
      <c r="A73" s="1033">
        <f t="shared" si="31"/>
        <v>20</v>
      </c>
      <c r="B73" s="898" t="s">
        <v>1169</v>
      </c>
      <c r="C73" s="899">
        <f>+SUM(C39:C40)</f>
        <v>0</v>
      </c>
      <c r="D73" s="899">
        <f t="shared" ref="D73:K73" si="46">+SUM(D39:D40)</f>
        <v>0</v>
      </c>
      <c r="E73" s="899">
        <f t="shared" si="46"/>
        <v>0</v>
      </c>
      <c r="F73" s="899">
        <f t="shared" si="46"/>
        <v>0</v>
      </c>
      <c r="G73" s="899">
        <f t="shared" si="46"/>
        <v>0</v>
      </c>
      <c r="H73" s="899">
        <f t="shared" si="46"/>
        <v>0</v>
      </c>
      <c r="I73" s="899">
        <f t="shared" si="46"/>
        <v>0</v>
      </c>
      <c r="J73" s="899">
        <f t="shared" si="46"/>
        <v>0</v>
      </c>
      <c r="K73" s="899">
        <f t="shared" si="46"/>
        <v>0</v>
      </c>
    </row>
    <row r="74" spans="1:12" s="1064" customFormat="1">
      <c r="A74" s="1033">
        <f t="shared" si="31"/>
        <v>21</v>
      </c>
      <c r="B74" s="898" t="s">
        <v>1170</v>
      </c>
      <c r="C74" s="901">
        <f>SUM(C41:C54)</f>
        <v>-108189.60999999999</v>
      </c>
      <c r="D74" s="901">
        <f t="shared" ref="D74:K74" si="47">SUM(D41:D54)</f>
        <v>35659.589999999989</v>
      </c>
      <c r="E74" s="901">
        <f t="shared" si="47"/>
        <v>-72530.02</v>
      </c>
      <c r="F74" s="901">
        <f t="shared" si="47"/>
        <v>85425.040000000037</v>
      </c>
      <c r="G74" s="901">
        <f t="shared" si="47"/>
        <v>-12895.020000000035</v>
      </c>
      <c r="H74" s="901">
        <f t="shared" si="47"/>
        <v>-7944.6575457942909</v>
      </c>
      <c r="I74" s="901">
        <f t="shared" si="47"/>
        <v>209740.50999999998</v>
      </c>
      <c r="J74" s="901">
        <f t="shared" si="47"/>
        <v>2136999.65</v>
      </c>
      <c r="K74" s="901">
        <f t="shared" si="47"/>
        <v>-2359635.1800000002</v>
      </c>
      <c r="L74" s="647"/>
    </row>
    <row r="75" spans="1:12" ht="13.5" thickBot="1">
      <c r="A75" s="990">
        <f>+A74+1</f>
        <v>22</v>
      </c>
      <c r="B75" s="896" t="str">
        <f>+"Total  Sum (Ln "&amp;A65&amp;" to Ln "&amp;A74&amp;")"</f>
        <v>Total  Sum (Ln 12 to Ln 21)</v>
      </c>
      <c r="C75" s="902">
        <f t="shared" ref="C75" si="48">SUM(C65:C74)</f>
        <v>868525.89</v>
      </c>
      <c r="D75" s="902">
        <f t="shared" ref="D75:K75" si="49">SUM(D65:D74)</f>
        <v>37581.399999999987</v>
      </c>
      <c r="E75" s="902">
        <f t="shared" si="49"/>
        <v>906107.28999999992</v>
      </c>
      <c r="F75" s="902">
        <f t="shared" si="49"/>
        <v>-870359.7699999999</v>
      </c>
      <c r="G75" s="902">
        <f t="shared" si="49"/>
        <v>-35747.520000000062</v>
      </c>
      <c r="H75" s="902">
        <f t="shared" si="49"/>
        <v>-12556.232618620068</v>
      </c>
      <c r="I75" s="902">
        <f t="shared" si="49"/>
        <v>1155525.6299999999</v>
      </c>
      <c r="J75" s="902">
        <f t="shared" si="49"/>
        <v>3248193.7399999998</v>
      </c>
      <c r="K75" s="902">
        <f t="shared" si="49"/>
        <v>-4439466.8900000006</v>
      </c>
    </row>
    <row r="76" spans="1:12" ht="13.5" thickTop="1">
      <c r="A76" s="1033">
        <f t="shared" si="31"/>
        <v>23</v>
      </c>
      <c r="B76" s="896"/>
      <c r="C76" s="896"/>
      <c r="D76" s="896"/>
      <c r="E76" s="903"/>
      <c r="F76" s="897"/>
      <c r="G76" s="903"/>
      <c r="I76" s="897"/>
      <c r="J76" s="897"/>
      <c r="K76" s="897"/>
    </row>
    <row r="77" spans="1:12">
      <c r="A77" s="1033">
        <f t="shared" si="31"/>
        <v>24</v>
      </c>
      <c r="B77" s="896" t="str">
        <f>+"Payroll O&amp;M Excl A&amp;G  Sum (Ln "&amp;A65&amp;" To Ln "&amp;A73&amp;")"</f>
        <v>Payroll O&amp;M Excl A&amp;G  Sum (Ln 12 To Ln 20)</v>
      </c>
      <c r="C77" s="899"/>
      <c r="D77" s="899"/>
      <c r="E77" s="899"/>
      <c r="F77" s="899"/>
      <c r="G77" s="899"/>
      <c r="H77" s="899">
        <f>+SUM(H65:H73)</f>
        <v>-4611.5750728257772</v>
      </c>
      <c r="I77" s="899"/>
      <c r="J77" s="899"/>
      <c r="K77" s="899"/>
    </row>
    <row r="78" spans="1:12">
      <c r="A78" s="1032"/>
      <c r="B78" s="896"/>
      <c r="C78" s="896"/>
      <c r="D78" s="899"/>
      <c r="E78" s="897"/>
      <c r="F78" s="897"/>
      <c r="G78" s="897"/>
      <c r="I78" s="897"/>
      <c r="J78" s="897"/>
      <c r="K78" s="897"/>
      <c r="L78" s="1064"/>
    </row>
    <row r="79" spans="1:12">
      <c r="A79" s="1032" t="s">
        <v>1147</v>
      </c>
      <c r="B79" s="896"/>
      <c r="C79" s="896"/>
      <c r="D79" s="896"/>
      <c r="E79" s="903"/>
      <c r="F79" s="903"/>
      <c r="G79" s="903"/>
      <c r="I79" s="903"/>
      <c r="J79" s="903"/>
      <c r="K79" s="903"/>
    </row>
    <row r="80" spans="1:12" ht="40.9" customHeight="1">
      <c r="A80" s="1111" t="s">
        <v>367</v>
      </c>
      <c r="B80" s="1782" t="s">
        <v>1378</v>
      </c>
      <c r="C80" s="1782"/>
      <c r="D80" s="1782"/>
      <c r="E80" s="1782"/>
      <c r="F80" s="1782"/>
      <c r="G80" s="1782"/>
      <c r="H80" s="1782"/>
      <c r="I80" s="1782"/>
      <c r="J80" s="1782"/>
      <c r="K80" s="1782"/>
    </row>
    <row r="81" spans="1:11">
      <c r="A81" s="1110" t="s">
        <v>769</v>
      </c>
      <c r="B81" s="896" t="s">
        <v>1148</v>
      </c>
      <c r="C81" s="896"/>
      <c r="D81" s="896"/>
      <c r="E81" s="903"/>
      <c r="F81" s="903"/>
      <c r="G81" s="903"/>
      <c r="I81" s="903"/>
      <c r="J81" s="903"/>
      <c r="K81" s="903"/>
    </row>
    <row r="82" spans="1:11">
      <c r="A82" s="1111" t="s">
        <v>770</v>
      </c>
      <c r="B82" s="1708" t="s">
        <v>1295</v>
      </c>
      <c r="C82" s="1708"/>
      <c r="D82" s="1708"/>
      <c r="E82" s="1708"/>
      <c r="F82" s="1708"/>
      <c r="G82" s="1708"/>
      <c r="H82" s="1708"/>
      <c r="I82" s="1708"/>
      <c r="J82" s="1708"/>
      <c r="K82" s="1708"/>
    </row>
    <row r="83" spans="1:11">
      <c r="A83" s="1242" t="s">
        <v>1367</v>
      </c>
      <c r="B83" s="1783" t="s">
        <v>1373</v>
      </c>
      <c r="C83" s="1783"/>
      <c r="D83" s="1783"/>
      <c r="E83" s="1783"/>
      <c r="F83" s="1783"/>
      <c r="G83" s="1783"/>
      <c r="H83" s="1783"/>
      <c r="I83" s="1783"/>
      <c r="J83" s="1783"/>
      <c r="K83" s="1783"/>
    </row>
    <row r="84" spans="1:11">
      <c r="A84" s="1241" t="s">
        <v>772</v>
      </c>
      <c r="B84" s="896" t="s">
        <v>1377</v>
      </c>
      <c r="C84" s="896"/>
      <c r="D84" s="896"/>
      <c r="E84" s="896"/>
      <c r="F84" s="896"/>
      <c r="G84" s="896"/>
      <c r="I84" s="896"/>
      <c r="J84" s="896"/>
      <c r="K84" s="896"/>
    </row>
    <row r="85" spans="1:11">
      <c r="B85" s="896"/>
      <c r="C85" s="896"/>
      <c r="D85" s="896"/>
      <c r="E85" s="896"/>
      <c r="F85" s="896"/>
      <c r="G85" s="896"/>
      <c r="I85" s="896"/>
      <c r="J85" s="896"/>
      <c r="K85" s="896"/>
    </row>
  </sheetData>
  <mergeCells count="10">
    <mergeCell ref="B80:K80"/>
    <mergeCell ref="B82:K82"/>
    <mergeCell ref="B83:K83"/>
    <mergeCell ref="A1:K1"/>
    <mergeCell ref="A2:K2"/>
    <mergeCell ref="I9:J9"/>
    <mergeCell ref="C9:E9"/>
    <mergeCell ref="G9:H9"/>
    <mergeCell ref="A3:K3"/>
    <mergeCell ref="A5:K5"/>
  </mergeCells>
  <phoneticPr fontId="103" type="noConversion"/>
  <printOptions horizontalCentered="1"/>
  <pageMargins left="0.7" right="0.7" top="0.7" bottom="0.7" header="0.3" footer="0.5"/>
  <pageSetup scale="60" orientation="portrait" r:id="rId1"/>
  <headerFooter>
    <oddFooter>&amp;CPage &amp;P of &amp;N&amp;R&amp;A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activeCell="N35" sqref="N35"/>
    </sheetView>
  </sheetViews>
  <sheetFormatPr defaultColWidth="8.85546875" defaultRowHeight="12.75"/>
  <cols>
    <col min="1" max="1" width="5.28515625" style="660" customWidth="1"/>
    <col min="2" max="2" width="44.7109375" style="174" customWidth="1"/>
    <col min="3" max="3" width="13.42578125" style="174" bestFit="1" customWidth="1"/>
    <col min="4" max="4" width="16.140625" style="174" bestFit="1" customWidth="1"/>
    <col min="5" max="5" width="14.28515625" style="174" customWidth="1"/>
    <col min="6" max="6" width="15.5703125" style="174" bestFit="1" customWidth="1"/>
    <col min="7" max="8" width="8.85546875" style="174"/>
    <col min="9" max="9" width="10.85546875" style="174" bestFit="1" customWidth="1"/>
    <col min="10" max="16384" width="8.85546875" style="174"/>
  </cols>
  <sheetData>
    <row r="1" spans="1:10">
      <c r="A1" s="1752" t="str">
        <f>'MISO Cover'!C6</f>
        <v>Entergy Arkansas, Inc.</v>
      </c>
      <c r="B1" s="1752"/>
      <c r="C1" s="1752"/>
      <c r="D1" s="1752"/>
      <c r="E1" s="1752"/>
      <c r="F1" s="1752"/>
      <c r="G1" s="904"/>
      <c r="I1" s="905"/>
    </row>
    <row r="2" spans="1:10">
      <c r="A2" s="1753" t="s">
        <v>1374</v>
      </c>
      <c r="B2" s="1753"/>
      <c r="C2" s="1753"/>
      <c r="D2" s="1753"/>
      <c r="E2" s="1753"/>
      <c r="F2" s="1753"/>
      <c r="G2" s="1056"/>
    </row>
    <row r="3" spans="1:10">
      <c r="A3" s="1752" t="str">
        <f>'MISO Cover'!K4</f>
        <v>For  the 12 Months Ended 12/31/2014</v>
      </c>
      <c r="B3" s="1752"/>
      <c r="C3" s="1752"/>
      <c r="D3" s="1752"/>
      <c r="E3" s="1752"/>
      <c r="F3" s="1752"/>
      <c r="G3" s="906"/>
    </row>
    <row r="4" spans="1:10">
      <c r="A4" s="650"/>
      <c r="B4" s="650"/>
      <c r="C4" s="650"/>
      <c r="D4" s="650"/>
      <c r="E4" s="650"/>
      <c r="F4" s="650"/>
      <c r="G4" s="650"/>
    </row>
    <row r="5" spans="1:10">
      <c r="A5" s="1146"/>
      <c r="B5" s="907"/>
      <c r="C5" s="821"/>
      <c r="D5" s="1422"/>
      <c r="E5" s="1422"/>
      <c r="F5" s="1422" t="s">
        <v>1150</v>
      </c>
    </row>
    <row r="6" spans="1:10">
      <c r="A6" s="649" t="s">
        <v>663</v>
      </c>
      <c r="B6" s="1147" t="s">
        <v>261</v>
      </c>
      <c r="C6" s="176"/>
      <c r="D6" s="1147" t="s">
        <v>309</v>
      </c>
      <c r="E6" s="1147" t="s">
        <v>249</v>
      </c>
      <c r="F6" s="1480" t="s">
        <v>262</v>
      </c>
    </row>
    <row r="7" spans="1:10" ht="15">
      <c r="A7" s="990">
        <v>1</v>
      </c>
      <c r="B7" s="648" t="s">
        <v>372</v>
      </c>
      <c r="C7" s="175"/>
      <c r="D7" s="1616" t="s">
        <v>1491</v>
      </c>
      <c r="E7" s="1616" t="s">
        <v>943</v>
      </c>
      <c r="F7" s="1616" t="s">
        <v>984</v>
      </c>
      <c r="H7" s="175"/>
      <c r="I7" s="175"/>
    </row>
    <row r="8" spans="1:10">
      <c r="A8" s="1034">
        <f>A7+0.01</f>
        <v>1.01</v>
      </c>
      <c r="B8" s="1425" t="s">
        <v>1352</v>
      </c>
      <c r="C8" s="652"/>
      <c r="D8" s="1481">
        <v>0</v>
      </c>
      <c r="E8" s="1481">
        <v>0</v>
      </c>
      <c r="F8" s="653">
        <f>SUM(D8:E8)</f>
        <v>0</v>
      </c>
      <c r="G8" s="176"/>
      <c r="H8" s="175"/>
      <c r="I8" s="175"/>
      <c r="J8" s="176"/>
    </row>
    <row r="9" spans="1:10" s="176" customFormat="1">
      <c r="A9" s="1034">
        <f t="shared" ref="A9:A40" si="0">A8+0.01</f>
        <v>1.02</v>
      </c>
      <c r="B9" s="1425" t="s">
        <v>1353</v>
      </c>
      <c r="C9" s="652"/>
      <c r="D9" s="1481">
        <v>0</v>
      </c>
      <c r="E9" s="1481">
        <v>0</v>
      </c>
      <c r="F9" s="653">
        <f t="shared" ref="F9:F40" si="1">SUM(D9:E9)</f>
        <v>0</v>
      </c>
      <c r="G9" s="652"/>
      <c r="H9" s="175"/>
      <c r="I9" s="175"/>
      <c r="J9" s="175"/>
    </row>
    <row r="10" spans="1:10" s="175" customFormat="1">
      <c r="A10" s="1034">
        <f t="shared" si="0"/>
        <v>1.03</v>
      </c>
      <c r="B10" s="651" t="s">
        <v>374</v>
      </c>
      <c r="C10" s="652"/>
      <c r="D10" s="1481">
        <v>7179.2300000000005</v>
      </c>
      <c r="E10" s="1481">
        <v>0</v>
      </c>
      <c r="F10" s="653">
        <f t="shared" si="1"/>
        <v>7179.2300000000005</v>
      </c>
      <c r="G10" s="652"/>
    </row>
    <row r="11" spans="1:10" s="175" customFormat="1">
      <c r="A11" s="1034">
        <f t="shared" si="0"/>
        <v>1.04</v>
      </c>
      <c r="B11" s="651" t="s">
        <v>375</v>
      </c>
      <c r="C11" s="652"/>
      <c r="D11" s="1481">
        <v>2489.2399999999993</v>
      </c>
      <c r="E11" s="1481">
        <v>0</v>
      </c>
      <c r="F11" s="653">
        <f t="shared" si="1"/>
        <v>2489.2399999999993</v>
      </c>
      <c r="G11" s="652"/>
    </row>
    <row r="12" spans="1:10" s="175" customFormat="1">
      <c r="A12" s="1034">
        <f t="shared" si="0"/>
        <v>1.05</v>
      </c>
      <c r="B12" s="1426" t="s">
        <v>1329</v>
      </c>
      <c r="C12" s="652"/>
      <c r="D12" s="1481">
        <v>0</v>
      </c>
      <c r="E12" s="1481">
        <v>-226.78</v>
      </c>
      <c r="F12" s="653">
        <f t="shared" si="1"/>
        <v>-226.78</v>
      </c>
      <c r="G12" s="652"/>
    </row>
    <row r="13" spans="1:10" s="175" customFormat="1">
      <c r="A13" s="1034">
        <f t="shared" si="0"/>
        <v>1.06</v>
      </c>
      <c r="B13" s="1426" t="s">
        <v>1330</v>
      </c>
      <c r="C13" s="652"/>
      <c r="D13" s="1481">
        <v>0</v>
      </c>
      <c r="E13" s="1481">
        <v>0</v>
      </c>
      <c r="F13" s="653">
        <f t="shared" si="1"/>
        <v>0</v>
      </c>
      <c r="G13" s="652"/>
    </row>
    <row r="14" spans="1:10" s="175" customFormat="1">
      <c r="A14" s="1034">
        <f t="shared" si="0"/>
        <v>1.07</v>
      </c>
      <c r="B14" s="1426" t="s">
        <v>1331</v>
      </c>
      <c r="C14" s="652"/>
      <c r="D14" s="1481">
        <v>0</v>
      </c>
      <c r="E14" s="1481">
        <v>0</v>
      </c>
      <c r="F14" s="653">
        <f t="shared" si="1"/>
        <v>0</v>
      </c>
      <c r="G14" s="652"/>
    </row>
    <row r="15" spans="1:10" s="175" customFormat="1">
      <c r="A15" s="1034">
        <f t="shared" si="0"/>
        <v>1.08</v>
      </c>
      <c r="B15" s="1426" t="s">
        <v>1332</v>
      </c>
      <c r="C15" s="652"/>
      <c r="D15" s="1481">
        <v>0</v>
      </c>
      <c r="E15" s="1481">
        <v>0</v>
      </c>
      <c r="F15" s="653">
        <f t="shared" si="1"/>
        <v>0</v>
      </c>
      <c r="G15" s="652"/>
    </row>
    <row r="16" spans="1:10" s="175" customFormat="1">
      <c r="A16" s="1034">
        <f t="shared" si="0"/>
        <v>1.0900000000000001</v>
      </c>
      <c r="B16" s="1426" t="s">
        <v>1333</v>
      </c>
      <c r="C16" s="652"/>
      <c r="D16" s="1481">
        <v>0</v>
      </c>
      <c r="E16" s="1481">
        <v>451.56999999999994</v>
      </c>
      <c r="F16" s="653">
        <f t="shared" si="1"/>
        <v>451.56999999999994</v>
      </c>
      <c r="G16" s="652"/>
    </row>
    <row r="17" spans="1:7" s="175" customFormat="1">
      <c r="A17" s="1034">
        <f t="shared" si="0"/>
        <v>1.1000000000000001</v>
      </c>
      <c r="B17" s="1426" t="s">
        <v>1334</v>
      </c>
      <c r="C17" s="652"/>
      <c r="D17" s="1481">
        <v>0</v>
      </c>
      <c r="E17" s="1481">
        <v>0</v>
      </c>
      <c r="F17" s="653">
        <f t="shared" si="1"/>
        <v>0</v>
      </c>
      <c r="G17" s="652"/>
    </row>
    <row r="18" spans="1:7" s="175" customFormat="1">
      <c r="A18" s="1034">
        <f t="shared" si="0"/>
        <v>1.1100000000000001</v>
      </c>
      <c r="B18" s="1426" t="s">
        <v>1336</v>
      </c>
      <c r="C18" s="652"/>
      <c r="D18" s="1481">
        <v>0</v>
      </c>
      <c r="E18" s="1481">
        <v>0</v>
      </c>
      <c r="F18" s="653">
        <f t="shared" si="1"/>
        <v>0</v>
      </c>
      <c r="G18" s="652"/>
    </row>
    <row r="19" spans="1:7" s="175" customFormat="1">
      <c r="A19" s="1034">
        <f t="shared" si="0"/>
        <v>1.1200000000000001</v>
      </c>
      <c r="B19" s="1426" t="s">
        <v>1335</v>
      </c>
      <c r="C19" s="652"/>
      <c r="D19" s="1481">
        <v>0</v>
      </c>
      <c r="E19" s="1481">
        <v>0</v>
      </c>
      <c r="F19" s="653">
        <f t="shared" si="1"/>
        <v>0</v>
      </c>
      <c r="G19" s="652"/>
    </row>
    <row r="20" spans="1:7" s="175" customFormat="1">
      <c r="A20" s="1034">
        <f t="shared" si="0"/>
        <v>1.1300000000000001</v>
      </c>
      <c r="B20" s="1426" t="s">
        <v>1323</v>
      </c>
      <c r="C20" s="652"/>
      <c r="D20" s="1481">
        <v>12903.78</v>
      </c>
      <c r="E20" s="1481">
        <v>12304.68</v>
      </c>
      <c r="F20" s="653">
        <f t="shared" si="1"/>
        <v>25208.46</v>
      </c>
      <c r="G20" s="652"/>
    </row>
    <row r="21" spans="1:7" s="175" customFormat="1">
      <c r="A21" s="1034">
        <f t="shared" si="0"/>
        <v>1.1400000000000001</v>
      </c>
      <c r="B21" s="1426" t="s">
        <v>1337</v>
      </c>
      <c r="C21" s="652"/>
      <c r="D21" s="1481">
        <v>0</v>
      </c>
      <c r="E21" s="1481">
        <v>0</v>
      </c>
      <c r="F21" s="653">
        <f t="shared" si="1"/>
        <v>0</v>
      </c>
      <c r="G21" s="652"/>
    </row>
    <row r="22" spans="1:7" s="175" customFormat="1">
      <c r="A22" s="1034">
        <f t="shared" si="0"/>
        <v>1.1500000000000001</v>
      </c>
      <c r="B22" s="1426" t="s">
        <v>1317</v>
      </c>
      <c r="C22" s="652"/>
      <c r="D22" s="1481">
        <v>15142.63</v>
      </c>
      <c r="E22" s="1481">
        <v>792.79</v>
      </c>
      <c r="F22" s="653">
        <f t="shared" si="1"/>
        <v>15935.419999999998</v>
      </c>
      <c r="G22" s="652"/>
    </row>
    <row r="23" spans="1:7" s="175" customFormat="1">
      <c r="A23" s="1034">
        <f t="shared" si="0"/>
        <v>1.1600000000000001</v>
      </c>
      <c r="B23" s="1426" t="s">
        <v>1338</v>
      </c>
      <c r="C23" s="652"/>
      <c r="D23" s="1481">
        <v>33.04</v>
      </c>
      <c r="E23" s="1481">
        <v>114.29</v>
      </c>
      <c r="F23" s="653">
        <f t="shared" si="1"/>
        <v>147.33000000000001</v>
      </c>
      <c r="G23" s="652"/>
    </row>
    <row r="24" spans="1:7" s="175" customFormat="1">
      <c r="A24" s="1034">
        <f t="shared" si="0"/>
        <v>1.1700000000000002</v>
      </c>
      <c r="B24" s="1426" t="s">
        <v>1339</v>
      </c>
      <c r="C24" s="652"/>
      <c r="D24" s="1481">
        <v>0</v>
      </c>
      <c r="E24" s="1481">
        <v>0</v>
      </c>
      <c r="F24" s="653">
        <f t="shared" si="1"/>
        <v>0</v>
      </c>
      <c r="G24" s="652"/>
    </row>
    <row r="25" spans="1:7" s="175" customFormat="1">
      <c r="A25" s="1034">
        <f t="shared" si="0"/>
        <v>1.1800000000000002</v>
      </c>
      <c r="B25" s="1426" t="s">
        <v>1340</v>
      </c>
      <c r="C25" s="652"/>
      <c r="D25" s="1481">
        <v>0</v>
      </c>
      <c r="E25" s="1481">
        <v>0</v>
      </c>
      <c r="F25" s="653">
        <f t="shared" si="1"/>
        <v>0</v>
      </c>
      <c r="G25" s="652"/>
    </row>
    <row r="26" spans="1:7" s="175" customFormat="1">
      <c r="A26" s="1034">
        <f t="shared" si="0"/>
        <v>1.1900000000000002</v>
      </c>
      <c r="B26" s="1427" t="s">
        <v>1280</v>
      </c>
      <c r="C26" s="652"/>
      <c r="D26" s="1481">
        <v>0</v>
      </c>
      <c r="E26" s="1481">
        <v>0</v>
      </c>
      <c r="F26" s="653">
        <f t="shared" si="1"/>
        <v>0</v>
      </c>
      <c r="G26" s="1063"/>
    </row>
    <row r="27" spans="1:7" s="175" customFormat="1">
      <c r="A27" s="1034">
        <f t="shared" si="0"/>
        <v>1.2000000000000002</v>
      </c>
      <c r="B27" s="1427" t="s">
        <v>1354</v>
      </c>
      <c r="C27" s="652"/>
      <c r="D27" s="1481">
        <v>444.96999999999997</v>
      </c>
      <c r="E27" s="1481">
        <v>4059.2200000000003</v>
      </c>
      <c r="F27" s="653">
        <f t="shared" si="1"/>
        <v>4504.1900000000005</v>
      </c>
      <c r="G27" s="1063"/>
    </row>
    <row r="28" spans="1:7" s="175" customFormat="1">
      <c r="A28" s="1034">
        <f t="shared" si="0"/>
        <v>1.2100000000000002</v>
      </c>
      <c r="B28" s="1427" t="s">
        <v>379</v>
      </c>
      <c r="C28" s="652"/>
      <c r="D28" s="1481">
        <v>0</v>
      </c>
      <c r="E28" s="1481">
        <v>0</v>
      </c>
      <c r="F28" s="653">
        <f t="shared" si="1"/>
        <v>0</v>
      </c>
      <c r="G28" s="652"/>
    </row>
    <row r="29" spans="1:7" s="175" customFormat="1">
      <c r="A29" s="1034">
        <f t="shared" si="0"/>
        <v>1.2200000000000002</v>
      </c>
      <c r="B29" s="1427" t="s">
        <v>1375</v>
      </c>
      <c r="C29" s="652"/>
      <c r="D29" s="1481">
        <v>0</v>
      </c>
      <c r="E29" s="1481">
        <v>0</v>
      </c>
      <c r="F29" s="653">
        <f t="shared" si="1"/>
        <v>0</v>
      </c>
      <c r="G29" s="652"/>
    </row>
    <row r="30" spans="1:7" s="175" customFormat="1">
      <c r="A30" s="1034">
        <f t="shared" si="0"/>
        <v>1.2300000000000002</v>
      </c>
      <c r="B30" s="651" t="s">
        <v>380</v>
      </c>
      <c r="C30" s="652"/>
      <c r="D30" s="1481">
        <v>9933.07</v>
      </c>
      <c r="E30" s="1481">
        <v>81237.84</v>
      </c>
      <c r="F30" s="653">
        <f t="shared" si="1"/>
        <v>91170.91</v>
      </c>
      <c r="G30" s="652"/>
    </row>
    <row r="31" spans="1:7" s="175" customFormat="1">
      <c r="A31" s="1034">
        <f t="shared" si="0"/>
        <v>1.2400000000000002</v>
      </c>
      <c r="B31" s="651" t="s">
        <v>381</v>
      </c>
      <c r="C31" s="652"/>
      <c r="D31" s="1481">
        <v>460.02</v>
      </c>
      <c r="E31" s="1481">
        <v>0</v>
      </c>
      <c r="F31" s="653">
        <f t="shared" si="1"/>
        <v>460.02</v>
      </c>
      <c r="G31" s="652"/>
    </row>
    <row r="32" spans="1:7" s="175" customFormat="1">
      <c r="A32" s="1034">
        <f t="shared" si="0"/>
        <v>1.2500000000000002</v>
      </c>
      <c r="B32" s="651" t="s">
        <v>382</v>
      </c>
      <c r="C32" s="652"/>
      <c r="D32" s="1481">
        <v>11891.95000000007</v>
      </c>
      <c r="E32" s="1481">
        <v>0</v>
      </c>
      <c r="F32" s="653">
        <f t="shared" si="1"/>
        <v>11891.95000000007</v>
      </c>
      <c r="G32" s="652"/>
    </row>
    <row r="33" spans="1:10" s="175" customFormat="1">
      <c r="A33" s="1034">
        <f t="shared" si="0"/>
        <v>1.2600000000000002</v>
      </c>
      <c r="B33" s="651" t="s">
        <v>383</v>
      </c>
      <c r="C33" s="652"/>
      <c r="D33" s="1481"/>
      <c r="E33" s="1481">
        <v>33.25</v>
      </c>
      <c r="F33" s="653">
        <f t="shared" si="1"/>
        <v>33.25</v>
      </c>
      <c r="G33" s="652"/>
    </row>
    <row r="34" spans="1:10" s="175" customFormat="1">
      <c r="A34" s="1034">
        <f t="shared" si="0"/>
        <v>1.2700000000000002</v>
      </c>
      <c r="B34" s="651" t="s">
        <v>384</v>
      </c>
      <c r="C34" s="652"/>
      <c r="D34" s="1481">
        <v>3342.86</v>
      </c>
      <c r="E34" s="1481">
        <v>14341.840000000002</v>
      </c>
      <c r="F34" s="653">
        <f t="shared" si="1"/>
        <v>17684.7</v>
      </c>
      <c r="G34" s="652"/>
    </row>
    <row r="35" spans="1:10" s="175" customFormat="1">
      <c r="A35" s="1034">
        <f t="shared" si="0"/>
        <v>1.2800000000000002</v>
      </c>
      <c r="B35" s="651" t="s">
        <v>385</v>
      </c>
      <c r="C35" s="652"/>
      <c r="D35" s="1481">
        <v>0</v>
      </c>
      <c r="E35" s="1481">
        <v>0</v>
      </c>
      <c r="F35" s="653">
        <f t="shared" si="1"/>
        <v>0</v>
      </c>
      <c r="G35" s="652"/>
    </row>
    <row r="36" spans="1:10" s="175" customFormat="1">
      <c r="A36" s="1034">
        <f t="shared" si="0"/>
        <v>1.2900000000000003</v>
      </c>
      <c r="B36" s="651" t="s">
        <v>386</v>
      </c>
      <c r="C36" s="652"/>
      <c r="D36" s="1481">
        <v>0</v>
      </c>
      <c r="E36" s="1481">
        <v>0</v>
      </c>
      <c r="F36" s="653">
        <f t="shared" si="1"/>
        <v>0</v>
      </c>
      <c r="G36" s="652"/>
    </row>
    <row r="37" spans="1:10" s="175" customFormat="1">
      <c r="A37" s="1034">
        <f t="shared" si="0"/>
        <v>1.3000000000000003</v>
      </c>
      <c r="B37" s="651" t="s">
        <v>731</v>
      </c>
      <c r="C37" s="652"/>
      <c r="D37" s="1481">
        <v>12.55</v>
      </c>
      <c r="E37" s="1481">
        <v>0</v>
      </c>
      <c r="F37" s="653">
        <f t="shared" si="1"/>
        <v>12.55</v>
      </c>
      <c r="G37" s="652"/>
    </row>
    <row r="38" spans="1:10" s="175" customFormat="1">
      <c r="A38" s="1034">
        <f t="shared" si="0"/>
        <v>1.3100000000000003</v>
      </c>
      <c r="B38" s="651" t="s">
        <v>387</v>
      </c>
      <c r="C38" s="652"/>
      <c r="D38" s="1481">
        <v>0</v>
      </c>
      <c r="E38" s="1481">
        <v>444.25</v>
      </c>
      <c r="F38" s="653">
        <f t="shared" si="1"/>
        <v>444.25</v>
      </c>
      <c r="G38" s="652"/>
    </row>
    <row r="39" spans="1:10" s="175" customFormat="1">
      <c r="A39" s="1034">
        <f t="shared" si="0"/>
        <v>1.3200000000000003</v>
      </c>
      <c r="B39" s="651" t="s">
        <v>732</v>
      </c>
      <c r="C39" s="652"/>
      <c r="D39" s="1481">
        <v>694.38</v>
      </c>
      <c r="E39" s="1481">
        <v>0</v>
      </c>
      <c r="F39" s="653">
        <f t="shared" si="1"/>
        <v>694.38</v>
      </c>
      <c r="G39" s="652"/>
    </row>
    <row r="40" spans="1:10" s="175" customFormat="1">
      <c r="A40" s="1034">
        <f t="shared" si="0"/>
        <v>1.3300000000000003</v>
      </c>
      <c r="B40" s="651" t="s">
        <v>388</v>
      </c>
      <c r="C40" s="652"/>
      <c r="D40" s="1481">
        <v>0</v>
      </c>
      <c r="E40" s="1481">
        <v>32.92</v>
      </c>
      <c r="F40" s="653">
        <f t="shared" si="1"/>
        <v>32.92</v>
      </c>
      <c r="G40" s="652"/>
    </row>
    <row r="41" spans="1:10" s="175" customFormat="1" ht="13.5" thickBot="1">
      <c r="A41" s="990">
        <f>A7+1</f>
        <v>2</v>
      </c>
      <c r="B41" s="686" t="s">
        <v>1328</v>
      </c>
      <c r="C41" s="652"/>
      <c r="D41" s="687">
        <f>SUM(D8:D40)</f>
        <v>64527.720000000067</v>
      </c>
      <c r="E41" s="687">
        <f>SUM(E8:E40)</f>
        <v>113585.87</v>
      </c>
      <c r="F41" s="687">
        <f>SUM(F8:F40)</f>
        <v>178113.59000000008</v>
      </c>
      <c r="G41" s="652"/>
    </row>
    <row r="42" spans="1:10" s="175" customFormat="1" ht="13.5" thickTop="1">
      <c r="A42" s="990">
        <f>A41+1</f>
        <v>3</v>
      </c>
      <c r="B42" s="1148"/>
      <c r="C42" s="1148"/>
      <c r="D42" s="1148"/>
      <c r="E42" s="1149"/>
      <c r="F42" s="1149"/>
      <c r="G42" s="897"/>
      <c r="H42" s="647"/>
      <c r="I42" s="647"/>
      <c r="J42" s="647"/>
    </row>
    <row r="43" spans="1:10" s="647" customFormat="1">
      <c r="A43" s="990">
        <f t="shared" ref="A43:A48" si="2">A42+1</f>
        <v>4</v>
      </c>
      <c r="B43" s="1148" t="s">
        <v>1041</v>
      </c>
      <c r="C43" s="1148"/>
      <c r="D43" s="1148"/>
      <c r="E43" s="1149"/>
      <c r="F43" s="1149"/>
      <c r="G43" s="897"/>
    </row>
    <row r="44" spans="1:10" s="647" customFormat="1">
      <c r="A44" s="990">
        <f t="shared" si="2"/>
        <v>5</v>
      </c>
      <c r="B44" s="1150" t="s">
        <v>1149</v>
      </c>
      <c r="C44" s="1151"/>
      <c r="D44" s="1151"/>
      <c r="E44" s="1151"/>
      <c r="F44" s="1151"/>
      <c r="G44" s="912"/>
    </row>
    <row r="45" spans="1:10" s="647" customFormat="1" ht="15">
      <c r="A45" s="990">
        <f t="shared" si="2"/>
        <v>6</v>
      </c>
      <c r="B45" s="1150" t="s">
        <v>975</v>
      </c>
      <c r="C45" s="719"/>
      <c r="D45" s="719">
        <f>D21</f>
        <v>0</v>
      </c>
      <c r="E45" s="719">
        <f>E21</f>
        <v>0</v>
      </c>
      <c r="F45" s="719">
        <f>F21</f>
        <v>0</v>
      </c>
      <c r="G45" s="719"/>
    </row>
    <row r="46" spans="1:10" s="647" customFormat="1">
      <c r="A46" s="990">
        <f t="shared" si="2"/>
        <v>7</v>
      </c>
      <c r="B46" s="1152" t="s">
        <v>1281</v>
      </c>
      <c r="C46" s="1151"/>
      <c r="D46" s="1151">
        <f>SUM(D44:D45)</f>
        <v>0</v>
      </c>
      <c r="E46" s="1151">
        <f>SUM(E44:E45)</f>
        <v>0</v>
      </c>
      <c r="F46" s="1151">
        <f>SUM(F44:F45)</f>
        <v>0</v>
      </c>
      <c r="G46" s="912"/>
    </row>
    <row r="47" spans="1:10" s="647" customFormat="1" ht="15">
      <c r="A47" s="990">
        <f t="shared" si="2"/>
        <v>8</v>
      </c>
      <c r="B47" s="1148" t="s">
        <v>1355</v>
      </c>
      <c r="C47" s="719"/>
      <c r="D47" s="719">
        <f>SUM(D20:D25)-D21</f>
        <v>28079.45</v>
      </c>
      <c r="E47" s="719">
        <f t="shared" ref="E47:F47" si="3">SUM(E20:E25)-E21</f>
        <v>13211.760000000002</v>
      </c>
      <c r="F47" s="719">
        <f t="shared" si="3"/>
        <v>41291.21</v>
      </c>
      <c r="G47" s="935"/>
    </row>
    <row r="48" spans="1:10" s="647" customFormat="1">
      <c r="A48" s="990">
        <f t="shared" si="2"/>
        <v>9</v>
      </c>
      <c r="B48" s="1148" t="s">
        <v>1243</v>
      </c>
      <c r="C48" s="1151"/>
      <c r="D48" s="1151">
        <f>+D46+D47</f>
        <v>28079.45</v>
      </c>
      <c r="E48" s="1151">
        <f>+E46+E47</f>
        <v>13211.760000000002</v>
      </c>
      <c r="F48" s="1151">
        <f>+F46+F47</f>
        <v>41291.21</v>
      </c>
      <c r="G48" s="912"/>
    </row>
    <row r="49" spans="1:10" s="647" customFormat="1">
      <c r="A49" s="990">
        <f t="shared" ref="A49:A60" si="4">+A48+1</f>
        <v>10</v>
      </c>
      <c r="B49" s="651"/>
      <c r="C49" s="652"/>
      <c r="D49" s="297"/>
      <c r="E49" s="297"/>
      <c r="F49" s="297"/>
      <c r="G49" s="652"/>
      <c r="H49" s="175"/>
      <c r="I49" s="175"/>
      <c r="J49" s="175"/>
    </row>
    <row r="50" spans="1:10" s="175" customFormat="1">
      <c r="A50" s="990">
        <f t="shared" si="4"/>
        <v>11</v>
      </c>
      <c r="B50" s="1148" t="s">
        <v>245</v>
      </c>
      <c r="C50" s="1148"/>
      <c r="D50" s="1148"/>
      <c r="E50" s="1149"/>
      <c r="F50" s="1149"/>
      <c r="G50" s="892"/>
    </row>
    <row r="51" spans="1:10" s="175" customFormat="1" ht="15" customHeight="1">
      <c r="A51" s="990">
        <f t="shared" si="4"/>
        <v>12</v>
      </c>
      <c r="B51" s="1150" t="s">
        <v>1173</v>
      </c>
      <c r="D51" s="1153">
        <f>D8+D9</f>
        <v>0</v>
      </c>
      <c r="E51" s="1153">
        <f>E8+E9</f>
        <v>0</v>
      </c>
      <c r="F51" s="1153">
        <f>F8+F9</f>
        <v>0</v>
      </c>
    </row>
    <row r="52" spans="1:10" s="175" customFormat="1">
      <c r="A52" s="990">
        <f t="shared" si="4"/>
        <v>13</v>
      </c>
      <c r="B52" s="1150" t="s">
        <v>1172</v>
      </c>
      <c r="D52" s="1154">
        <f t="shared" ref="D52:F53" si="5">D10</f>
        <v>7179.2300000000005</v>
      </c>
      <c r="E52" s="1154">
        <f t="shared" si="5"/>
        <v>0</v>
      </c>
      <c r="F52" s="1154">
        <f t="shared" si="5"/>
        <v>7179.2300000000005</v>
      </c>
    </row>
    <row r="53" spans="1:10" s="175" customFormat="1">
      <c r="A53" s="990">
        <f t="shared" si="4"/>
        <v>14</v>
      </c>
      <c r="B53" s="1150" t="s">
        <v>1171</v>
      </c>
      <c r="D53" s="1154">
        <f t="shared" si="5"/>
        <v>2489.2399999999993</v>
      </c>
      <c r="E53" s="1154">
        <f t="shared" si="5"/>
        <v>0</v>
      </c>
      <c r="F53" s="1154">
        <f t="shared" si="5"/>
        <v>2489.2399999999993</v>
      </c>
    </row>
    <row r="54" spans="1:10" s="175" customFormat="1">
      <c r="A54" s="990">
        <f t="shared" si="4"/>
        <v>15</v>
      </c>
      <c r="B54" s="1150" t="s">
        <v>1165</v>
      </c>
      <c r="D54" s="1153">
        <f>SUM(D12:D19)</f>
        <v>0</v>
      </c>
      <c r="E54" s="1153">
        <f>SUM(E12:E19)</f>
        <v>224.78999999999994</v>
      </c>
      <c r="F54" s="1153">
        <f>SUM(F12:F19)</f>
        <v>224.78999999999994</v>
      </c>
    </row>
    <row r="55" spans="1:10" s="175" customFormat="1">
      <c r="A55" s="990">
        <f t="shared" si="4"/>
        <v>16</v>
      </c>
      <c r="B55" s="1150" t="s">
        <v>1164</v>
      </c>
      <c r="D55" s="1153">
        <f>SUM(D20:D25)</f>
        <v>28079.45</v>
      </c>
      <c r="E55" s="1153">
        <f>SUM(E20:E25)</f>
        <v>13211.760000000002</v>
      </c>
      <c r="F55" s="1153">
        <f>SUM(F20:F25)</f>
        <v>41291.21</v>
      </c>
    </row>
    <row r="56" spans="1:10" s="175" customFormat="1">
      <c r="A56" s="990">
        <f t="shared" si="4"/>
        <v>17</v>
      </c>
      <c r="B56" s="1150" t="s">
        <v>1166</v>
      </c>
      <c r="D56" s="1153">
        <f t="shared" ref="D56:F57" si="6">D26</f>
        <v>0</v>
      </c>
      <c r="E56" s="1153">
        <f t="shared" si="6"/>
        <v>0</v>
      </c>
      <c r="F56" s="1153">
        <f t="shared" si="6"/>
        <v>0</v>
      </c>
    </row>
    <row r="57" spans="1:10" s="175" customFormat="1">
      <c r="A57" s="990">
        <f t="shared" si="4"/>
        <v>18</v>
      </c>
      <c r="B57" s="1150" t="s">
        <v>1167</v>
      </c>
      <c r="D57" s="1153">
        <f t="shared" si="6"/>
        <v>444.96999999999997</v>
      </c>
      <c r="E57" s="1153">
        <f t="shared" si="6"/>
        <v>4059.2200000000003</v>
      </c>
      <c r="F57" s="1153">
        <f t="shared" si="6"/>
        <v>4504.1900000000005</v>
      </c>
    </row>
    <row r="58" spans="1:10" s="175" customFormat="1">
      <c r="A58" s="990">
        <f t="shared" si="4"/>
        <v>19</v>
      </c>
      <c r="B58" s="1150" t="s">
        <v>1168</v>
      </c>
      <c r="D58" s="1153">
        <f>D29</f>
        <v>0</v>
      </c>
      <c r="E58" s="1153">
        <f t="shared" ref="E58:F58" si="7">E29</f>
        <v>0</v>
      </c>
      <c r="F58" s="1153">
        <f t="shared" si="7"/>
        <v>0</v>
      </c>
    </row>
    <row r="59" spans="1:10" s="175" customFormat="1">
      <c r="A59" s="990">
        <f t="shared" si="4"/>
        <v>20</v>
      </c>
      <c r="B59" s="1150" t="s">
        <v>1169</v>
      </c>
      <c r="D59" s="1153">
        <f>D28</f>
        <v>0</v>
      </c>
      <c r="E59" s="1153">
        <f t="shared" ref="E59:F59" si="8">E28</f>
        <v>0</v>
      </c>
      <c r="F59" s="1153">
        <f t="shared" si="8"/>
        <v>0</v>
      </c>
    </row>
    <row r="60" spans="1:10" s="175" customFormat="1">
      <c r="A60" s="990">
        <f t="shared" si="4"/>
        <v>21</v>
      </c>
      <c r="B60" s="1150" t="s">
        <v>1170</v>
      </c>
      <c r="D60" s="1154">
        <f>SUM(D30:D40)</f>
        <v>26334.830000000071</v>
      </c>
      <c r="E60" s="1154">
        <f>SUM(E30:E40)</f>
        <v>96090.099999999991</v>
      </c>
      <c r="F60" s="1154">
        <f>SUM(F30:F40)</f>
        <v>122424.93000000008</v>
      </c>
    </row>
    <row r="61" spans="1:10" s="175" customFormat="1" ht="13.5" thickBot="1">
      <c r="A61" s="990">
        <f>A60+1</f>
        <v>22</v>
      </c>
      <c r="B61" s="1148" t="str">
        <f>B41</f>
        <v>Total  Sum Line 1 Subparts</v>
      </c>
      <c r="D61" s="1155">
        <f>SUM(D51:D60)</f>
        <v>64527.720000000074</v>
      </c>
      <c r="E61" s="1155">
        <f>SUM(E51:E60)</f>
        <v>113585.87</v>
      </c>
      <c r="F61" s="1155">
        <f>SUM(F51:F60)</f>
        <v>178113.59000000008</v>
      </c>
    </row>
    <row r="62" spans="1:10" s="175" customFormat="1" ht="13.5" thickTop="1">
      <c r="A62" s="1033">
        <f>A61+1</f>
        <v>23</v>
      </c>
      <c r="B62" s="1148"/>
      <c r="D62" s="1148"/>
      <c r="E62" s="1148"/>
      <c r="F62" s="1156"/>
      <c r="G62" s="899"/>
    </row>
    <row r="63" spans="1:10" s="175" customFormat="1">
      <c r="A63" s="1033">
        <f>A62+1</f>
        <v>24</v>
      </c>
      <c r="B63" s="1240" t="s">
        <v>1371</v>
      </c>
      <c r="D63" s="1153"/>
      <c r="E63" s="1153">
        <f>SUM(E51:E59)</f>
        <v>17495.77</v>
      </c>
      <c r="F63" s="1153"/>
      <c r="G63" s="174"/>
    </row>
    <row r="64" spans="1:10" s="175" customFormat="1">
      <c r="A64" s="1033"/>
      <c r="B64" s="1152"/>
      <c r="D64" s="1153"/>
      <c r="E64" s="1153"/>
      <c r="F64" s="1153"/>
      <c r="G64" s="174"/>
    </row>
    <row r="65" spans="1:11" s="175" customFormat="1">
      <c r="A65" s="175" t="s">
        <v>398</v>
      </c>
      <c r="B65" s="651"/>
      <c r="D65" s="297"/>
      <c r="E65" s="297"/>
      <c r="F65" s="297"/>
      <c r="G65" s="174"/>
      <c r="H65" s="174"/>
      <c r="I65" s="174"/>
      <c r="J65" s="174"/>
    </row>
    <row r="66" spans="1:11">
      <c r="A66" s="1239" t="s">
        <v>367</v>
      </c>
      <c r="B66" s="686" t="s">
        <v>1232</v>
      </c>
      <c r="C66" s="686"/>
      <c r="D66" s="686"/>
      <c r="E66" s="686"/>
      <c r="F66" s="686"/>
    </row>
    <row r="67" spans="1:11" s="647" customFormat="1" ht="14.25" customHeight="1">
      <c r="A67" s="1242" t="s">
        <v>769</v>
      </c>
      <c r="B67" s="1783" t="s">
        <v>1372</v>
      </c>
      <c r="C67" s="1783"/>
      <c r="D67" s="1783"/>
      <c r="E67" s="1783"/>
      <c r="F67" s="1783"/>
      <c r="G67" s="1112"/>
      <c r="H67" s="1113"/>
      <c r="I67" s="1112"/>
      <c r="J67" s="1112"/>
      <c r="K67" s="1112"/>
    </row>
    <row r="68" spans="1:11" s="647" customFormat="1" ht="26.45" customHeight="1">
      <c r="A68" s="1111" t="s">
        <v>770</v>
      </c>
      <c r="B68" s="1708" t="s">
        <v>1373</v>
      </c>
      <c r="C68" s="1708"/>
      <c r="D68" s="1708"/>
      <c r="E68" s="1708"/>
      <c r="F68" s="1708"/>
      <c r="G68" s="1112"/>
      <c r="H68" s="1113"/>
      <c r="I68" s="1112"/>
      <c r="J68" s="1112"/>
      <c r="K68" s="1112"/>
    </row>
    <row r="69" spans="1:11">
      <c r="A69" s="1114"/>
      <c r="B69" s="686"/>
      <c r="C69" s="686"/>
      <c r="D69" s="686"/>
      <c r="E69" s="686"/>
      <c r="F69" s="686"/>
    </row>
    <row r="70" spans="1:11">
      <c r="A70" s="1114"/>
      <c r="B70" s="686"/>
      <c r="C70" s="686"/>
      <c r="D70" s="686"/>
      <c r="E70" s="686"/>
      <c r="F70" s="686"/>
    </row>
    <row r="71" spans="1:11">
      <c r="A71" s="1114"/>
      <c r="B71" s="686"/>
      <c r="C71" s="686"/>
      <c r="D71" s="686"/>
      <c r="E71" s="686"/>
      <c r="F71" s="686"/>
    </row>
    <row r="72" spans="1:11">
      <c r="A72" s="174"/>
    </row>
  </sheetData>
  <mergeCells count="5">
    <mergeCell ref="B68:F68"/>
    <mergeCell ref="B67:F67"/>
    <mergeCell ref="A3:F3"/>
    <mergeCell ref="A1:F1"/>
    <mergeCell ref="A2:F2"/>
  </mergeCells>
  <phoneticPr fontId="103" type="noConversion"/>
  <printOptions horizontalCentered="1"/>
  <pageMargins left="0.7" right="0.7" top="0.7" bottom="0.7" header="0.3" footer="0.5"/>
  <pageSetup scale="78" orientation="portrait" r:id="rId1"/>
  <headerFooter>
    <oddFooter>&amp;CPage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61"/>
  <sheetViews>
    <sheetView topLeftCell="A19" zoomScaleNormal="100" workbookViewId="0">
      <selection activeCell="B37" sqref="B37"/>
    </sheetView>
  </sheetViews>
  <sheetFormatPr defaultColWidth="8.85546875" defaultRowHeight="12.75"/>
  <cols>
    <col min="1" max="1" width="4.85546875" style="1140" customWidth="1"/>
    <col min="2" max="2" width="43.140625" style="1130" customWidth="1"/>
    <col min="3" max="3" width="11.7109375" style="1130" bestFit="1" customWidth="1"/>
    <col min="4" max="6" width="11" style="1130" customWidth="1"/>
    <col min="7" max="7" width="14.140625" style="1130" customWidth="1"/>
    <col min="8" max="11" width="12.42578125" style="1130" customWidth="1"/>
    <col min="12" max="12" width="10.42578125" style="1130" customWidth="1"/>
    <col min="13" max="16384" width="8.85546875" style="1130"/>
  </cols>
  <sheetData>
    <row r="1" spans="1:14" s="44" customFormat="1">
      <c r="A1" s="1722" t="str">
        <f>+'MISO Cover'!C6</f>
        <v>Entergy Arkansas, Inc.</v>
      </c>
      <c r="B1" s="1722"/>
      <c r="C1" s="1722"/>
      <c r="D1" s="1722"/>
      <c r="E1" s="1722"/>
      <c r="F1" s="1722"/>
      <c r="G1" s="1722"/>
      <c r="H1" s="905"/>
    </row>
    <row r="2" spans="1:14" s="44" customFormat="1">
      <c r="A2" s="1777" t="s">
        <v>371</v>
      </c>
      <c r="B2" s="1777"/>
      <c r="C2" s="1777"/>
      <c r="D2" s="1777"/>
      <c r="E2" s="1777"/>
      <c r="F2" s="1777"/>
      <c r="G2" s="1777"/>
    </row>
    <row r="3" spans="1:14" s="44" customFormat="1">
      <c r="A3" s="1786" t="s">
        <v>1528</v>
      </c>
      <c r="B3" s="1786"/>
      <c r="C3" s="1786"/>
      <c r="D3" s="1786"/>
      <c r="E3" s="1786"/>
      <c r="F3" s="1786"/>
      <c r="G3" s="1786"/>
    </row>
    <row r="4" spans="1:14" s="44" customFormat="1">
      <c r="A4" s="1777" t="str">
        <f>+'MISO Cover'!K4</f>
        <v>For  the 12 Months Ended 12/31/2014</v>
      </c>
      <c r="B4" s="1777"/>
      <c r="C4" s="1777"/>
      <c r="D4" s="1777"/>
      <c r="E4" s="1777"/>
      <c r="F4" s="1777"/>
      <c r="G4" s="1777"/>
      <c r="H4" s="873"/>
      <c r="I4" s="873"/>
      <c r="J4" s="873"/>
      <c r="K4" s="873"/>
      <c r="L4" s="873"/>
      <c r="M4" s="873"/>
      <c r="N4" s="873"/>
    </row>
    <row r="5" spans="1:14" s="44" customFormat="1">
      <c r="A5" s="1128"/>
      <c r="B5" s="1128"/>
      <c r="C5" s="630"/>
      <c r="D5" s="630"/>
      <c r="E5" s="630"/>
      <c r="F5" s="1129" t="s">
        <v>1398</v>
      </c>
      <c r="G5" s="1476" t="s">
        <v>1399</v>
      </c>
      <c r="H5" s="873"/>
      <c r="I5" s="873"/>
      <c r="J5" s="873"/>
      <c r="K5" s="873"/>
      <c r="L5" s="873"/>
      <c r="M5" s="873"/>
      <c r="N5" s="873"/>
    </row>
    <row r="6" spans="1:14" s="174" customFormat="1">
      <c r="A6" s="649" t="s">
        <v>663</v>
      </c>
      <c r="B6" s="1129" t="s">
        <v>261</v>
      </c>
      <c r="C6" s="1129" t="s">
        <v>309</v>
      </c>
      <c r="D6" s="1129" t="s">
        <v>249</v>
      </c>
      <c r="E6" s="1129" t="s">
        <v>262</v>
      </c>
      <c r="F6" s="1129" t="s">
        <v>260</v>
      </c>
      <c r="G6" s="1476" t="s">
        <v>351</v>
      </c>
      <c r="H6" s="873"/>
      <c r="I6" s="873"/>
      <c r="J6" s="873"/>
      <c r="K6" s="873"/>
      <c r="L6" s="873"/>
    </row>
    <row r="7" spans="1:14" s="174" customFormat="1" ht="15">
      <c r="A7" s="649"/>
      <c r="B7" s="1129"/>
      <c r="C7" s="1129"/>
      <c r="D7" s="1784" t="s">
        <v>1310</v>
      </c>
      <c r="E7" s="1784"/>
      <c r="F7" s="1784"/>
      <c r="G7" s="1476"/>
      <c r="H7" s="873"/>
      <c r="I7" s="873"/>
      <c r="J7" s="873"/>
      <c r="K7" s="873"/>
      <c r="L7" s="873"/>
    </row>
    <row r="8" spans="1:14" s="174" customFormat="1">
      <c r="A8" s="1033">
        <v>1</v>
      </c>
      <c r="B8" s="1616" t="s">
        <v>372</v>
      </c>
      <c r="C8" s="1616" t="s">
        <v>1309</v>
      </c>
      <c r="D8" s="1616" t="s">
        <v>1392</v>
      </c>
      <c r="E8" s="1616" t="s">
        <v>1393</v>
      </c>
      <c r="F8" s="1616" t="s">
        <v>308</v>
      </c>
      <c r="G8" s="1616" t="s">
        <v>984</v>
      </c>
      <c r="H8" s="175"/>
    </row>
    <row r="9" spans="1:14">
      <c r="A9" s="1034">
        <f>+A8+0.01</f>
        <v>1.01</v>
      </c>
      <c r="B9" s="1136" t="s">
        <v>1327</v>
      </c>
      <c r="C9" s="222">
        <v>0</v>
      </c>
      <c r="D9" s="1482">
        <v>0</v>
      </c>
      <c r="E9" s="1482">
        <v>0</v>
      </c>
      <c r="F9" s="1135">
        <f>+D9+E9</f>
        <v>0</v>
      </c>
      <c r="G9" s="80">
        <f>+C9+F9</f>
        <v>0</v>
      </c>
      <c r="H9" s="1133"/>
    </row>
    <row r="10" spans="1:14">
      <c r="A10" s="1034">
        <f>+A9+0.01</f>
        <v>1.02</v>
      </c>
      <c r="B10" s="1136" t="s">
        <v>366</v>
      </c>
      <c r="C10" s="222">
        <v>135121.40999999997</v>
      </c>
      <c r="D10" s="1482">
        <v>-208151.03999999992</v>
      </c>
      <c r="E10" s="1482">
        <v>-38606.140000000007</v>
      </c>
      <c r="F10" s="1135">
        <f t="shared" ref="F10:F31" si="0">+D10+E10</f>
        <v>-246757.17999999993</v>
      </c>
      <c r="G10" s="80">
        <f t="shared" ref="G10:G31" si="1">+C10+F10</f>
        <v>-111635.76999999996</v>
      </c>
      <c r="H10" s="1133"/>
    </row>
    <row r="11" spans="1:14">
      <c r="A11" s="1034">
        <f>+A9+0.01</f>
        <v>1.02</v>
      </c>
      <c r="B11" s="1136" t="s">
        <v>1311</v>
      </c>
      <c r="C11" s="222">
        <v>173535.93</v>
      </c>
      <c r="D11" s="1482">
        <v>-220787.24000000002</v>
      </c>
      <c r="E11" s="1482">
        <v>-49700.420000000013</v>
      </c>
      <c r="F11" s="1135">
        <f t="shared" si="0"/>
        <v>-270487.66000000003</v>
      </c>
      <c r="G11" s="80">
        <f t="shared" si="1"/>
        <v>-96951.73000000004</v>
      </c>
      <c r="H11" s="1133"/>
    </row>
    <row r="12" spans="1:14">
      <c r="A12" s="1034">
        <f t="shared" ref="A12:A27" si="2">+A11+0.01</f>
        <v>1.03</v>
      </c>
      <c r="B12" s="1136" t="s">
        <v>1312</v>
      </c>
      <c r="C12" s="222">
        <v>1942.23</v>
      </c>
      <c r="D12" s="1482">
        <v>-80.40000000000002</v>
      </c>
      <c r="E12" s="1482">
        <v>-555.01</v>
      </c>
      <c r="F12" s="1135">
        <f t="shared" si="0"/>
        <v>-635.41</v>
      </c>
      <c r="G12" s="80">
        <f t="shared" si="1"/>
        <v>1306.8200000000002</v>
      </c>
      <c r="H12" s="1133"/>
    </row>
    <row r="13" spans="1:14">
      <c r="A13" s="1034">
        <f t="shared" si="2"/>
        <v>1.04</v>
      </c>
      <c r="B13" s="1136" t="s">
        <v>1313</v>
      </c>
      <c r="C13" s="222">
        <v>522118.99</v>
      </c>
      <c r="D13" s="1482">
        <v>-1002292.6</v>
      </c>
      <c r="E13" s="1482">
        <v>-149371.02999999997</v>
      </c>
      <c r="F13" s="1135">
        <f t="shared" si="0"/>
        <v>-1151663.6299999999</v>
      </c>
      <c r="G13" s="80">
        <f t="shared" si="1"/>
        <v>-629544.6399999999</v>
      </c>
      <c r="H13" s="1133"/>
    </row>
    <row r="14" spans="1:14">
      <c r="A14" s="1034">
        <f t="shared" si="2"/>
        <v>1.05</v>
      </c>
      <c r="B14" s="1136" t="s">
        <v>1314</v>
      </c>
      <c r="C14" s="222">
        <v>4864.3599999999997</v>
      </c>
      <c r="D14" s="1482">
        <v>0</v>
      </c>
      <c r="E14" s="1482">
        <v>-1389.8499999999997</v>
      </c>
      <c r="F14" s="1135">
        <f t="shared" si="0"/>
        <v>-1389.8499999999997</v>
      </c>
      <c r="G14" s="80">
        <f t="shared" si="1"/>
        <v>3474.51</v>
      </c>
      <c r="H14" s="1133"/>
    </row>
    <row r="15" spans="1:14">
      <c r="A15" s="1034">
        <f t="shared" si="2"/>
        <v>1.06</v>
      </c>
      <c r="B15" s="1136" t="s">
        <v>1315</v>
      </c>
      <c r="C15" s="222">
        <v>4892</v>
      </c>
      <c r="D15" s="1482">
        <v>-3062.0400000000004</v>
      </c>
      <c r="E15" s="1482">
        <v>-1397.78</v>
      </c>
      <c r="F15" s="1135">
        <f t="shared" si="0"/>
        <v>-4459.8200000000006</v>
      </c>
      <c r="G15" s="80">
        <f t="shared" si="1"/>
        <v>432.17999999999938</v>
      </c>
      <c r="H15" s="1133"/>
    </row>
    <row r="16" spans="1:14">
      <c r="A16" s="1034">
        <f t="shared" si="2"/>
        <v>1.07</v>
      </c>
      <c r="B16" s="1136" t="s">
        <v>1316</v>
      </c>
      <c r="C16" s="222">
        <v>1022</v>
      </c>
      <c r="D16" s="1482">
        <v>0</v>
      </c>
      <c r="E16" s="1482">
        <v>-291.9799999999999</v>
      </c>
      <c r="F16" s="1135">
        <f t="shared" si="0"/>
        <v>-291.9799999999999</v>
      </c>
      <c r="G16" s="80">
        <f t="shared" si="1"/>
        <v>730.0200000000001</v>
      </c>
      <c r="H16" s="1133"/>
    </row>
    <row r="17" spans="1:8">
      <c r="A17" s="1034">
        <f t="shared" si="2"/>
        <v>1.08</v>
      </c>
      <c r="B17" s="1136" t="s">
        <v>1323</v>
      </c>
      <c r="C17" s="222">
        <v>126489.49000000005</v>
      </c>
      <c r="D17" s="1482">
        <v>-76741.56</v>
      </c>
      <c r="E17" s="1482">
        <v>-36139.909999999974</v>
      </c>
      <c r="F17" s="1135">
        <f t="shared" si="0"/>
        <v>-112881.46999999997</v>
      </c>
      <c r="G17" s="80">
        <f t="shared" si="1"/>
        <v>13608.020000000077</v>
      </c>
      <c r="H17" s="1133"/>
    </row>
    <row r="18" spans="1:8">
      <c r="A18" s="1034">
        <f t="shared" si="2"/>
        <v>1.0900000000000001</v>
      </c>
      <c r="B18" s="1136" t="s">
        <v>1317</v>
      </c>
      <c r="C18" s="222">
        <v>199.53999999999996</v>
      </c>
      <c r="D18" s="1482">
        <v>0</v>
      </c>
      <c r="E18" s="1482">
        <v>-56.900000000000034</v>
      </c>
      <c r="F18" s="1135">
        <f t="shared" si="0"/>
        <v>-56.900000000000034</v>
      </c>
      <c r="G18" s="80">
        <f t="shared" si="1"/>
        <v>142.63999999999993</v>
      </c>
      <c r="H18" s="1133"/>
    </row>
    <row r="19" spans="1:8">
      <c r="A19" s="1034">
        <f t="shared" si="2"/>
        <v>1.1000000000000001</v>
      </c>
      <c r="B19" s="1136" t="s">
        <v>1318</v>
      </c>
      <c r="C19" s="222">
        <v>0</v>
      </c>
      <c r="D19" s="1482">
        <v>0</v>
      </c>
      <c r="E19" s="1482">
        <v>-1.0000000000000675E-2</v>
      </c>
      <c r="F19" s="1135">
        <f t="shared" si="0"/>
        <v>-1.0000000000000675E-2</v>
      </c>
      <c r="G19" s="80">
        <f t="shared" si="1"/>
        <v>-1.0000000000000675E-2</v>
      </c>
      <c r="H19" s="1133"/>
    </row>
    <row r="20" spans="1:8">
      <c r="A20" s="1034">
        <f t="shared" si="2"/>
        <v>1.1100000000000001</v>
      </c>
      <c r="B20" s="1136" t="s">
        <v>1319</v>
      </c>
      <c r="C20" s="222">
        <v>0</v>
      </c>
      <c r="D20" s="1482">
        <v>0</v>
      </c>
      <c r="E20" s="1482">
        <v>1.0000000000019327E-2</v>
      </c>
      <c r="F20" s="1135">
        <f t="shared" si="0"/>
        <v>1.0000000000019327E-2</v>
      </c>
      <c r="G20" s="80">
        <f t="shared" si="1"/>
        <v>1.0000000000019327E-2</v>
      </c>
      <c r="H20" s="1133"/>
    </row>
    <row r="21" spans="1:8">
      <c r="A21" s="1034">
        <f t="shared" si="2"/>
        <v>1.1200000000000001</v>
      </c>
      <c r="B21" s="1136" t="s">
        <v>1320</v>
      </c>
      <c r="C21" s="222">
        <v>-46993</v>
      </c>
      <c r="D21" s="1482">
        <v>-353697.38</v>
      </c>
      <c r="E21" s="1482">
        <v>13426.539999999994</v>
      </c>
      <c r="F21" s="1135">
        <f t="shared" si="0"/>
        <v>-340270.84</v>
      </c>
      <c r="G21" s="80">
        <f t="shared" si="1"/>
        <v>-387263.84</v>
      </c>
      <c r="H21" s="1133"/>
    </row>
    <row r="22" spans="1:8">
      <c r="A22" s="1034">
        <f t="shared" si="2"/>
        <v>1.1300000000000001</v>
      </c>
      <c r="B22" s="1136" t="s">
        <v>1321</v>
      </c>
      <c r="C22" s="222">
        <v>-979</v>
      </c>
      <c r="D22" s="1482">
        <v>9.9999999999980105E-3</v>
      </c>
      <c r="E22" s="1482">
        <v>0</v>
      </c>
      <c r="F22" s="1135">
        <f t="shared" si="0"/>
        <v>9.9999999999980105E-3</v>
      </c>
      <c r="G22" s="80">
        <f t="shared" si="1"/>
        <v>-978.99</v>
      </c>
      <c r="H22" s="1133"/>
    </row>
    <row r="23" spans="1:8">
      <c r="A23" s="1034">
        <f t="shared" si="2"/>
        <v>1.1400000000000001</v>
      </c>
      <c r="B23" s="1136" t="s">
        <v>1322</v>
      </c>
      <c r="C23" s="222">
        <v>190.72</v>
      </c>
      <c r="D23" s="1482">
        <v>0</v>
      </c>
      <c r="E23" s="1482">
        <v>-54.45</v>
      </c>
      <c r="F23" s="1135">
        <f t="shared" si="0"/>
        <v>-54.45</v>
      </c>
      <c r="G23" s="80">
        <f t="shared" si="1"/>
        <v>136.26999999999998</v>
      </c>
      <c r="H23" s="1133"/>
    </row>
    <row r="24" spans="1:8">
      <c r="A24" s="1034">
        <f t="shared" si="2"/>
        <v>1.1500000000000001</v>
      </c>
      <c r="B24" s="1136" t="s">
        <v>1324</v>
      </c>
      <c r="C24" s="222">
        <v>867587.78999999992</v>
      </c>
      <c r="D24" s="1482">
        <v>-541166.88</v>
      </c>
      <c r="E24" s="1482">
        <v>-247882.34</v>
      </c>
      <c r="F24" s="1135">
        <f t="shared" si="0"/>
        <v>-789049.22</v>
      </c>
      <c r="G24" s="80">
        <f t="shared" si="1"/>
        <v>78538.569999999949</v>
      </c>
      <c r="H24" s="1133"/>
    </row>
    <row r="25" spans="1:8">
      <c r="A25" s="1034">
        <f t="shared" si="2"/>
        <v>1.1600000000000001</v>
      </c>
      <c r="B25" s="1136" t="s">
        <v>1325</v>
      </c>
      <c r="C25" s="222">
        <v>0</v>
      </c>
      <c r="D25" s="1482">
        <v>0</v>
      </c>
      <c r="E25" s="1482">
        <v>0</v>
      </c>
      <c r="F25" s="1135">
        <f t="shared" si="0"/>
        <v>0</v>
      </c>
      <c r="G25" s="80">
        <f t="shared" si="1"/>
        <v>0</v>
      </c>
      <c r="H25" s="1133"/>
    </row>
    <row r="26" spans="1:8">
      <c r="A26" s="1034">
        <f t="shared" si="2"/>
        <v>1.1700000000000002</v>
      </c>
      <c r="B26" s="1136" t="s">
        <v>389</v>
      </c>
      <c r="C26" s="222">
        <v>510438.72000000003</v>
      </c>
      <c r="D26" s="1482">
        <v>-419909.28</v>
      </c>
      <c r="E26" s="1482">
        <v>-145839.53</v>
      </c>
      <c r="F26" s="1135">
        <f t="shared" si="0"/>
        <v>-565748.81000000006</v>
      </c>
      <c r="G26" s="80">
        <f t="shared" si="1"/>
        <v>-55310.090000000026</v>
      </c>
      <c r="H26" s="1133"/>
    </row>
    <row r="27" spans="1:8">
      <c r="A27" s="1034">
        <f t="shared" si="2"/>
        <v>1.1800000000000002</v>
      </c>
      <c r="B27" s="1136" t="s">
        <v>390</v>
      </c>
      <c r="C27" s="222">
        <v>188450.05</v>
      </c>
      <c r="D27" s="1482">
        <v>-13426.540000000005</v>
      </c>
      <c r="E27" s="1482">
        <v>-56627.429999999993</v>
      </c>
      <c r="F27" s="1135">
        <f t="shared" si="0"/>
        <v>-70053.97</v>
      </c>
      <c r="G27" s="80">
        <f t="shared" si="1"/>
        <v>118396.07999999999</v>
      </c>
      <c r="H27" s="1133"/>
    </row>
    <row r="28" spans="1:8">
      <c r="A28" s="1034">
        <f t="shared" ref="A28:A31" si="3">+A27+0.01</f>
        <v>1.1900000000000002</v>
      </c>
      <c r="B28" s="1136" t="s">
        <v>391</v>
      </c>
      <c r="C28" s="222">
        <v>-716083.87000000011</v>
      </c>
      <c r="D28" s="1482">
        <v>-800939.5199999999</v>
      </c>
      <c r="E28" s="1482">
        <v>-22659.099999999919</v>
      </c>
      <c r="F28" s="1135">
        <f t="shared" si="0"/>
        <v>-823598.61999999988</v>
      </c>
      <c r="G28" s="80">
        <f t="shared" si="1"/>
        <v>-1539682.49</v>
      </c>
      <c r="H28" s="1133"/>
    </row>
    <row r="29" spans="1:8">
      <c r="A29" s="1034">
        <f t="shared" si="3"/>
        <v>1.2000000000000002</v>
      </c>
      <c r="B29" s="1136" t="s">
        <v>392</v>
      </c>
      <c r="C29" s="222">
        <v>-19377.96</v>
      </c>
      <c r="D29" s="1482">
        <v>-2553643.5799999991</v>
      </c>
      <c r="E29" s="1482">
        <v>5536.3799999999992</v>
      </c>
      <c r="F29" s="1135">
        <f t="shared" si="0"/>
        <v>-2548107.1999999993</v>
      </c>
      <c r="G29" s="80">
        <f t="shared" si="1"/>
        <v>-2567485.1599999992</v>
      </c>
      <c r="H29" s="1133"/>
    </row>
    <row r="30" spans="1:8">
      <c r="A30" s="1034">
        <f t="shared" si="3"/>
        <v>1.2100000000000002</v>
      </c>
      <c r="B30" s="1136" t="s">
        <v>733</v>
      </c>
      <c r="C30" s="222"/>
      <c r="D30" s="1482">
        <v>-0.47999999999999993</v>
      </c>
      <c r="E30" s="1482">
        <v>0</v>
      </c>
      <c r="F30" s="1135">
        <f t="shared" si="0"/>
        <v>-0.47999999999999993</v>
      </c>
      <c r="G30" s="80">
        <f t="shared" si="1"/>
        <v>-0.47999999999999993</v>
      </c>
      <c r="H30" s="1133"/>
    </row>
    <row r="31" spans="1:8">
      <c r="A31" s="1034">
        <f t="shared" si="3"/>
        <v>1.2200000000000002</v>
      </c>
      <c r="B31" s="1136" t="s">
        <v>1326</v>
      </c>
      <c r="C31" s="222">
        <v>2182</v>
      </c>
      <c r="D31" s="1482">
        <v>0</v>
      </c>
      <c r="E31" s="1482">
        <v>-623.41000000000008</v>
      </c>
      <c r="F31" s="80">
        <f t="shared" si="0"/>
        <v>-623.41000000000008</v>
      </c>
      <c r="G31" s="80">
        <f t="shared" si="1"/>
        <v>1558.59</v>
      </c>
      <c r="H31" s="1133"/>
    </row>
    <row r="32" spans="1:8" ht="13.5" thickBot="1">
      <c r="A32" s="1141">
        <f>+A8+1</f>
        <v>2</v>
      </c>
      <c r="B32" s="1133" t="str">
        <f>+"Total  (Sum of Line "&amp;A8&amp; " Subparts)"</f>
        <v>Total  (Sum of Line 1 Subparts)</v>
      </c>
      <c r="C32" s="1131">
        <f>SUM(C9:C31)</f>
        <v>1755601.4</v>
      </c>
      <c r="D32" s="1131">
        <f>SUM(D9:D31)</f>
        <v>-6193898.5299999993</v>
      </c>
      <c r="E32" s="1131">
        <f>SUM(E9:E31)</f>
        <v>-732232.35999999987</v>
      </c>
      <c r="F32" s="1132">
        <f>SUM(F9:F31)</f>
        <v>-6926130.8900000006</v>
      </c>
      <c r="G32" s="1132">
        <f>SUM(G9:G31)</f>
        <v>-5170529.4899999993</v>
      </c>
    </row>
    <row r="33" spans="1:9" s="647" customFormat="1" ht="13.5" thickTop="1">
      <c r="A33" s="1033">
        <f t="shared" ref="A33:A54" si="4">+A32+1</f>
        <v>3</v>
      </c>
      <c r="B33" s="1133"/>
      <c r="C33" s="1133"/>
      <c r="D33" s="1133"/>
      <c r="E33" s="1133"/>
      <c r="F33" s="1133"/>
      <c r="G33" s="1134"/>
      <c r="H33" s="1134"/>
      <c r="I33" s="1134"/>
    </row>
    <row r="34" spans="1:9" s="647" customFormat="1">
      <c r="A34" s="1033">
        <f t="shared" si="4"/>
        <v>4</v>
      </c>
      <c r="B34" s="1133" t="s">
        <v>1041</v>
      </c>
      <c r="C34" s="1133"/>
      <c r="D34" s="1133"/>
      <c r="E34" s="1133"/>
      <c r="F34" s="1133"/>
      <c r="G34" s="1134"/>
      <c r="H34" s="1135"/>
      <c r="I34" s="1135"/>
    </row>
    <row r="35" spans="1:9" s="647" customFormat="1" ht="15">
      <c r="A35" s="1033">
        <f t="shared" si="4"/>
        <v>5</v>
      </c>
      <c r="B35" s="1136" t="s">
        <v>1149</v>
      </c>
      <c r="C35" s="1135"/>
      <c r="D35" s="1135"/>
      <c r="E35" s="1135"/>
      <c r="F35" s="1135"/>
      <c r="G35" s="1135">
        <f>SUM(C35:E35)</f>
        <v>0</v>
      </c>
      <c r="H35" s="719"/>
      <c r="I35" s="719"/>
    </row>
    <row r="36" spans="1:9" s="647" customFormat="1">
      <c r="A36" s="1033">
        <f t="shared" si="4"/>
        <v>6</v>
      </c>
      <c r="B36" s="1136" t="s">
        <v>975</v>
      </c>
      <c r="C36" s="1158"/>
      <c r="D36" s="1158"/>
      <c r="E36" s="1158"/>
      <c r="F36" s="1158"/>
      <c r="G36" s="1158">
        <f>SUM(C36:E36)</f>
        <v>0</v>
      </c>
      <c r="H36" s="1135"/>
      <c r="I36" s="1135"/>
    </row>
    <row r="37" spans="1:9" s="647" customFormat="1" ht="15">
      <c r="A37" s="1033">
        <f t="shared" si="4"/>
        <v>7</v>
      </c>
      <c r="B37" s="1141" t="str">
        <f>+"Total Lines "&amp;A35&amp;" + "&amp;A36</f>
        <v>Total Lines 5 + 6</v>
      </c>
      <c r="C37" s="1135">
        <f>SUM(C35:C36)</f>
        <v>0</v>
      </c>
      <c r="D37" s="1135">
        <f>SUM(D35:D36)</f>
        <v>0</v>
      </c>
      <c r="E37" s="1135">
        <f>SUM(E35:E36)</f>
        <v>0</v>
      </c>
      <c r="F37" s="1135">
        <f>+D37+E37</f>
        <v>0</v>
      </c>
      <c r="G37" s="1135">
        <f>SUM(G35:G36)</f>
        <v>0</v>
      </c>
      <c r="H37" s="719"/>
      <c r="I37" s="719"/>
    </row>
    <row r="38" spans="1:9" s="647" customFormat="1">
      <c r="A38" s="1033">
        <f t="shared" si="4"/>
        <v>8</v>
      </c>
      <c r="B38" s="1244" t="s">
        <v>1304</v>
      </c>
      <c r="C38" s="1158">
        <f>+SUM(C17:C20)-C37</f>
        <v>126689.03000000004</v>
      </c>
      <c r="D38" s="1158">
        <f>+SUM(D17:D20)-D37</f>
        <v>-76741.56</v>
      </c>
      <c r="E38" s="1158">
        <f>+SUM(E17:E20)-E37</f>
        <v>-36196.809999999976</v>
      </c>
      <c r="F38" s="1158">
        <f>+D38+E38</f>
        <v>-112938.36999999997</v>
      </c>
      <c r="G38" s="1158">
        <f>+C38+F38</f>
        <v>13750.660000000076</v>
      </c>
      <c r="H38" s="935"/>
      <c r="I38" s="1135"/>
    </row>
    <row r="39" spans="1:9">
      <c r="A39" s="1033">
        <f t="shared" si="4"/>
        <v>9</v>
      </c>
      <c r="B39" s="1133" t="str">
        <f>+"Total Transmission Sum of (Line "&amp;A37&amp;" &amp; "&amp;A38&amp;")"</f>
        <v>Total Transmission Sum of (Line 7 &amp; 8)</v>
      </c>
      <c r="C39" s="1135">
        <f>+C37+C38</f>
        <v>126689.03000000004</v>
      </c>
      <c r="D39" s="1135">
        <f>+D37+D38</f>
        <v>-76741.56</v>
      </c>
      <c r="E39" s="1135">
        <f>+E37+E38</f>
        <v>-36196.809999999976</v>
      </c>
      <c r="F39" s="1135">
        <f>+F37+F38</f>
        <v>-112938.36999999997</v>
      </c>
      <c r="G39" s="1135">
        <f>+G37+G38</f>
        <v>13750.660000000076</v>
      </c>
    </row>
    <row r="40" spans="1:9">
      <c r="A40" s="1033">
        <f t="shared" si="4"/>
        <v>10</v>
      </c>
      <c r="B40" s="1133"/>
      <c r="C40" s="1137"/>
      <c r="D40" s="1137"/>
      <c r="E40" s="1137"/>
      <c r="F40" s="1137"/>
      <c r="G40" s="80"/>
    </row>
    <row r="41" spans="1:9">
      <c r="A41" s="1033">
        <f t="shared" si="4"/>
        <v>11</v>
      </c>
      <c r="B41" s="1133" t="s">
        <v>245</v>
      </c>
      <c r="C41" s="1135"/>
      <c r="D41" s="1135"/>
      <c r="E41" s="1135"/>
      <c r="F41" s="1135"/>
      <c r="G41" s="1135"/>
    </row>
    <row r="42" spans="1:9">
      <c r="A42" s="1033">
        <f t="shared" si="4"/>
        <v>12</v>
      </c>
      <c r="B42" s="1136" t="s">
        <v>1173</v>
      </c>
      <c r="C42" s="1294">
        <f>+C9</f>
        <v>0</v>
      </c>
      <c r="D42" s="1294">
        <f>+D9</f>
        <v>0</v>
      </c>
      <c r="E42" s="1294">
        <f>+E9</f>
        <v>0</v>
      </c>
      <c r="F42" s="1294">
        <f>+D42+E42</f>
        <v>0</v>
      </c>
      <c r="G42" s="1295">
        <f t="shared" ref="G42:G51" si="5">+C42+F42</f>
        <v>0</v>
      </c>
    </row>
    <row r="43" spans="1:9">
      <c r="A43" s="1033">
        <f t="shared" si="4"/>
        <v>13</v>
      </c>
      <c r="B43" s="1136" t="s">
        <v>1172</v>
      </c>
      <c r="C43" s="1295"/>
      <c r="D43" s="1295"/>
      <c r="E43" s="1295"/>
      <c r="F43" s="1294">
        <f t="shared" ref="F43:F51" si="6">+D43+E43</f>
        <v>0</v>
      </c>
      <c r="G43" s="1295">
        <f t="shared" si="5"/>
        <v>0</v>
      </c>
    </row>
    <row r="44" spans="1:9">
      <c r="A44" s="1033">
        <f t="shared" si="4"/>
        <v>14</v>
      </c>
      <c r="B44" s="1136" t="s">
        <v>1171</v>
      </c>
      <c r="C44" s="1295">
        <f>+C10</f>
        <v>135121.40999999997</v>
      </c>
      <c r="D44" s="1295">
        <f>+D10</f>
        <v>-208151.03999999992</v>
      </c>
      <c r="E44" s="1295">
        <f>+E10</f>
        <v>-38606.140000000007</v>
      </c>
      <c r="F44" s="1294">
        <f t="shared" si="6"/>
        <v>-246757.17999999993</v>
      </c>
      <c r="G44" s="1295">
        <f t="shared" si="5"/>
        <v>-111635.76999999996</v>
      </c>
    </row>
    <row r="45" spans="1:9">
      <c r="A45" s="1033">
        <f t="shared" si="4"/>
        <v>15</v>
      </c>
      <c r="B45" s="1136" t="s">
        <v>1165</v>
      </c>
      <c r="C45" s="1294">
        <f>+SUM(C11:C16)</f>
        <v>708375.51</v>
      </c>
      <c r="D45" s="1294">
        <f>+SUM(D11:D16)</f>
        <v>-1226222.28</v>
      </c>
      <c r="E45" s="1294">
        <f>+SUM(E11:E16)</f>
        <v>-202706.07</v>
      </c>
      <c r="F45" s="1294">
        <f t="shared" si="6"/>
        <v>-1428928.35</v>
      </c>
      <c r="G45" s="1295">
        <f t="shared" si="5"/>
        <v>-720552.84000000008</v>
      </c>
    </row>
    <row r="46" spans="1:9">
      <c r="A46" s="1033">
        <f t="shared" si="4"/>
        <v>16</v>
      </c>
      <c r="B46" s="1136" t="s">
        <v>1164</v>
      </c>
      <c r="C46" s="1294">
        <f>+SUM(C17:C20)</f>
        <v>126689.03000000004</v>
      </c>
      <c r="D46" s="1294">
        <f>+SUM(D17:D20)</f>
        <v>-76741.56</v>
      </c>
      <c r="E46" s="1294">
        <f>+SUM(E17:E20)</f>
        <v>-36196.809999999976</v>
      </c>
      <c r="F46" s="1294">
        <f t="shared" si="6"/>
        <v>-112938.36999999997</v>
      </c>
      <c r="G46" s="1295">
        <f t="shared" si="5"/>
        <v>13750.660000000076</v>
      </c>
    </row>
    <row r="47" spans="1:9">
      <c r="A47" s="1033">
        <f t="shared" si="4"/>
        <v>17</v>
      </c>
      <c r="B47" s="1136" t="s">
        <v>1166</v>
      </c>
      <c r="C47" s="1294"/>
      <c r="D47" s="1294"/>
      <c r="E47" s="1294"/>
      <c r="F47" s="1294">
        <f t="shared" si="6"/>
        <v>0</v>
      </c>
      <c r="G47" s="1295">
        <f t="shared" si="5"/>
        <v>0</v>
      </c>
    </row>
    <row r="48" spans="1:9">
      <c r="A48" s="1033">
        <f t="shared" si="4"/>
        <v>18</v>
      </c>
      <c r="B48" s="1136" t="s">
        <v>1167</v>
      </c>
      <c r="C48" s="1294">
        <f>+SUM(C21:C23)</f>
        <v>-47781.279999999999</v>
      </c>
      <c r="D48" s="1294">
        <f>+SUM(D21:D23)</f>
        <v>-353697.37</v>
      </c>
      <c r="E48" s="1294">
        <f>+SUM(E21:E23)</f>
        <v>13372.089999999993</v>
      </c>
      <c r="F48" s="1294">
        <f t="shared" si="6"/>
        <v>-340325.28</v>
      </c>
      <c r="G48" s="1295">
        <f t="shared" si="5"/>
        <v>-388106.56000000006</v>
      </c>
    </row>
    <row r="49" spans="1:13">
      <c r="A49" s="1033">
        <f t="shared" si="4"/>
        <v>19</v>
      </c>
      <c r="B49" s="1136" t="s">
        <v>1168</v>
      </c>
      <c r="C49" s="1294"/>
      <c r="D49" s="1294"/>
      <c r="E49" s="1294"/>
      <c r="F49" s="1294">
        <f t="shared" si="6"/>
        <v>0</v>
      </c>
      <c r="G49" s="1295">
        <f t="shared" si="5"/>
        <v>0</v>
      </c>
    </row>
    <row r="50" spans="1:13">
      <c r="A50" s="1033">
        <f t="shared" si="4"/>
        <v>20</v>
      </c>
      <c r="B50" s="1136" t="s">
        <v>1169</v>
      </c>
      <c r="C50" s="1294">
        <f>+SUM(C24:C25)</f>
        <v>867587.78999999992</v>
      </c>
      <c r="D50" s="1294">
        <f>+SUM(D24:D25)</f>
        <v>-541166.88</v>
      </c>
      <c r="E50" s="1294">
        <f>+SUM(E24:E25)</f>
        <v>-247882.34</v>
      </c>
      <c r="F50" s="1294">
        <f t="shared" si="6"/>
        <v>-789049.22</v>
      </c>
      <c r="G50" s="1295">
        <f t="shared" si="5"/>
        <v>78538.569999999949</v>
      </c>
    </row>
    <row r="51" spans="1:13">
      <c r="A51" s="1033">
        <f t="shared" si="4"/>
        <v>21</v>
      </c>
      <c r="B51" s="1136" t="s">
        <v>1170</v>
      </c>
      <c r="C51" s="1296">
        <f>+SUM(C26:C31)</f>
        <v>-34391.060000000092</v>
      </c>
      <c r="D51" s="1296">
        <f>+SUM(D26:D31)</f>
        <v>-3787919.399999999</v>
      </c>
      <c r="E51" s="1296">
        <f>+SUM(E26:E31)</f>
        <v>-220213.08999999991</v>
      </c>
      <c r="F51" s="1294">
        <f t="shared" si="6"/>
        <v>-4008132.4899999988</v>
      </c>
      <c r="G51" s="1296">
        <f t="shared" si="5"/>
        <v>-4042523.5499999989</v>
      </c>
    </row>
    <row r="52" spans="1:13" ht="13.5" thickBot="1">
      <c r="A52" s="1033">
        <f t="shared" si="4"/>
        <v>22</v>
      </c>
      <c r="B52" s="1133" t="str">
        <f>+"Total Sum of (Line "&amp;A42&amp;" to Line "&amp;A51&amp;")"</f>
        <v>Total Sum of (Line 12 to Line 21)</v>
      </c>
      <c r="C52" s="1138">
        <f>SUM(C42:C51)</f>
        <v>1755601.4</v>
      </c>
      <c r="D52" s="1138">
        <f>SUM(D42:D51)</f>
        <v>-6193898.5299999993</v>
      </c>
      <c r="E52" s="1138">
        <f>SUM(E42:E51)</f>
        <v>-732232.35999999987</v>
      </c>
      <c r="F52" s="1138">
        <f>SUM(F42:F51)</f>
        <v>-6926130.8899999987</v>
      </c>
      <c r="G52" s="1138">
        <f>SUM(G42:G51)</f>
        <v>-5170529.4899999993</v>
      </c>
    </row>
    <row r="53" spans="1:13" ht="13.5" thickTop="1">
      <c r="A53" s="1033">
        <f t="shared" si="4"/>
        <v>23</v>
      </c>
      <c r="B53" s="1133"/>
      <c r="C53" s="1135"/>
      <c r="D53" s="1135"/>
      <c r="E53" s="1135"/>
      <c r="F53" s="1135"/>
      <c r="G53" s="1135"/>
    </row>
    <row r="54" spans="1:13">
      <c r="A54" s="1033">
        <f t="shared" si="4"/>
        <v>24</v>
      </c>
      <c r="B54" s="1133" t="str">
        <f>+"Payroll O&amp;M Excl A&amp;G  Sum (Ln "&amp;A42&amp;" To Ln "&amp;A50&amp;")"</f>
        <v>Payroll O&amp;M Excl A&amp;G  Sum (Ln 12 To Ln 20)</v>
      </c>
      <c r="C54" s="1135"/>
      <c r="D54" s="1135"/>
      <c r="E54" s="1135"/>
      <c r="F54" s="1135">
        <f>+SUM(F42:F50)</f>
        <v>-2917998.3999999994</v>
      </c>
      <c r="G54" s="1135"/>
    </row>
    <row r="55" spans="1:13">
      <c r="A55" s="649"/>
      <c r="C55" s="1137"/>
      <c r="D55" s="1137"/>
      <c r="E55" s="1137"/>
      <c r="F55" s="1137"/>
      <c r="G55" s="1137"/>
    </row>
    <row r="57" spans="1:13">
      <c r="A57" s="1130" t="s">
        <v>746</v>
      </c>
    </row>
    <row r="58" spans="1:13" ht="30" customHeight="1">
      <c r="A58" s="1139" t="s">
        <v>367</v>
      </c>
      <c r="B58" s="1787" t="s">
        <v>1535</v>
      </c>
      <c r="C58" s="1787"/>
      <c r="D58" s="1787"/>
      <c r="E58" s="1787"/>
      <c r="F58" s="1787"/>
      <c r="G58" s="1787"/>
    </row>
    <row r="59" spans="1:13" ht="27.6" customHeight="1">
      <c r="A59" s="1139" t="s">
        <v>769</v>
      </c>
      <c r="B59" s="1785" t="s">
        <v>1376</v>
      </c>
      <c r="C59" s="1785"/>
      <c r="D59" s="1785"/>
      <c r="E59" s="1785"/>
      <c r="F59" s="1785"/>
      <c r="G59" s="1785"/>
    </row>
    <row r="60" spans="1:13" ht="39" customHeight="1">
      <c r="A60" s="1243" t="s">
        <v>770</v>
      </c>
      <c r="B60" s="1785" t="s">
        <v>1672</v>
      </c>
      <c r="C60" s="1785"/>
      <c r="D60" s="1785"/>
      <c r="E60" s="1785"/>
      <c r="F60" s="1785"/>
      <c r="G60" s="1785"/>
    </row>
    <row r="61" spans="1:13" s="1035" customFormat="1">
      <c r="A61" s="1242"/>
      <c r="B61" s="43"/>
      <c r="C61" s="1112"/>
      <c r="D61" s="1112"/>
      <c r="E61" s="1112"/>
      <c r="F61" s="1112"/>
      <c r="G61" s="1112"/>
      <c r="H61" s="1112"/>
      <c r="I61" s="1112"/>
      <c r="J61" s="1113"/>
      <c r="K61" s="1112"/>
      <c r="L61" s="1112"/>
      <c r="M61" s="1112"/>
    </row>
  </sheetData>
  <mergeCells count="8">
    <mergeCell ref="B60:G60"/>
    <mergeCell ref="A4:G4"/>
    <mergeCell ref="B59:G59"/>
    <mergeCell ref="A1:G1"/>
    <mergeCell ref="A2:G2"/>
    <mergeCell ref="A3:G3"/>
    <mergeCell ref="B58:G58"/>
    <mergeCell ref="D7:F7"/>
  </mergeCells>
  <printOptions horizontalCentered="1"/>
  <pageMargins left="0.7" right="0.7" top="0.7" bottom="0.7" header="0.3" footer="0.5"/>
  <pageSetup scale="84" orientation="portrait" r:id="rId1"/>
  <headerFooter>
    <oddFooter>&amp;CPage &amp;P of &amp;N&amp;R&amp;A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B45" sqref="B45"/>
    </sheetView>
  </sheetViews>
  <sheetFormatPr defaultColWidth="8.85546875" defaultRowHeight="12.75"/>
  <cols>
    <col min="1" max="1" width="5.28515625" style="1385" customWidth="1"/>
    <col min="2" max="2" width="59.7109375" style="174" customWidth="1"/>
    <col min="3" max="3" width="16.140625" style="174" bestFit="1" customWidth="1"/>
    <col min="4" max="4" width="13.140625" style="174" bestFit="1" customWidth="1"/>
    <col min="5" max="5" width="15.5703125" style="174" bestFit="1" customWidth="1"/>
    <col min="6" max="7" width="8.85546875" style="174"/>
    <col min="8" max="9" width="10.42578125" style="174" bestFit="1" customWidth="1"/>
    <col min="10" max="16384" width="8.85546875" style="174"/>
  </cols>
  <sheetData>
    <row r="1" spans="1:9">
      <c r="A1" s="1752" t="str">
        <f>+'MISO Cover'!C6</f>
        <v>Entergy Arkansas, Inc.</v>
      </c>
      <c r="B1" s="1752"/>
      <c r="C1" s="1752"/>
      <c r="D1" s="1752"/>
      <c r="E1" s="1752"/>
      <c r="F1" s="904"/>
    </row>
    <row r="2" spans="1:9">
      <c r="A2" s="1753" t="s">
        <v>1470</v>
      </c>
      <c r="B2" s="1753"/>
      <c r="C2" s="1753"/>
      <c r="D2" s="1753"/>
      <c r="E2" s="1753"/>
      <c r="F2" s="1365"/>
    </row>
    <row r="3" spans="1:9">
      <c r="A3" s="1752" t="str">
        <f>+'MISO Cover'!K4</f>
        <v>For  the 12 Months Ended 12/31/2014</v>
      </c>
      <c r="B3" s="1752"/>
      <c r="C3" s="1752"/>
      <c r="D3" s="1752"/>
      <c r="E3" s="1752"/>
      <c r="F3" s="906"/>
    </row>
    <row r="4" spans="1:9">
      <c r="A4" s="650"/>
      <c r="B4" s="650"/>
      <c r="C4" s="650"/>
      <c r="D4" s="650"/>
      <c r="E4" s="650"/>
      <c r="F4" s="650"/>
    </row>
    <row r="5" spans="1:9">
      <c r="A5" s="1336"/>
      <c r="B5" s="686"/>
      <c r="C5" s="1422"/>
      <c r="D5" s="1422"/>
      <c r="E5" s="1422" t="s">
        <v>1150</v>
      </c>
    </row>
    <row r="6" spans="1:9">
      <c r="A6" s="1366" t="s">
        <v>663</v>
      </c>
      <c r="B6" s="1477" t="s">
        <v>261</v>
      </c>
      <c r="C6" s="1477" t="s">
        <v>309</v>
      </c>
      <c r="D6" s="1477" t="s">
        <v>249</v>
      </c>
      <c r="E6" s="1478" t="s">
        <v>262</v>
      </c>
    </row>
    <row r="7" spans="1:9">
      <c r="A7" s="1367">
        <v>1</v>
      </c>
      <c r="B7" s="1616" t="s">
        <v>372</v>
      </c>
      <c r="C7" s="1616" t="s">
        <v>1491</v>
      </c>
      <c r="D7" s="1616" t="s">
        <v>943</v>
      </c>
      <c r="E7" s="1616" t="s">
        <v>984</v>
      </c>
    </row>
    <row r="8" spans="1:9">
      <c r="A8" s="1368">
        <f>A7+0.01</f>
        <v>1.01</v>
      </c>
      <c r="B8" s="1114" t="s">
        <v>1457</v>
      </c>
      <c r="C8" s="1481">
        <v>0</v>
      </c>
      <c r="D8" s="1481">
        <v>0</v>
      </c>
      <c r="E8" s="1026">
        <f>SUM(C8:D8)</f>
        <v>0</v>
      </c>
      <c r="F8" s="1337"/>
      <c r="G8" s="1290"/>
      <c r="H8" s="1369"/>
      <c r="I8" s="1370"/>
    </row>
    <row r="9" spans="1:9" s="1337" customFormat="1">
      <c r="A9" s="1368">
        <f t="shared" ref="A9:A35" si="0">A8+0.01</f>
        <v>1.02</v>
      </c>
      <c r="B9" s="1114" t="s">
        <v>1458</v>
      </c>
      <c r="C9" s="1481">
        <v>0</v>
      </c>
      <c r="D9" s="1481">
        <v>0</v>
      </c>
      <c r="E9" s="1026">
        <f t="shared" ref="E9:E35" si="1">SUM(C9:D9)</f>
        <v>0</v>
      </c>
      <c r="F9" s="652"/>
      <c r="G9" s="1290"/>
      <c r="H9" s="1369"/>
      <c r="I9" s="1370"/>
    </row>
    <row r="10" spans="1:9" s="175" customFormat="1">
      <c r="A10" s="1368">
        <f t="shared" si="0"/>
        <v>1.03</v>
      </c>
      <c r="B10" s="175" t="s">
        <v>373</v>
      </c>
      <c r="C10" s="1481">
        <v>0</v>
      </c>
      <c r="D10" s="1481">
        <v>0</v>
      </c>
      <c r="E10" s="1026">
        <f t="shared" si="1"/>
        <v>0</v>
      </c>
      <c r="F10" s="652"/>
      <c r="G10" s="1290"/>
      <c r="H10" s="1369"/>
      <c r="I10" s="1370"/>
    </row>
    <row r="11" spans="1:9" s="175" customFormat="1">
      <c r="A11" s="1368">
        <f t="shared" si="0"/>
        <v>1.04</v>
      </c>
      <c r="B11" s="175" t="s">
        <v>709</v>
      </c>
      <c r="C11" s="1481">
        <v>0</v>
      </c>
      <c r="D11" s="1481">
        <v>0</v>
      </c>
      <c r="E11" s="1026">
        <f t="shared" si="1"/>
        <v>0</v>
      </c>
      <c r="F11" s="652"/>
      <c r="G11" s="1290"/>
      <c r="H11" s="1369"/>
      <c r="I11" s="1370"/>
    </row>
    <row r="12" spans="1:9" s="175" customFormat="1">
      <c r="A12" s="1368">
        <f t="shared" si="0"/>
        <v>1.05</v>
      </c>
      <c r="B12" s="1114" t="s">
        <v>1459</v>
      </c>
      <c r="C12" s="1481">
        <v>0</v>
      </c>
      <c r="D12" s="1481">
        <v>0</v>
      </c>
      <c r="E12" s="1026">
        <f t="shared" si="1"/>
        <v>0</v>
      </c>
      <c r="F12" s="652"/>
      <c r="G12" s="1290"/>
      <c r="H12" s="1369"/>
      <c r="I12" s="1370"/>
    </row>
    <row r="13" spans="1:9" s="175" customFormat="1">
      <c r="A13" s="1368">
        <f t="shared" si="0"/>
        <v>1.06</v>
      </c>
      <c r="B13" s="1114" t="s">
        <v>710</v>
      </c>
      <c r="C13" s="1481">
        <v>0</v>
      </c>
      <c r="D13" s="1481">
        <v>0</v>
      </c>
      <c r="E13" s="1026">
        <f t="shared" si="1"/>
        <v>0</v>
      </c>
      <c r="F13" s="652"/>
      <c r="G13" s="1290"/>
      <c r="H13" s="1369"/>
      <c r="I13" s="1370"/>
    </row>
    <row r="14" spans="1:9" s="175" customFormat="1">
      <c r="A14" s="1368">
        <f t="shared" si="0"/>
        <v>1.07</v>
      </c>
      <c r="B14" s="1114" t="s">
        <v>711</v>
      </c>
      <c r="C14" s="1481">
        <v>0</v>
      </c>
      <c r="D14" s="1481">
        <v>0</v>
      </c>
      <c r="E14" s="1026">
        <f t="shared" si="1"/>
        <v>0</v>
      </c>
      <c r="F14" s="652"/>
      <c r="G14" s="1290"/>
      <c r="H14" s="1369"/>
      <c r="I14" s="1370"/>
    </row>
    <row r="15" spans="1:9" s="175" customFormat="1">
      <c r="A15" s="1368">
        <f t="shared" si="0"/>
        <v>1.08</v>
      </c>
      <c r="B15" s="1114" t="s">
        <v>714</v>
      </c>
      <c r="C15" s="1481">
        <v>0</v>
      </c>
      <c r="D15" s="1481">
        <v>0</v>
      </c>
      <c r="E15" s="1026">
        <f t="shared" si="1"/>
        <v>0</v>
      </c>
      <c r="F15" s="652"/>
      <c r="G15" s="1290"/>
      <c r="H15" s="1369"/>
      <c r="I15" s="1370"/>
    </row>
    <row r="16" spans="1:9" s="175" customFormat="1">
      <c r="A16" s="1368">
        <f t="shared" si="0"/>
        <v>1.0900000000000001</v>
      </c>
      <c r="B16" s="1114" t="s">
        <v>715</v>
      </c>
      <c r="C16" s="1481">
        <v>0</v>
      </c>
      <c r="D16" s="1481">
        <v>0</v>
      </c>
      <c r="E16" s="1026">
        <f t="shared" si="1"/>
        <v>0</v>
      </c>
      <c r="F16" s="652"/>
      <c r="G16" s="1290"/>
      <c r="H16" s="1369"/>
      <c r="I16" s="1370"/>
    </row>
    <row r="17" spans="1:9" s="175" customFormat="1">
      <c r="A17" s="1368">
        <f t="shared" si="0"/>
        <v>1.1000000000000001</v>
      </c>
      <c r="B17" s="1114" t="s">
        <v>716</v>
      </c>
      <c r="C17" s="1481">
        <v>0</v>
      </c>
      <c r="D17" s="1481">
        <v>0</v>
      </c>
      <c r="E17" s="1026">
        <f t="shared" si="1"/>
        <v>0</v>
      </c>
      <c r="F17" s="652"/>
      <c r="G17" s="1290"/>
      <c r="H17" s="1369"/>
      <c r="I17" s="1370"/>
    </row>
    <row r="18" spans="1:9" s="175" customFormat="1">
      <c r="A18" s="1368">
        <f t="shared" si="0"/>
        <v>1.1100000000000001</v>
      </c>
      <c r="B18" s="1114" t="s">
        <v>1460</v>
      </c>
      <c r="C18" s="1481">
        <v>0</v>
      </c>
      <c r="D18" s="1481">
        <v>0</v>
      </c>
      <c r="E18" s="1026">
        <f t="shared" si="1"/>
        <v>0</v>
      </c>
      <c r="F18" s="652"/>
      <c r="G18" s="1290"/>
      <c r="H18" s="1369"/>
      <c r="I18" s="1370"/>
    </row>
    <row r="19" spans="1:9" s="175" customFormat="1">
      <c r="A19" s="1368">
        <f t="shared" si="0"/>
        <v>1.1200000000000001</v>
      </c>
      <c r="B19" s="1114" t="s">
        <v>718</v>
      </c>
      <c r="C19" s="1481">
        <v>0</v>
      </c>
      <c r="D19" s="1481">
        <v>0</v>
      </c>
      <c r="E19" s="1026">
        <f t="shared" si="1"/>
        <v>0</v>
      </c>
      <c r="F19" s="652"/>
      <c r="G19" s="1290"/>
      <c r="H19" s="1369"/>
      <c r="I19" s="1370"/>
    </row>
    <row r="20" spans="1:9" s="175" customFormat="1">
      <c r="A20" s="1368">
        <f t="shared" si="0"/>
        <v>1.1300000000000001</v>
      </c>
      <c r="B20" s="1114" t="s">
        <v>719</v>
      </c>
      <c r="C20" s="1481">
        <v>3477082</v>
      </c>
      <c r="D20" s="1481">
        <v>0</v>
      </c>
      <c r="E20" s="1026">
        <f t="shared" si="1"/>
        <v>3477082</v>
      </c>
      <c r="F20" s="652"/>
      <c r="G20" s="1290"/>
      <c r="H20" s="1369"/>
      <c r="I20" s="1370"/>
    </row>
    <row r="21" spans="1:9" s="175" customFormat="1">
      <c r="A21" s="1368">
        <f t="shared" si="0"/>
        <v>1.1400000000000001</v>
      </c>
      <c r="B21" s="1114" t="s">
        <v>1461</v>
      </c>
      <c r="C21" s="1481">
        <v>0</v>
      </c>
      <c r="D21" s="1481">
        <v>0</v>
      </c>
      <c r="E21" s="1026">
        <f t="shared" si="1"/>
        <v>0</v>
      </c>
      <c r="F21" s="652"/>
      <c r="G21" s="1290"/>
      <c r="H21" s="1369"/>
      <c r="I21" s="1370"/>
    </row>
    <row r="22" spans="1:9" s="175" customFormat="1">
      <c r="A22" s="1368">
        <f t="shared" si="0"/>
        <v>1.1500000000000001</v>
      </c>
      <c r="B22" s="1114" t="s">
        <v>1462</v>
      </c>
      <c r="C22" s="1481">
        <v>0</v>
      </c>
      <c r="D22" s="1481">
        <v>0</v>
      </c>
      <c r="E22" s="1026">
        <f t="shared" si="1"/>
        <v>0</v>
      </c>
      <c r="F22" s="652"/>
      <c r="G22" s="1290"/>
      <c r="H22" s="1369"/>
      <c r="I22" s="1370"/>
    </row>
    <row r="23" spans="1:9" s="175" customFormat="1">
      <c r="A23" s="1368">
        <f t="shared" si="0"/>
        <v>1.1600000000000001</v>
      </c>
      <c r="B23" s="1114" t="s">
        <v>1463</v>
      </c>
      <c r="C23" s="1481">
        <v>0</v>
      </c>
      <c r="D23" s="1481">
        <v>0</v>
      </c>
      <c r="E23" s="1026">
        <f t="shared" si="1"/>
        <v>0</v>
      </c>
      <c r="F23" s="652"/>
      <c r="G23" s="1290"/>
      <c r="H23" s="1369"/>
      <c r="I23" s="1370"/>
    </row>
    <row r="24" spans="1:9" s="175" customFormat="1">
      <c r="A24" s="1368">
        <f t="shared" si="0"/>
        <v>1.1700000000000002</v>
      </c>
      <c r="B24" s="1114" t="s">
        <v>1464</v>
      </c>
      <c r="C24" s="1481">
        <v>0</v>
      </c>
      <c r="D24" s="1481">
        <v>0</v>
      </c>
      <c r="E24" s="1026">
        <f t="shared" si="1"/>
        <v>0</v>
      </c>
      <c r="F24" s="652"/>
      <c r="G24" s="1290"/>
      <c r="H24" s="1369"/>
      <c r="I24" s="1370"/>
    </row>
    <row r="25" spans="1:9" s="175" customFormat="1">
      <c r="A25" s="1368">
        <f t="shared" si="0"/>
        <v>1.1800000000000002</v>
      </c>
      <c r="B25" s="1114" t="s">
        <v>1465</v>
      </c>
      <c r="C25" s="1481">
        <v>0</v>
      </c>
      <c r="D25" s="1481">
        <v>0</v>
      </c>
      <c r="E25" s="1026">
        <f t="shared" si="1"/>
        <v>0</v>
      </c>
      <c r="F25" s="652"/>
      <c r="G25" s="1290"/>
      <c r="H25" s="1369"/>
      <c r="I25" s="1370"/>
    </row>
    <row r="26" spans="1:9" s="175" customFormat="1">
      <c r="A26" s="1368">
        <f t="shared" si="0"/>
        <v>1.1900000000000002</v>
      </c>
      <c r="B26" s="175" t="s">
        <v>1466</v>
      </c>
      <c r="C26" s="1481">
        <v>0</v>
      </c>
      <c r="D26" s="1481">
        <v>0</v>
      </c>
      <c r="E26" s="1026">
        <f t="shared" si="1"/>
        <v>0</v>
      </c>
      <c r="F26" s="1063"/>
      <c r="G26" s="1290"/>
      <c r="H26" s="1369"/>
      <c r="I26" s="1370"/>
    </row>
    <row r="27" spans="1:9" s="175" customFormat="1">
      <c r="A27" s="1368">
        <f t="shared" si="0"/>
        <v>1.2000000000000002</v>
      </c>
      <c r="B27" s="175" t="s">
        <v>721</v>
      </c>
      <c r="C27" s="1481">
        <v>0</v>
      </c>
      <c r="D27" s="1481">
        <v>0</v>
      </c>
      <c r="E27" s="1026">
        <f t="shared" si="1"/>
        <v>0</v>
      </c>
      <c r="F27" s="652"/>
      <c r="G27" s="1290"/>
      <c r="H27" s="1369"/>
      <c r="I27" s="1370"/>
    </row>
    <row r="28" spans="1:9" s="175" customFormat="1">
      <c r="A28" s="1368">
        <f t="shared" si="0"/>
        <v>1.2100000000000002</v>
      </c>
      <c r="B28" s="175" t="s">
        <v>1467</v>
      </c>
      <c r="C28" s="1481">
        <v>0</v>
      </c>
      <c r="D28" s="1481">
        <v>0</v>
      </c>
      <c r="E28" s="1026">
        <f t="shared" si="1"/>
        <v>0</v>
      </c>
      <c r="F28" s="652"/>
      <c r="G28" s="1290"/>
      <c r="H28" s="1369"/>
      <c r="I28" s="1370"/>
    </row>
    <row r="29" spans="1:9" s="175" customFormat="1">
      <c r="A29" s="1368">
        <f t="shared" si="0"/>
        <v>1.2200000000000002</v>
      </c>
      <c r="B29" s="175" t="s">
        <v>723</v>
      </c>
      <c r="C29" s="1481">
        <v>0</v>
      </c>
      <c r="D29" s="1481">
        <v>0</v>
      </c>
      <c r="E29" s="1026">
        <f t="shared" si="1"/>
        <v>0</v>
      </c>
      <c r="F29" s="652"/>
      <c r="G29" s="1290"/>
      <c r="H29" s="1369"/>
      <c r="I29" s="1370"/>
    </row>
    <row r="30" spans="1:9" s="175" customFormat="1">
      <c r="A30" s="1368">
        <f t="shared" si="0"/>
        <v>1.2300000000000002</v>
      </c>
      <c r="B30" s="175" t="s">
        <v>724</v>
      </c>
      <c r="C30" s="1481">
        <v>0</v>
      </c>
      <c r="D30" s="1481">
        <v>0</v>
      </c>
      <c r="E30" s="1026">
        <f t="shared" si="1"/>
        <v>0</v>
      </c>
      <c r="F30" s="652"/>
      <c r="G30" s="1290"/>
      <c r="H30" s="1369"/>
      <c r="I30" s="1370"/>
    </row>
    <row r="31" spans="1:9" s="175" customFormat="1">
      <c r="A31" s="1368">
        <f t="shared" si="0"/>
        <v>1.2400000000000002</v>
      </c>
      <c r="B31" s="175" t="s">
        <v>725</v>
      </c>
      <c r="C31" s="1481">
        <v>0</v>
      </c>
      <c r="D31" s="1481">
        <v>0</v>
      </c>
      <c r="E31" s="1026">
        <f t="shared" si="1"/>
        <v>0</v>
      </c>
      <c r="F31" s="652"/>
      <c r="G31" s="1290"/>
      <c r="H31" s="1369"/>
      <c r="I31" s="1370"/>
    </row>
    <row r="32" spans="1:9" s="175" customFormat="1">
      <c r="A32" s="1368">
        <f t="shared" si="0"/>
        <v>1.2500000000000002</v>
      </c>
      <c r="B32" s="175" t="s">
        <v>726</v>
      </c>
      <c r="C32" s="1481">
        <v>0</v>
      </c>
      <c r="D32" s="1481">
        <v>0</v>
      </c>
      <c r="E32" s="1026">
        <f t="shared" si="1"/>
        <v>0</v>
      </c>
      <c r="F32" s="652"/>
      <c r="G32" s="1290"/>
      <c r="H32" s="1369"/>
      <c r="I32" s="1370"/>
    </row>
    <row r="33" spans="1:9" s="175" customFormat="1">
      <c r="A33" s="1368">
        <f t="shared" si="0"/>
        <v>1.2600000000000002</v>
      </c>
      <c r="B33" s="175" t="s">
        <v>728</v>
      </c>
      <c r="C33" s="1481">
        <v>0</v>
      </c>
      <c r="D33" s="1481">
        <v>0</v>
      </c>
      <c r="E33" s="1026">
        <f t="shared" si="1"/>
        <v>0</v>
      </c>
      <c r="F33" s="652"/>
      <c r="G33" s="1290"/>
      <c r="H33" s="1369"/>
      <c r="I33" s="1370"/>
    </row>
    <row r="34" spans="1:9" s="175" customFormat="1">
      <c r="A34" s="1368">
        <f t="shared" si="0"/>
        <v>1.2700000000000002</v>
      </c>
      <c r="B34" s="175" t="s">
        <v>613</v>
      </c>
      <c r="C34" s="1481">
        <v>0</v>
      </c>
      <c r="D34" s="1481">
        <v>0</v>
      </c>
      <c r="E34" s="1026">
        <f t="shared" si="1"/>
        <v>0</v>
      </c>
      <c r="F34" s="652"/>
      <c r="G34" s="1290"/>
      <c r="H34" s="1369"/>
      <c r="I34" s="1370"/>
    </row>
    <row r="35" spans="1:9" s="175" customFormat="1">
      <c r="A35" s="1368">
        <f t="shared" si="0"/>
        <v>1.2800000000000002</v>
      </c>
      <c r="B35" s="175" t="s">
        <v>729</v>
      </c>
      <c r="C35" s="1481">
        <v>0</v>
      </c>
      <c r="D35" s="1481">
        <v>0</v>
      </c>
      <c r="E35" s="1026">
        <f t="shared" si="1"/>
        <v>0</v>
      </c>
      <c r="F35" s="652"/>
      <c r="G35" s="1290"/>
      <c r="H35" s="1369"/>
      <c r="I35" s="1370"/>
    </row>
    <row r="36" spans="1:9" s="175" customFormat="1" ht="13.5" thickBot="1">
      <c r="A36" s="1367">
        <f>A7+1</f>
        <v>2</v>
      </c>
      <c r="B36" s="686" t="s">
        <v>1328</v>
      </c>
      <c r="C36" s="687">
        <f>SUM(C8:C35)</f>
        <v>3477082</v>
      </c>
      <c r="D36" s="687">
        <f>SUM(D8:D35)</f>
        <v>0</v>
      </c>
      <c r="E36" s="687">
        <f>SUM(E8:E35)</f>
        <v>3477082</v>
      </c>
      <c r="F36" s="652"/>
      <c r="H36" s="1369"/>
      <c r="I36" s="1369"/>
    </row>
    <row r="37" spans="1:9" s="175" customFormat="1" ht="13.5" thickTop="1">
      <c r="A37" s="1367">
        <f>A36+1</f>
        <v>3</v>
      </c>
      <c r="B37" s="1371"/>
      <c r="C37" s="1371"/>
      <c r="D37" s="1372"/>
      <c r="E37" s="1372"/>
      <c r="F37" s="1372"/>
    </row>
    <row r="38" spans="1:9" s="1373" customFormat="1">
      <c r="A38" s="1367">
        <f t="shared" ref="A38:A43" si="2">A37+1</f>
        <v>4</v>
      </c>
      <c r="B38" s="1371" t="s">
        <v>1041</v>
      </c>
      <c r="C38" s="1371"/>
      <c r="D38" s="1372"/>
      <c r="E38" s="1372"/>
      <c r="F38" s="1372"/>
    </row>
    <row r="39" spans="1:9" s="1373" customFormat="1">
      <c r="A39" s="1367">
        <f t="shared" si="2"/>
        <v>5</v>
      </c>
      <c r="B39" s="1374" t="s">
        <v>1149</v>
      </c>
      <c r="C39" s="1375">
        <f>+C18</f>
        <v>0</v>
      </c>
      <c r="D39" s="1375">
        <f>+D18</f>
        <v>0</v>
      </c>
      <c r="E39" s="1375">
        <f t="shared" ref="E39:E43" si="3">SUM(C39:D39)</f>
        <v>0</v>
      </c>
      <c r="F39" s="1375"/>
    </row>
    <row r="40" spans="1:9" s="1373" customFormat="1" ht="15">
      <c r="A40" s="1367">
        <f t="shared" si="2"/>
        <v>6</v>
      </c>
      <c r="B40" s="1374" t="s">
        <v>975</v>
      </c>
      <c r="C40" s="719">
        <f>+C19</f>
        <v>0</v>
      </c>
      <c r="D40" s="719">
        <f>+D19</f>
        <v>0</v>
      </c>
      <c r="E40" s="719">
        <f t="shared" si="3"/>
        <v>0</v>
      </c>
      <c r="F40" s="719"/>
    </row>
    <row r="41" spans="1:9" s="1373" customFormat="1">
      <c r="A41" s="1367">
        <f t="shared" si="2"/>
        <v>7</v>
      </c>
      <c r="B41" s="1376" t="s">
        <v>1281</v>
      </c>
      <c r="C41" s="1375">
        <f>SUM(C39:C40)</f>
        <v>0</v>
      </c>
      <c r="D41" s="1375">
        <f>SUM(D39:D40)</f>
        <v>0</v>
      </c>
      <c r="E41" s="1375">
        <f t="shared" si="3"/>
        <v>0</v>
      </c>
      <c r="F41" s="1375"/>
    </row>
    <row r="42" spans="1:9" s="1377" customFormat="1" ht="15">
      <c r="A42" s="1367">
        <f t="shared" si="2"/>
        <v>8</v>
      </c>
      <c r="B42" s="1371" t="s">
        <v>1468</v>
      </c>
      <c r="C42" s="719">
        <f>SUM(C17:C21)-C41</f>
        <v>3477082</v>
      </c>
      <c r="D42" s="719">
        <f>SUM(D17:D21)-D41</f>
        <v>0</v>
      </c>
      <c r="E42" s="719">
        <f>SUM(C42:D42)</f>
        <v>3477082</v>
      </c>
      <c r="F42" s="935"/>
    </row>
    <row r="43" spans="1:9" s="1373" customFormat="1">
      <c r="A43" s="1367">
        <f t="shared" si="2"/>
        <v>9</v>
      </c>
      <c r="B43" s="1371" t="s">
        <v>1243</v>
      </c>
      <c r="C43" s="1375">
        <f>+C41+C42</f>
        <v>3477082</v>
      </c>
      <c r="D43" s="1375">
        <f>+D41+D42</f>
        <v>0</v>
      </c>
      <c r="E43" s="1375">
        <f t="shared" si="3"/>
        <v>3477082</v>
      </c>
      <c r="F43" s="1375"/>
    </row>
    <row r="44" spans="1:9" s="1373" customFormat="1">
      <c r="A44" s="1367">
        <f t="shared" ref="A44:A55" si="4">+A43+1</f>
        <v>10</v>
      </c>
      <c r="B44" s="651"/>
      <c r="C44" s="297"/>
      <c r="D44" s="297"/>
      <c r="E44" s="297"/>
      <c r="F44" s="652"/>
    </row>
    <row r="45" spans="1:9" s="175" customFormat="1">
      <c r="A45" s="1367">
        <f t="shared" si="4"/>
        <v>11</v>
      </c>
      <c r="B45" s="1371" t="s">
        <v>245</v>
      </c>
      <c r="C45" s="1371"/>
      <c r="D45" s="1372"/>
      <c r="E45" s="1372"/>
      <c r="F45" s="1378"/>
    </row>
    <row r="46" spans="1:9" s="175" customFormat="1">
      <c r="A46" s="1367">
        <f t="shared" si="4"/>
        <v>12</v>
      </c>
      <c r="B46" s="1374" t="s">
        <v>1173</v>
      </c>
      <c r="C46" s="1379">
        <f>+C8+C9+C12</f>
        <v>0</v>
      </c>
      <c r="D46" s="1379">
        <f>+D8+D9+D12</f>
        <v>0</v>
      </c>
      <c r="E46" s="1379">
        <f>SUM(C46:D46)</f>
        <v>0</v>
      </c>
    </row>
    <row r="47" spans="1:9" s="175" customFormat="1">
      <c r="A47" s="1367">
        <f t="shared" si="4"/>
        <v>13</v>
      </c>
      <c r="B47" s="1374" t="s">
        <v>1172</v>
      </c>
      <c r="C47" s="1380">
        <f>+C10</f>
        <v>0</v>
      </c>
      <c r="D47" s="1380">
        <f>+D10</f>
        <v>0</v>
      </c>
      <c r="E47" s="1380">
        <f t="shared" ref="E47:E55" si="5">SUM(C47:D47)</f>
        <v>0</v>
      </c>
    </row>
    <row r="48" spans="1:9" s="175" customFormat="1">
      <c r="A48" s="1367">
        <f t="shared" si="4"/>
        <v>14</v>
      </c>
      <c r="B48" s="1374" t="s">
        <v>1171</v>
      </c>
      <c r="C48" s="1380">
        <f>+C11</f>
        <v>0</v>
      </c>
      <c r="D48" s="1380">
        <f>+D11</f>
        <v>0</v>
      </c>
      <c r="E48" s="1380">
        <f t="shared" si="5"/>
        <v>0</v>
      </c>
    </row>
    <row r="49" spans="1:6" s="175" customFormat="1">
      <c r="A49" s="1367">
        <f t="shared" si="4"/>
        <v>15</v>
      </c>
      <c r="B49" s="1374" t="s">
        <v>1469</v>
      </c>
      <c r="C49" s="1379">
        <f>SUM(C13:C16)</f>
        <v>0</v>
      </c>
      <c r="D49" s="1379">
        <f>SUM(D13:D16)</f>
        <v>0</v>
      </c>
      <c r="E49" s="1379">
        <f t="shared" si="5"/>
        <v>0</v>
      </c>
    </row>
    <row r="50" spans="1:6" s="175" customFormat="1">
      <c r="A50" s="1367">
        <f t="shared" si="4"/>
        <v>16</v>
      </c>
      <c r="B50" s="1374" t="s">
        <v>1164</v>
      </c>
      <c r="C50" s="1379">
        <f>SUM(C17:C21)</f>
        <v>3477082</v>
      </c>
      <c r="D50" s="1379">
        <f>SUM(D17:D21)</f>
        <v>0</v>
      </c>
      <c r="E50" s="1379">
        <f t="shared" si="5"/>
        <v>3477082</v>
      </c>
    </row>
    <row r="51" spans="1:6" s="175" customFormat="1">
      <c r="A51" s="1367">
        <f t="shared" si="4"/>
        <v>17</v>
      </c>
      <c r="B51" s="1374" t="s">
        <v>1166</v>
      </c>
      <c r="C51" s="1379"/>
      <c r="D51" s="1379"/>
      <c r="E51" s="1379">
        <f t="shared" si="5"/>
        <v>0</v>
      </c>
    </row>
    <row r="52" spans="1:6" s="175" customFormat="1">
      <c r="A52" s="1367">
        <f t="shared" si="4"/>
        <v>18</v>
      </c>
      <c r="B52" s="1374" t="s">
        <v>1167</v>
      </c>
      <c r="C52" s="1379">
        <f>+SUM(C22:C25)</f>
        <v>0</v>
      </c>
      <c r="D52" s="1379">
        <f>+SUM(D22:D25)</f>
        <v>0</v>
      </c>
      <c r="E52" s="1379">
        <f t="shared" si="5"/>
        <v>0</v>
      </c>
    </row>
    <row r="53" spans="1:6" s="175" customFormat="1">
      <c r="A53" s="1367">
        <f t="shared" si="4"/>
        <v>19</v>
      </c>
      <c r="B53" s="1374" t="s">
        <v>1168</v>
      </c>
      <c r="C53" s="1379">
        <f>+SUM(C26:C27)</f>
        <v>0</v>
      </c>
      <c r="D53" s="1379">
        <f>+SUM(D26:D27)</f>
        <v>0</v>
      </c>
      <c r="E53" s="1379">
        <f t="shared" si="5"/>
        <v>0</v>
      </c>
    </row>
    <row r="54" spans="1:6" s="175" customFormat="1">
      <c r="A54" s="1367">
        <f t="shared" si="4"/>
        <v>20</v>
      </c>
      <c r="B54" s="1374" t="s">
        <v>1169</v>
      </c>
      <c r="C54" s="1379">
        <f>+SUM(C28:C29)</f>
        <v>0</v>
      </c>
      <c r="D54" s="1379">
        <f>+SUM(D28:D29)</f>
        <v>0</v>
      </c>
      <c r="E54" s="1379">
        <f t="shared" si="5"/>
        <v>0</v>
      </c>
    </row>
    <row r="55" spans="1:6" s="175" customFormat="1">
      <c r="A55" s="1367">
        <f t="shared" si="4"/>
        <v>21</v>
      </c>
      <c r="B55" s="1374" t="s">
        <v>1170</v>
      </c>
      <c r="C55" s="1380">
        <f>SUM(C30:C35)</f>
        <v>0</v>
      </c>
      <c r="D55" s="1380">
        <f>SUM(D30:D35)</f>
        <v>0</v>
      </c>
      <c r="E55" s="1380">
        <f t="shared" si="5"/>
        <v>0</v>
      </c>
    </row>
    <row r="56" spans="1:6" s="175" customFormat="1" ht="13.5" thickBot="1">
      <c r="A56" s="1367">
        <f>A55+1</f>
        <v>22</v>
      </c>
      <c r="B56" s="1371" t="str">
        <f>B36</f>
        <v>Total  Sum Line 1 Subparts</v>
      </c>
      <c r="C56" s="1381">
        <f>SUM(C46:C55)</f>
        <v>3477082</v>
      </c>
      <c r="D56" s="1381">
        <f>SUM(D46:D55)</f>
        <v>0</v>
      </c>
      <c r="E56" s="1381">
        <f>SUM(E46:E55)</f>
        <v>3477082</v>
      </c>
    </row>
    <row r="57" spans="1:6" s="175" customFormat="1" ht="13.5" thickTop="1">
      <c r="A57" s="1382">
        <f>A56+1</f>
        <v>23</v>
      </c>
      <c r="B57" s="1371"/>
      <c r="C57" s="1371"/>
      <c r="D57" s="1371"/>
      <c r="E57" s="1383"/>
      <c r="F57" s="1379"/>
    </row>
    <row r="58" spans="1:6" s="175" customFormat="1">
      <c r="A58" s="1382">
        <f>A57+1</f>
        <v>24</v>
      </c>
      <c r="B58" s="1411" t="s">
        <v>1492</v>
      </c>
      <c r="C58" s="1379"/>
      <c r="D58" s="1379">
        <f>SUM(D46:D54)</f>
        <v>0</v>
      </c>
      <c r="E58" s="1379"/>
      <c r="F58" s="174"/>
    </row>
    <row r="59" spans="1:6" s="175" customFormat="1">
      <c r="A59" s="1382"/>
      <c r="B59" s="1376"/>
      <c r="C59" s="1379"/>
      <c r="D59" s="1379"/>
      <c r="E59" s="1379"/>
      <c r="F59" s="174"/>
    </row>
    <row r="60" spans="1:6" s="175" customFormat="1">
      <c r="A60" s="175" t="s">
        <v>398</v>
      </c>
      <c r="B60" s="651"/>
      <c r="C60" s="297"/>
      <c r="D60" s="297"/>
      <c r="E60" s="297"/>
      <c r="F60" s="174"/>
    </row>
    <row r="61" spans="1:6">
      <c r="A61" s="1239" t="s">
        <v>367</v>
      </c>
      <c r="B61" s="686" t="s">
        <v>1704</v>
      </c>
      <c r="C61" s="686"/>
      <c r="D61" s="686"/>
      <c r="E61" s="686"/>
    </row>
    <row r="62" spans="1:6">
      <c r="A62" s="1239" t="s">
        <v>769</v>
      </c>
      <c r="B62" s="174" t="s">
        <v>1493</v>
      </c>
      <c r="C62" s="1384"/>
      <c r="D62" s="1384"/>
      <c r="E62" s="1384"/>
    </row>
    <row r="63" spans="1:6">
      <c r="A63" s="174"/>
    </row>
    <row r="64" spans="1:6">
      <c r="A64" s="174"/>
    </row>
  </sheetData>
  <mergeCells count="3">
    <mergeCell ref="A1:E1"/>
    <mergeCell ref="A2:E2"/>
    <mergeCell ref="A3:E3"/>
  </mergeCells>
  <printOptions horizontalCentered="1"/>
  <pageMargins left="0.7" right="0.7" top="0.7" bottom="0.7" header="0.3" footer="0.5"/>
  <pageSetup scale="80" orientation="portrait" r:id="rId1"/>
  <headerFooter>
    <oddFooter>&amp;CPage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130" zoomScaleNormal="130" workbookViewId="0">
      <selection activeCell="C11" sqref="C11"/>
    </sheetView>
  </sheetViews>
  <sheetFormatPr defaultRowHeight="12.75"/>
  <cols>
    <col min="1" max="1" width="21.85546875" customWidth="1"/>
    <col min="2" max="2" width="2.140625" customWidth="1"/>
    <col min="3" max="3" width="76.140625" customWidth="1"/>
    <col min="4" max="4" width="2.42578125" customWidth="1"/>
  </cols>
  <sheetData>
    <row r="1" spans="1:8">
      <c r="A1" s="1706" t="str">
        <f>+'MISO Cover'!C6</f>
        <v>Entergy Arkansas, Inc.</v>
      </c>
      <c r="B1" s="1706"/>
      <c r="C1" s="1706"/>
      <c r="D1" s="1706"/>
    </row>
    <row r="2" spans="1:8">
      <c r="A2" s="1706" t="s">
        <v>1769</v>
      </c>
      <c r="B2" s="1706"/>
      <c r="C2" s="1706"/>
      <c r="D2" s="1706"/>
    </row>
    <row r="3" spans="1:8">
      <c r="A3" s="1707" t="s">
        <v>1770</v>
      </c>
      <c r="B3" s="1707"/>
      <c r="C3" s="1707"/>
      <c r="D3" s="1707"/>
    </row>
    <row r="4" spans="1:8">
      <c r="A4" s="1707" t="str">
        <f>+'MISO Cover'!K4</f>
        <v>For  the 12 Months Ended 12/31/2014</v>
      </c>
      <c r="B4" s="1707"/>
      <c r="C4" s="1707"/>
      <c r="D4" s="1707"/>
    </row>
    <row r="7" spans="1:8">
      <c r="A7" s="1666" t="s">
        <v>335</v>
      </c>
      <c r="B7" s="1663"/>
      <c r="C7" s="1666" t="s">
        <v>307</v>
      </c>
      <c r="D7" s="1663"/>
    </row>
    <row r="9" spans="1:8" ht="58.5" customHeight="1">
      <c r="A9" s="724" t="s">
        <v>1768</v>
      </c>
      <c r="C9" s="1635" t="s">
        <v>1824</v>
      </c>
      <c r="E9" s="1668"/>
      <c r="F9" s="1669"/>
      <c r="G9" s="1668"/>
      <c r="H9" s="1668"/>
    </row>
    <row r="10" spans="1:8" ht="15">
      <c r="A10" s="724"/>
      <c r="C10" s="724"/>
      <c r="E10" s="1670"/>
      <c r="F10" s="1669"/>
      <c r="G10" s="1668"/>
      <c r="H10" s="1668"/>
    </row>
    <row r="11" spans="1:8" ht="72" customHeight="1">
      <c r="A11" s="1667" t="s">
        <v>1771</v>
      </c>
      <c r="C11" s="1667" t="s">
        <v>1829</v>
      </c>
      <c r="E11" s="1670"/>
      <c r="F11" s="1669"/>
      <c r="G11" s="1668"/>
      <c r="H11" s="1668"/>
    </row>
    <row r="12" spans="1:8" ht="15">
      <c r="A12" s="724"/>
      <c r="C12" s="724"/>
      <c r="E12" s="1670"/>
      <c r="F12" s="1669"/>
      <c r="G12" s="1668"/>
      <c r="H12" s="1668"/>
    </row>
    <row r="13" spans="1:8" ht="38.25">
      <c r="A13" s="1667" t="s">
        <v>1826</v>
      </c>
      <c r="C13" s="789" t="s">
        <v>1827</v>
      </c>
      <c r="E13" s="1670"/>
      <c r="F13" s="1669"/>
      <c r="G13" s="1668"/>
      <c r="H13" s="1668"/>
    </row>
    <row r="14" spans="1:8" ht="15">
      <c r="A14" s="724"/>
      <c r="C14" s="750"/>
      <c r="E14" s="1670"/>
      <c r="F14" s="1669"/>
      <c r="G14" s="1668"/>
      <c r="H14" s="1668"/>
    </row>
    <row r="15" spans="1:8" ht="83.25" customHeight="1">
      <c r="A15" s="1667" t="s">
        <v>1825</v>
      </c>
      <c r="C15" s="789" t="s">
        <v>1828</v>
      </c>
      <c r="E15" s="1670"/>
      <c r="F15" s="1669"/>
      <c r="G15" s="1668"/>
      <c r="H15" s="1668"/>
    </row>
    <row r="16" spans="1:8" ht="15">
      <c r="C16" s="724"/>
      <c r="E16" s="1670"/>
      <c r="F16" s="1669"/>
      <c r="G16" s="1668"/>
      <c r="H16" s="1668"/>
    </row>
    <row r="17" spans="3:8" ht="15">
      <c r="C17" s="724"/>
      <c r="E17" s="1670"/>
      <c r="F17" s="1669"/>
      <c r="G17" s="1668"/>
      <c r="H17" s="1668"/>
    </row>
    <row r="18" spans="3:8" ht="15">
      <c r="C18" s="724"/>
      <c r="E18" s="1670"/>
      <c r="F18" s="1669"/>
      <c r="G18" s="1668"/>
      <c r="H18" s="1668"/>
    </row>
    <row r="19" spans="3:8" ht="15">
      <c r="E19" s="1670"/>
      <c r="F19" s="1669"/>
      <c r="G19" s="1668"/>
      <c r="H19" s="1668"/>
    </row>
    <row r="20" spans="3:8" ht="15">
      <c r="E20" s="1670"/>
      <c r="F20" s="1669"/>
      <c r="G20" s="1668"/>
      <c r="H20" s="1668"/>
    </row>
    <row r="21" spans="3:8">
      <c r="E21" s="1668"/>
      <c r="F21" s="1668"/>
      <c r="G21" s="1668"/>
      <c r="H21" s="1668"/>
    </row>
  </sheetData>
  <mergeCells count="4">
    <mergeCell ref="A1:D1"/>
    <mergeCell ref="A3:D3"/>
    <mergeCell ref="A4:D4"/>
    <mergeCell ref="A2:D2"/>
  </mergeCells>
  <pageMargins left="0.7" right="0.7" top="0.75" bottom="0.75" header="0.3" footer="0.3"/>
  <pageSetup scale="89" orientation="portrait" r:id="rId1"/>
  <headerFooter>
    <oddFooter>&amp;RExplanatory Statement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activeCell="A33" sqref="A33"/>
    </sheetView>
  </sheetViews>
  <sheetFormatPr defaultColWidth="9.140625" defaultRowHeight="12.75"/>
  <cols>
    <col min="1" max="1" width="6.42578125" style="44" bestFit="1" customWidth="1"/>
    <col min="2" max="2" width="7.7109375" style="44" customWidth="1"/>
    <col min="3" max="3" width="8.7109375" style="43" customWidth="1"/>
    <col min="4" max="5" width="8.7109375" style="44" customWidth="1"/>
    <col min="6" max="6" width="16.85546875" style="44" customWidth="1"/>
    <col min="7" max="7" width="14.7109375" style="44" customWidth="1"/>
    <col min="8" max="9" width="15.7109375" style="44" customWidth="1"/>
    <col min="10" max="10" width="8.85546875" style="44"/>
    <col min="11" max="12" width="11.7109375" style="44" customWidth="1"/>
    <col min="13" max="13" width="12.42578125" style="44" bestFit="1" customWidth="1"/>
    <col min="14" max="16384" width="9.140625" style="66"/>
  </cols>
  <sheetData>
    <row r="1" spans="1:14">
      <c r="A1" s="1706" t="str">
        <f>+'MISO Cover'!C6</f>
        <v>Entergy Arkansas, Inc.</v>
      </c>
      <c r="B1" s="1706"/>
      <c r="C1" s="1706"/>
      <c r="D1" s="1706"/>
      <c r="E1" s="1706"/>
      <c r="F1" s="1706"/>
      <c r="G1" s="1706"/>
      <c r="H1" s="1706"/>
      <c r="I1" s="1706"/>
    </row>
    <row r="2" spans="1:14">
      <c r="A2" s="1707" t="s">
        <v>1663</v>
      </c>
      <c r="B2" s="1707"/>
      <c r="C2" s="1707"/>
      <c r="D2" s="1707"/>
      <c r="E2" s="1707"/>
      <c r="F2" s="1707"/>
      <c r="G2" s="1707"/>
      <c r="H2" s="1707"/>
      <c r="I2" s="1707"/>
    </row>
    <row r="3" spans="1:14" s="81" customFormat="1">
      <c r="A3" s="1707" t="str">
        <f>+'MISO Cover'!K4</f>
        <v>For  the 12 Months Ended 12/31/2014</v>
      </c>
      <c r="B3" s="1707"/>
      <c r="C3" s="1707"/>
      <c r="D3" s="1707"/>
      <c r="E3" s="1707"/>
      <c r="F3" s="1707"/>
      <c r="G3" s="1707"/>
      <c r="H3" s="1707"/>
      <c r="I3" s="1707"/>
      <c r="J3" s="43"/>
      <c r="K3" s="43"/>
      <c r="L3" s="43"/>
      <c r="M3" s="43"/>
    </row>
    <row r="4" spans="1:14">
      <c r="A4" s="1706" t="s">
        <v>877</v>
      </c>
      <c r="B4" s="1706"/>
      <c r="C4" s="1706"/>
      <c r="D4" s="1706"/>
      <c r="E4" s="1706"/>
      <c r="F4" s="1706"/>
      <c r="G4" s="1706"/>
      <c r="H4" s="1706"/>
      <c r="I4" s="1706"/>
    </row>
    <row r="5" spans="1:14">
      <c r="A5" s="809"/>
      <c r="B5" s="809"/>
      <c r="C5" s="809"/>
      <c r="D5" s="809"/>
      <c r="E5" s="809"/>
      <c r="F5" s="809"/>
      <c r="G5" s="809"/>
      <c r="H5" s="809"/>
      <c r="I5" s="809"/>
    </row>
    <row r="6" spans="1:14" s="81" customFormat="1">
      <c r="A6" s="511" t="s">
        <v>773</v>
      </c>
      <c r="B6" s="820" t="s">
        <v>261</v>
      </c>
      <c r="C6" s="820" t="s">
        <v>309</v>
      </c>
      <c r="D6" s="630" t="s">
        <v>249</v>
      </c>
      <c r="E6" s="820" t="s">
        <v>262</v>
      </c>
      <c r="F6" s="631" t="s">
        <v>260</v>
      </c>
      <c r="G6" s="820" t="s">
        <v>351</v>
      </c>
      <c r="H6" s="820" t="s">
        <v>263</v>
      </c>
      <c r="I6" s="632" t="s">
        <v>364</v>
      </c>
      <c r="J6" s="44"/>
      <c r="K6" s="44"/>
      <c r="L6" s="44"/>
      <c r="M6" s="44"/>
      <c r="N6" s="235"/>
    </row>
    <row r="7" spans="1:14" s="81" customFormat="1">
      <c r="A7" s="511"/>
      <c r="B7" s="820"/>
      <c r="C7" s="820"/>
      <c r="D7" s="630"/>
      <c r="E7" s="820"/>
      <c r="F7" s="631"/>
      <c r="G7" s="820"/>
      <c r="H7" s="820"/>
      <c r="I7" s="632"/>
      <c r="J7" s="44"/>
      <c r="K7" s="44"/>
      <c r="L7" s="44"/>
      <c r="M7" s="44"/>
      <c r="N7" s="235"/>
    </row>
    <row r="8" spans="1:14">
      <c r="A8" s="66"/>
      <c r="B8" s="1116" t="s">
        <v>1084</v>
      </c>
      <c r="C8" s="1052"/>
      <c r="D8" s="1052"/>
      <c r="E8" s="1052"/>
      <c r="F8" s="809"/>
      <c r="G8" s="809"/>
      <c r="H8" s="809"/>
      <c r="I8" s="809"/>
    </row>
    <row r="9" spans="1:14" ht="15">
      <c r="A9" s="959">
        <v>1</v>
      </c>
      <c r="B9" s="184" t="s">
        <v>1664</v>
      </c>
      <c r="C9" s="1509"/>
      <c r="D9" s="1509"/>
      <c r="E9" s="1509"/>
      <c r="F9" s="1509"/>
      <c r="G9" s="992" t="s">
        <v>343</v>
      </c>
      <c r="H9" s="1713" t="s">
        <v>335</v>
      </c>
      <c r="I9" s="1713"/>
      <c r="K9" s="510"/>
    </row>
    <row r="10" spans="1:14" s="282" customFormat="1" ht="15">
      <c r="A10" s="959">
        <f>+A9+1</f>
        <v>2</v>
      </c>
      <c r="B10" s="991" t="s">
        <v>221</v>
      </c>
      <c r="C10" s="1509"/>
      <c r="D10" s="1509"/>
      <c r="E10" s="1509"/>
      <c r="F10" s="1509"/>
      <c r="G10" s="222"/>
      <c r="H10" s="1664" t="s">
        <v>1756</v>
      </c>
      <c r="I10" s="1665"/>
      <c r="J10" s="44"/>
      <c r="K10" s="510"/>
      <c r="L10" s="44"/>
      <c r="M10" s="44"/>
    </row>
    <row r="11" spans="1:14" s="282" customFormat="1" ht="15">
      <c r="A11" s="959">
        <f t="shared" ref="A11:A29" si="0">+A10+1</f>
        <v>3</v>
      </c>
      <c r="B11" s="991" t="s">
        <v>222</v>
      </c>
      <c r="C11" s="1509"/>
      <c r="D11" s="1509"/>
      <c r="E11" s="1509"/>
      <c r="F11" s="1509"/>
      <c r="G11" s="222"/>
      <c r="H11" s="1664" t="s">
        <v>1757</v>
      </c>
      <c r="I11" s="1665"/>
      <c r="J11" s="44"/>
      <c r="K11" s="510"/>
      <c r="L11" s="44"/>
      <c r="M11" s="44"/>
    </row>
    <row r="12" spans="1:14" s="282" customFormat="1" ht="15">
      <c r="A12" s="959">
        <f t="shared" si="0"/>
        <v>4</v>
      </c>
      <c r="B12" s="991" t="s">
        <v>223</v>
      </c>
      <c r="C12" s="1509"/>
      <c r="D12" s="1509"/>
      <c r="E12" s="1509"/>
      <c r="F12" s="1509"/>
      <c r="G12" s="222"/>
      <c r="H12" s="1664" t="s">
        <v>1758</v>
      </c>
      <c r="I12" s="1665"/>
      <c r="J12" s="44"/>
      <c r="K12" s="510"/>
      <c r="L12" s="44"/>
      <c r="M12" s="44"/>
    </row>
    <row r="13" spans="1:14" s="282" customFormat="1" ht="15">
      <c r="A13" s="959">
        <f t="shared" si="0"/>
        <v>5</v>
      </c>
      <c r="B13" s="991" t="s">
        <v>224</v>
      </c>
      <c r="C13" s="1509"/>
      <c r="D13" s="1509"/>
      <c r="E13" s="1509"/>
      <c r="F13" s="1509"/>
      <c r="G13" s="222"/>
      <c r="H13" s="1664" t="s">
        <v>1759</v>
      </c>
      <c r="I13" s="1665"/>
      <c r="J13" s="44"/>
      <c r="K13" s="510"/>
      <c r="L13" s="44"/>
      <c r="M13" s="44"/>
    </row>
    <row r="14" spans="1:14" s="282" customFormat="1" ht="15">
      <c r="A14" s="959">
        <f t="shared" si="0"/>
        <v>6</v>
      </c>
      <c r="B14" s="991" t="s">
        <v>220</v>
      </c>
      <c r="C14" s="1509"/>
      <c r="D14" s="1509"/>
      <c r="E14" s="1509"/>
      <c r="F14" s="1509"/>
      <c r="G14" s="222"/>
      <c r="H14" s="1664" t="s">
        <v>1760</v>
      </c>
      <c r="I14" s="1665"/>
      <c r="J14" s="44"/>
      <c r="K14" s="510"/>
      <c r="L14" s="44"/>
      <c r="M14" s="44"/>
    </row>
    <row r="15" spans="1:14" s="282" customFormat="1" ht="15">
      <c r="A15" s="959">
        <f t="shared" si="0"/>
        <v>7</v>
      </c>
      <c r="B15" s="991" t="s">
        <v>225</v>
      </c>
      <c r="C15" s="1509"/>
      <c r="D15" s="1509"/>
      <c r="E15" s="1509"/>
      <c r="F15" s="1509"/>
      <c r="G15" s="222"/>
      <c r="H15" s="1664" t="s">
        <v>1761</v>
      </c>
      <c r="I15" s="1665"/>
      <c r="J15" s="44"/>
      <c r="K15" s="510"/>
      <c r="L15" s="44"/>
      <c r="M15" s="44"/>
    </row>
    <row r="16" spans="1:14" s="282" customFormat="1" ht="15">
      <c r="A16" s="959">
        <f t="shared" si="0"/>
        <v>8</v>
      </c>
      <c r="B16" s="991" t="s">
        <v>226</v>
      </c>
      <c r="C16" s="1509"/>
      <c r="D16" s="1509"/>
      <c r="E16" s="1509"/>
      <c r="F16" s="1509"/>
      <c r="G16" s="222"/>
      <c r="H16" s="1664" t="s">
        <v>1762</v>
      </c>
      <c r="I16" s="1665"/>
      <c r="J16" s="44"/>
      <c r="K16" s="510"/>
      <c r="L16" s="44"/>
      <c r="M16" s="44"/>
    </row>
    <row r="17" spans="1:13" s="282" customFormat="1" ht="15">
      <c r="A17" s="959">
        <f t="shared" si="0"/>
        <v>9</v>
      </c>
      <c r="B17" s="991" t="s">
        <v>227</v>
      </c>
      <c r="C17" s="1509"/>
      <c r="D17" s="1509"/>
      <c r="E17" s="1509"/>
      <c r="F17" s="1509"/>
      <c r="G17" s="222"/>
      <c r="H17" s="1664" t="s">
        <v>1763</v>
      </c>
      <c r="I17" s="1665"/>
      <c r="J17" s="44"/>
      <c r="K17" s="510"/>
      <c r="L17" s="44"/>
      <c r="M17" s="44"/>
    </row>
    <row r="18" spans="1:13" s="282" customFormat="1" ht="15">
      <c r="A18" s="959">
        <f t="shared" si="0"/>
        <v>10</v>
      </c>
      <c r="B18" s="991" t="s">
        <v>228</v>
      </c>
      <c r="C18" s="1509"/>
      <c r="D18" s="1509"/>
      <c r="E18" s="1509"/>
      <c r="F18" s="1509"/>
      <c r="G18" s="222"/>
      <c r="H18" s="1664" t="s">
        <v>1764</v>
      </c>
      <c r="I18" s="1665"/>
      <c r="J18" s="44"/>
      <c r="K18" s="510"/>
      <c r="L18" s="44"/>
      <c r="M18" s="44"/>
    </row>
    <row r="19" spans="1:13" s="282" customFormat="1" ht="15">
      <c r="A19" s="959">
        <f t="shared" si="0"/>
        <v>11</v>
      </c>
      <c r="B19" s="991" t="s">
        <v>229</v>
      </c>
      <c r="C19" s="1509"/>
      <c r="D19" s="1509"/>
      <c r="E19" s="1509"/>
      <c r="F19" s="1509"/>
      <c r="G19" s="222"/>
      <c r="H19" s="1664" t="s">
        <v>1765</v>
      </c>
      <c r="I19" s="1665"/>
      <c r="J19" s="44"/>
      <c r="K19" s="510"/>
      <c r="L19" s="44"/>
      <c r="M19" s="44"/>
    </row>
    <row r="20" spans="1:13" s="282" customFormat="1" ht="15">
      <c r="A20" s="959">
        <f t="shared" si="0"/>
        <v>12</v>
      </c>
      <c r="B20" s="991" t="s">
        <v>230</v>
      </c>
      <c r="C20" s="1509"/>
      <c r="D20" s="1509"/>
      <c r="E20" s="1509"/>
      <c r="F20" s="1509"/>
      <c r="G20" s="222"/>
      <c r="H20" s="1664" t="s">
        <v>1766</v>
      </c>
      <c r="I20" s="1665"/>
      <c r="J20" s="44"/>
      <c r="K20" s="510"/>
      <c r="L20" s="44"/>
      <c r="M20" s="44"/>
    </row>
    <row r="21" spans="1:13" s="282" customFormat="1" ht="15">
      <c r="A21" s="959">
        <f t="shared" si="0"/>
        <v>13</v>
      </c>
      <c r="B21" s="991" t="s">
        <v>231</v>
      </c>
      <c r="C21" s="1509"/>
      <c r="D21" s="1509"/>
      <c r="E21" s="1509"/>
      <c r="F21" s="1509"/>
      <c r="G21" s="760"/>
      <c r="H21" s="1664" t="s">
        <v>1767</v>
      </c>
      <c r="I21" s="1665"/>
      <c r="J21" s="44"/>
      <c r="K21" s="510"/>
      <c r="L21" s="44"/>
      <c r="M21" s="44"/>
    </row>
    <row r="22" spans="1:13" s="282" customFormat="1">
      <c r="A22" s="959">
        <f t="shared" si="0"/>
        <v>14</v>
      </c>
      <c r="B22" s="184" t="s">
        <v>1665</v>
      </c>
      <c r="D22" s="184"/>
      <c r="E22" s="184"/>
      <c r="G22" s="156">
        <f>SUM(G10:G21)</f>
        <v>0</v>
      </c>
      <c r="H22" s="184" t="str">
        <f>+"Sum (Line "&amp;A10&amp;" to "&amp;A21&amp;")"</f>
        <v>Sum (Line 2 to 13)</v>
      </c>
      <c r="J22" s="44"/>
      <c r="K22" s="510"/>
      <c r="L22" s="44"/>
      <c r="M22" s="44"/>
    </row>
    <row r="23" spans="1:13" s="282" customFormat="1">
      <c r="A23" s="959">
        <f t="shared" si="0"/>
        <v>15</v>
      </c>
      <c r="B23" s="184" t="s">
        <v>1017</v>
      </c>
      <c r="D23" s="184"/>
      <c r="E23" s="184"/>
      <c r="G23" s="283">
        <v>0</v>
      </c>
      <c r="H23" s="184" t="str">
        <f>+"WP17 Line "&amp;'WP17 Rev'!A57&amp;" Column "&amp;'WP17 Rev'!E5</f>
        <v>WP17 Line 7 Column D</v>
      </c>
      <c r="J23" s="44"/>
      <c r="K23" s="510"/>
      <c r="L23" s="44"/>
      <c r="M23" s="44"/>
    </row>
    <row r="24" spans="1:13" s="282" customFormat="1">
      <c r="A24" s="959">
        <f t="shared" si="0"/>
        <v>16</v>
      </c>
      <c r="B24" s="1710" t="s">
        <v>1690</v>
      </c>
      <c r="C24" s="1710"/>
      <c r="D24" s="1710"/>
      <c r="E24" s="1710"/>
      <c r="F24" s="1710"/>
      <c r="G24" s="278"/>
      <c r="H24" s="1605"/>
      <c r="I24" s="809"/>
      <c r="J24" s="44"/>
      <c r="K24" s="510"/>
      <c r="L24" s="44"/>
      <c r="M24" s="44"/>
    </row>
    <row r="25" spans="1:13" s="282" customFormat="1">
      <c r="A25" s="959">
        <f t="shared" si="0"/>
        <v>17</v>
      </c>
      <c r="B25" s="282" t="s">
        <v>1689</v>
      </c>
      <c r="D25" s="186"/>
      <c r="E25" s="186"/>
      <c r="F25" s="43"/>
      <c r="G25" s="912">
        <f>+G22+G23-G24</f>
        <v>0</v>
      </c>
      <c r="H25" s="220" t="str">
        <f>+"Sum (Line "&amp;A22&amp;" + "&amp;A23&amp;" - "&amp;A24&amp;")"</f>
        <v>Sum (Line 14 + 15 - 16)</v>
      </c>
      <c r="I25" s="809"/>
      <c r="J25" s="44"/>
      <c r="K25" s="44"/>
      <c r="L25" s="44"/>
      <c r="M25" s="44"/>
    </row>
    <row r="26" spans="1:13" s="282" customFormat="1">
      <c r="A26" s="959">
        <f t="shared" si="0"/>
        <v>18</v>
      </c>
      <c r="B26" s="1115"/>
      <c r="C26" s="1509"/>
      <c r="D26" s="186"/>
      <c r="E26" s="184"/>
      <c r="F26" s="43"/>
      <c r="G26" s="43"/>
      <c r="H26" s="44"/>
      <c r="I26" s="1418"/>
      <c r="J26" s="44"/>
      <c r="K26" s="44"/>
      <c r="L26" s="44"/>
      <c r="M26" s="44"/>
    </row>
    <row r="27" spans="1:13" s="282" customFormat="1">
      <c r="A27" s="959">
        <f t="shared" si="0"/>
        <v>19</v>
      </c>
      <c r="B27" s="43" t="s">
        <v>1691</v>
      </c>
      <c r="D27" s="43"/>
      <c r="E27" s="43"/>
      <c r="F27" s="43"/>
      <c r="G27" s="80">
        <v>0</v>
      </c>
      <c r="H27" s="220" t="str">
        <f>+"Appendix A True-up Column Line "&amp;'Appendix A'!A287</f>
        <v>Appendix A True-up Column Line 193</v>
      </c>
      <c r="I27" s="809"/>
      <c r="J27" s="44"/>
      <c r="K27" s="44"/>
      <c r="L27" s="44"/>
      <c r="M27" s="44"/>
    </row>
    <row r="28" spans="1:13" s="282" customFormat="1" ht="15">
      <c r="A28" s="959">
        <f t="shared" si="0"/>
        <v>20</v>
      </c>
      <c r="B28" s="43"/>
      <c r="D28" s="1509"/>
      <c r="E28" s="1509"/>
      <c r="F28" s="1509"/>
      <c r="G28" s="512"/>
      <c r="H28" s="220"/>
      <c r="I28" s="809"/>
      <c r="J28" s="44"/>
      <c r="K28" s="44"/>
      <c r="L28" s="44"/>
      <c r="M28" s="44"/>
    </row>
    <row r="29" spans="1:13" s="282" customFormat="1">
      <c r="A29" s="959">
        <f t="shared" si="0"/>
        <v>21</v>
      </c>
      <c r="B29" s="43" t="s">
        <v>1495</v>
      </c>
      <c r="D29" s="43"/>
      <c r="E29" s="43"/>
      <c r="F29" s="43"/>
      <c r="G29" s="270">
        <f>+G27-G25</f>
        <v>0</v>
      </c>
      <c r="H29" s="220" t="str">
        <f>+"Line "&amp;A27&amp;" - Line "&amp;A25</f>
        <v>Line 19 - Line 17</v>
      </c>
      <c r="I29" s="809"/>
      <c r="J29" s="44"/>
      <c r="K29" s="44"/>
      <c r="L29" s="44"/>
      <c r="M29" s="44"/>
    </row>
    <row r="30" spans="1:13" s="282" customFormat="1">
      <c r="A30" s="1409">
        <f t="shared" ref="A30:A33" si="1">+A29+1</f>
        <v>22</v>
      </c>
      <c r="B30" s="43"/>
      <c r="D30" s="43"/>
      <c r="E30" s="43"/>
      <c r="F30" s="43"/>
      <c r="G30" s="270"/>
      <c r="H30" s="1409"/>
      <c r="I30" s="1408"/>
      <c r="J30" s="44"/>
      <c r="K30" s="44"/>
      <c r="L30" s="44"/>
      <c r="M30" s="44"/>
    </row>
    <row r="31" spans="1:13" s="282" customFormat="1">
      <c r="A31" s="1409">
        <f t="shared" si="1"/>
        <v>23</v>
      </c>
      <c r="B31" s="43" t="s">
        <v>1496</v>
      </c>
      <c r="D31" s="43"/>
      <c r="E31" s="43"/>
      <c r="F31" s="43"/>
      <c r="G31" s="278"/>
      <c r="H31" s="1409" t="s">
        <v>1015</v>
      </c>
      <c r="I31" s="1408"/>
      <c r="J31" s="44"/>
      <c r="K31" s="510"/>
      <c r="L31" s="44"/>
      <c r="M31" s="44"/>
    </row>
    <row r="32" spans="1:13" s="282" customFormat="1">
      <c r="A32" s="1409">
        <f t="shared" si="1"/>
        <v>24</v>
      </c>
      <c r="B32" s="43"/>
      <c r="D32" s="43"/>
      <c r="E32" s="43"/>
      <c r="F32" s="43"/>
      <c r="G32" s="80"/>
      <c r="H32" s="220"/>
      <c r="I32" s="809"/>
      <c r="J32" s="44"/>
      <c r="K32" s="44"/>
      <c r="L32" s="44"/>
      <c r="M32" s="44"/>
    </row>
    <row r="33" spans="1:13" s="282" customFormat="1">
      <c r="A33" s="220">
        <f t="shared" si="1"/>
        <v>25</v>
      </c>
      <c r="B33" s="1115" t="s">
        <v>1692</v>
      </c>
      <c r="C33" s="1509"/>
      <c r="D33" s="186"/>
      <c r="E33" s="184"/>
      <c r="F33" s="43"/>
      <c r="G33" s="43"/>
      <c r="H33" s="44"/>
      <c r="I33" s="809"/>
      <c r="J33" s="44"/>
      <c r="K33" s="44"/>
      <c r="L33" s="44"/>
      <c r="M33" s="44"/>
    </row>
    <row r="34" spans="1:13" s="282" customFormat="1">
      <c r="A34" s="220"/>
      <c r="B34" s="1115"/>
      <c r="C34" s="1229"/>
      <c r="D34" s="186"/>
      <c r="E34" s="184"/>
      <c r="F34" s="43"/>
      <c r="G34" s="43"/>
      <c r="H34" s="44"/>
      <c r="I34" s="1229"/>
      <c r="J34" s="44"/>
      <c r="K34" s="44"/>
      <c r="L34" s="44"/>
      <c r="M34" s="44"/>
    </row>
    <row r="35" spans="1:13" s="282" customFormat="1" ht="54" customHeight="1">
      <c r="A35" s="220"/>
      <c r="B35" s="1238" t="s">
        <v>878</v>
      </c>
      <c r="C35" s="659" t="s">
        <v>879</v>
      </c>
      <c r="D35" s="659" t="s">
        <v>667</v>
      </c>
      <c r="E35" s="659" t="s">
        <v>1522</v>
      </c>
      <c r="F35" s="659" t="s">
        <v>1385</v>
      </c>
      <c r="G35" s="659" t="s">
        <v>907</v>
      </c>
      <c r="H35" s="659" t="s">
        <v>880</v>
      </c>
      <c r="I35" s="659" t="s">
        <v>881</v>
      </c>
      <c r="J35" s="44"/>
      <c r="K35" s="44"/>
      <c r="L35" s="44"/>
      <c r="M35" s="44"/>
    </row>
    <row r="36" spans="1:13" s="282" customFormat="1" ht="15" customHeight="1">
      <c r="A36" s="220">
        <f>+A33+1</f>
        <v>26</v>
      </c>
      <c r="B36" s="1261" t="s">
        <v>261</v>
      </c>
      <c r="C36" s="611" t="s">
        <v>309</v>
      </c>
      <c r="D36" s="611" t="s">
        <v>1368</v>
      </c>
      <c r="E36" s="611" t="s">
        <v>1369</v>
      </c>
      <c r="F36" s="611" t="s">
        <v>1370</v>
      </c>
      <c r="G36" s="1626" t="s">
        <v>1696</v>
      </c>
      <c r="H36" s="1626" t="s">
        <v>1697</v>
      </c>
      <c r="I36" s="611" t="s">
        <v>364</v>
      </c>
      <c r="J36" s="44"/>
      <c r="K36" s="44"/>
      <c r="L36" s="44"/>
      <c r="M36" s="44"/>
    </row>
    <row r="37" spans="1:13" s="282" customFormat="1" ht="15">
      <c r="A37" s="957">
        <f>+A36+0.01</f>
        <v>26.01</v>
      </c>
      <c r="B37" s="43"/>
      <c r="C37" s="1507">
        <v>41640</v>
      </c>
      <c r="D37" s="1508"/>
      <c r="E37" s="514">
        <v>0</v>
      </c>
      <c r="F37" s="515">
        <f t="shared" ref="F37:F64" si="2">H37*E37</f>
        <v>0</v>
      </c>
      <c r="G37" s="516">
        <f>+G$29/12+G31</f>
        <v>0</v>
      </c>
      <c r="H37" s="545">
        <f>IF((B37=1),G37,G37)</f>
        <v>0</v>
      </c>
      <c r="I37" s="515">
        <f>F37+G37</f>
        <v>0</v>
      </c>
      <c r="J37" s="44"/>
      <c r="K37" s="44"/>
      <c r="L37" s="517"/>
      <c r="M37" s="518"/>
    </row>
    <row r="38" spans="1:13" s="282" customFormat="1">
      <c r="A38" s="957">
        <f t="shared" ref="A38:A65" si="3">+A37+0.01</f>
        <v>26.020000000000003</v>
      </c>
      <c r="B38" s="43"/>
      <c r="C38" s="1507">
        <v>41671</v>
      </c>
      <c r="D38" s="1508"/>
      <c r="E38" s="514">
        <v>0</v>
      </c>
      <c r="F38" s="515">
        <f t="shared" si="2"/>
        <v>0</v>
      </c>
      <c r="G38" s="516">
        <f t="shared" ref="G38:G48" si="4">+G$29/12</f>
        <v>0</v>
      </c>
      <c r="H38" s="545">
        <f t="shared" ref="H38:H64" si="5">IF((B38=1),I37+G38,+H37+G38)</f>
        <v>0</v>
      </c>
      <c r="I38" s="515">
        <f>I37+F38+G38</f>
        <v>0</v>
      </c>
      <c r="J38" s="44"/>
    </row>
    <row r="39" spans="1:13" s="282" customFormat="1">
      <c r="A39" s="957">
        <f t="shared" si="3"/>
        <v>26.030000000000005</v>
      </c>
      <c r="B39" s="43"/>
      <c r="C39" s="1507">
        <v>41699</v>
      </c>
      <c r="D39" s="1508"/>
      <c r="E39" s="514">
        <v>0</v>
      </c>
      <c r="F39" s="515">
        <f t="shared" si="2"/>
        <v>0</v>
      </c>
      <c r="G39" s="516">
        <f t="shared" si="4"/>
        <v>0</v>
      </c>
      <c r="H39" s="545">
        <f t="shared" si="5"/>
        <v>0</v>
      </c>
      <c r="I39" s="515">
        <f t="shared" ref="I39:I65" si="6">I38+F39+G39</f>
        <v>0</v>
      </c>
      <c r="J39" s="44"/>
    </row>
    <row r="40" spans="1:13" s="282" customFormat="1">
      <c r="A40" s="957">
        <f t="shared" si="3"/>
        <v>26.040000000000006</v>
      </c>
      <c r="B40" s="43">
        <v>1</v>
      </c>
      <c r="C40" s="1507">
        <v>41730</v>
      </c>
      <c r="D40" s="1508"/>
      <c r="E40" s="514">
        <v>0</v>
      </c>
      <c r="F40" s="515">
        <f t="shared" si="2"/>
        <v>0</v>
      </c>
      <c r="G40" s="516">
        <f t="shared" si="4"/>
        <v>0</v>
      </c>
      <c r="H40" s="545">
        <f t="shared" si="5"/>
        <v>0</v>
      </c>
      <c r="I40" s="515">
        <f t="shared" si="6"/>
        <v>0</v>
      </c>
      <c r="J40" s="44"/>
    </row>
    <row r="41" spans="1:13" s="282" customFormat="1">
      <c r="A41" s="957">
        <f t="shared" si="3"/>
        <v>26.050000000000008</v>
      </c>
      <c r="B41" s="43"/>
      <c r="C41" s="1507">
        <v>41760</v>
      </c>
      <c r="D41" s="1508"/>
      <c r="E41" s="514">
        <v>0</v>
      </c>
      <c r="F41" s="515">
        <f t="shared" si="2"/>
        <v>0</v>
      </c>
      <c r="G41" s="516">
        <f t="shared" si="4"/>
        <v>0</v>
      </c>
      <c r="H41" s="545">
        <f t="shared" si="5"/>
        <v>0</v>
      </c>
      <c r="I41" s="515">
        <f t="shared" si="6"/>
        <v>0</v>
      </c>
      <c r="J41" s="44"/>
      <c r="K41" s="270"/>
      <c r="L41" s="80"/>
      <c r="M41" s="270"/>
    </row>
    <row r="42" spans="1:13" s="282" customFormat="1">
      <c r="A42" s="957">
        <f t="shared" si="3"/>
        <v>26.060000000000009</v>
      </c>
      <c r="B42" s="43"/>
      <c r="C42" s="1507">
        <v>41791</v>
      </c>
      <c r="D42" s="1508"/>
      <c r="E42" s="514">
        <v>0</v>
      </c>
      <c r="F42" s="515">
        <f t="shared" si="2"/>
        <v>0</v>
      </c>
      <c r="G42" s="516">
        <f t="shared" si="4"/>
        <v>0</v>
      </c>
      <c r="H42" s="545">
        <f t="shared" si="5"/>
        <v>0</v>
      </c>
      <c r="I42" s="515">
        <f t="shared" si="6"/>
        <v>0</v>
      </c>
      <c r="J42" s="44"/>
      <c r="K42" s="270"/>
      <c r="L42" s="80"/>
      <c r="M42" s="270"/>
    </row>
    <row r="43" spans="1:13" s="282" customFormat="1">
      <c r="A43" s="957">
        <f t="shared" si="3"/>
        <v>26.070000000000011</v>
      </c>
      <c r="B43" s="43">
        <v>1</v>
      </c>
      <c r="C43" s="1507">
        <v>41821</v>
      </c>
      <c r="D43" s="1508"/>
      <c r="E43" s="514">
        <v>0</v>
      </c>
      <c r="F43" s="515">
        <f t="shared" si="2"/>
        <v>0</v>
      </c>
      <c r="G43" s="516">
        <f t="shared" si="4"/>
        <v>0</v>
      </c>
      <c r="H43" s="545">
        <f t="shared" si="5"/>
        <v>0</v>
      </c>
      <c r="I43" s="515">
        <f t="shared" si="6"/>
        <v>0</v>
      </c>
      <c r="J43" s="44"/>
      <c r="K43" s="270"/>
      <c r="L43" s="80"/>
      <c r="M43" s="270"/>
    </row>
    <row r="44" spans="1:13" s="282" customFormat="1">
      <c r="A44" s="957">
        <f t="shared" si="3"/>
        <v>26.080000000000013</v>
      </c>
      <c r="B44" s="43"/>
      <c r="C44" s="1507">
        <v>41852</v>
      </c>
      <c r="D44" s="1508"/>
      <c r="E44" s="514">
        <v>0</v>
      </c>
      <c r="F44" s="515">
        <f t="shared" si="2"/>
        <v>0</v>
      </c>
      <c r="G44" s="516">
        <f t="shared" si="4"/>
        <v>0</v>
      </c>
      <c r="H44" s="545">
        <f t="shared" si="5"/>
        <v>0</v>
      </c>
      <c r="I44" s="515">
        <f t="shared" si="6"/>
        <v>0</v>
      </c>
      <c r="J44" s="44"/>
      <c r="K44" s="270"/>
      <c r="L44" s="80"/>
      <c r="M44" s="270"/>
    </row>
    <row r="45" spans="1:13" s="282" customFormat="1">
      <c r="A45" s="957">
        <f t="shared" si="3"/>
        <v>26.090000000000014</v>
      </c>
      <c r="B45" s="43"/>
      <c r="C45" s="1507">
        <v>41883</v>
      </c>
      <c r="D45" s="1508"/>
      <c r="E45" s="514">
        <v>0</v>
      </c>
      <c r="F45" s="515">
        <f t="shared" si="2"/>
        <v>0</v>
      </c>
      <c r="G45" s="516">
        <f t="shared" si="4"/>
        <v>0</v>
      </c>
      <c r="H45" s="545">
        <f t="shared" si="5"/>
        <v>0</v>
      </c>
      <c r="I45" s="515">
        <f t="shared" si="6"/>
        <v>0</v>
      </c>
      <c r="J45" s="44"/>
      <c r="K45" s="270"/>
      <c r="L45" s="80"/>
      <c r="M45" s="270"/>
    </row>
    <row r="46" spans="1:13" s="282" customFormat="1">
      <c r="A46" s="957">
        <f t="shared" si="3"/>
        <v>26.100000000000016</v>
      </c>
      <c r="B46" s="43">
        <v>1</v>
      </c>
      <c r="C46" s="1507">
        <v>41913</v>
      </c>
      <c r="D46" s="1508"/>
      <c r="E46" s="514">
        <v>0</v>
      </c>
      <c r="F46" s="515">
        <f t="shared" si="2"/>
        <v>0</v>
      </c>
      <c r="G46" s="516">
        <f t="shared" si="4"/>
        <v>0</v>
      </c>
      <c r="H46" s="545">
        <f t="shared" si="5"/>
        <v>0</v>
      </c>
      <c r="I46" s="515">
        <f t="shared" si="6"/>
        <v>0</v>
      </c>
      <c r="J46" s="44"/>
      <c r="K46" s="270"/>
      <c r="L46" s="80"/>
      <c r="M46" s="270"/>
    </row>
    <row r="47" spans="1:13" s="282" customFormat="1">
      <c r="A47" s="957">
        <f t="shared" si="3"/>
        <v>26.110000000000017</v>
      </c>
      <c r="B47" s="43"/>
      <c r="C47" s="1507">
        <v>41944</v>
      </c>
      <c r="D47" s="1508"/>
      <c r="E47" s="514">
        <v>0</v>
      </c>
      <c r="F47" s="515">
        <f t="shared" si="2"/>
        <v>0</v>
      </c>
      <c r="G47" s="516">
        <f t="shared" si="4"/>
        <v>0</v>
      </c>
      <c r="H47" s="545">
        <f t="shared" si="5"/>
        <v>0</v>
      </c>
      <c r="I47" s="515">
        <f t="shared" si="6"/>
        <v>0</v>
      </c>
      <c r="J47" s="44"/>
      <c r="K47" s="270"/>
      <c r="L47" s="80"/>
      <c r="M47" s="270"/>
    </row>
    <row r="48" spans="1:13" s="282" customFormat="1">
      <c r="A48" s="957">
        <f t="shared" si="3"/>
        <v>26.120000000000019</v>
      </c>
      <c r="B48" s="43"/>
      <c r="C48" s="1507">
        <v>41974</v>
      </c>
      <c r="D48" s="1508"/>
      <c r="E48" s="514">
        <v>0</v>
      </c>
      <c r="F48" s="515">
        <f t="shared" si="2"/>
        <v>0</v>
      </c>
      <c r="G48" s="516">
        <f t="shared" si="4"/>
        <v>0</v>
      </c>
      <c r="H48" s="545">
        <f t="shared" si="5"/>
        <v>0</v>
      </c>
      <c r="I48" s="515">
        <f t="shared" si="6"/>
        <v>0</v>
      </c>
      <c r="J48" s="44"/>
      <c r="K48" s="270"/>
      <c r="L48" s="80"/>
      <c r="M48" s="270"/>
    </row>
    <row r="49" spans="1:13" s="282" customFormat="1" ht="15">
      <c r="A49" s="957">
        <f t="shared" si="3"/>
        <v>26.13000000000002</v>
      </c>
      <c r="B49" s="43">
        <v>1</v>
      </c>
      <c r="C49" s="1507">
        <v>42005</v>
      </c>
      <c r="D49" s="1508"/>
      <c r="E49" s="514">
        <v>0</v>
      </c>
      <c r="F49" s="515">
        <f t="shared" si="2"/>
        <v>0</v>
      </c>
      <c r="G49" s="516"/>
      <c r="H49" s="545">
        <f t="shared" si="5"/>
        <v>0</v>
      </c>
      <c r="I49" s="515">
        <f t="shared" si="6"/>
        <v>0</v>
      </c>
      <c r="J49" s="44"/>
      <c r="K49" s="520"/>
      <c r="L49" s="501"/>
      <c r="M49" s="520"/>
    </row>
    <row r="50" spans="1:13" s="282" customFormat="1">
      <c r="A50" s="957">
        <f t="shared" si="3"/>
        <v>26.140000000000022</v>
      </c>
      <c r="B50" s="86"/>
      <c r="C50" s="1507">
        <v>42036</v>
      </c>
      <c r="D50" s="1508"/>
      <c r="E50" s="514">
        <v>0</v>
      </c>
      <c r="F50" s="515">
        <f t="shared" si="2"/>
        <v>0</v>
      </c>
      <c r="G50" s="516"/>
      <c r="H50" s="545">
        <f t="shared" si="5"/>
        <v>0</v>
      </c>
      <c r="I50" s="515">
        <f t="shared" si="6"/>
        <v>0</v>
      </c>
      <c r="J50" s="44"/>
      <c r="K50" s="270"/>
      <c r="L50" s="270"/>
      <c r="M50" s="44"/>
    </row>
    <row r="51" spans="1:13" s="282" customFormat="1">
      <c r="A51" s="957">
        <f t="shared" si="3"/>
        <v>26.150000000000023</v>
      </c>
      <c r="B51" s="521"/>
      <c r="C51" s="1507">
        <v>42064</v>
      </c>
      <c r="D51" s="1508"/>
      <c r="E51" s="514">
        <v>0</v>
      </c>
      <c r="F51" s="515">
        <f t="shared" si="2"/>
        <v>0</v>
      </c>
      <c r="G51" s="516"/>
      <c r="H51" s="545">
        <f t="shared" si="5"/>
        <v>0</v>
      </c>
      <c r="I51" s="515">
        <f t="shared" si="6"/>
        <v>0</v>
      </c>
      <c r="J51" s="44"/>
      <c r="K51" s="44"/>
      <c r="L51" s="44"/>
      <c r="M51" s="44"/>
    </row>
    <row r="52" spans="1:13" s="282" customFormat="1">
      <c r="A52" s="957">
        <f t="shared" si="3"/>
        <v>26.160000000000025</v>
      </c>
      <c r="B52" s="43">
        <v>1</v>
      </c>
      <c r="C52" s="1507">
        <v>42095</v>
      </c>
      <c r="D52" s="1508"/>
      <c r="E52" s="514">
        <v>0</v>
      </c>
      <c r="F52" s="515">
        <f t="shared" si="2"/>
        <v>0</v>
      </c>
      <c r="G52" s="516"/>
      <c r="H52" s="545">
        <f t="shared" si="5"/>
        <v>0</v>
      </c>
      <c r="I52" s="515">
        <f t="shared" si="6"/>
        <v>0</v>
      </c>
      <c r="J52" s="44"/>
      <c r="K52" s="44"/>
      <c r="L52" s="44"/>
      <c r="M52" s="44"/>
    </row>
    <row r="53" spans="1:13" s="282" customFormat="1">
      <c r="A53" s="957">
        <f t="shared" si="3"/>
        <v>26.170000000000027</v>
      </c>
      <c r="B53" s="521"/>
      <c r="C53" s="1507">
        <v>42125</v>
      </c>
      <c r="D53" s="1508"/>
      <c r="E53" s="514">
        <v>0</v>
      </c>
      <c r="F53" s="515">
        <f t="shared" si="2"/>
        <v>0</v>
      </c>
      <c r="G53" s="516"/>
      <c r="H53" s="545">
        <f t="shared" si="5"/>
        <v>0</v>
      </c>
      <c r="I53" s="515">
        <f t="shared" si="6"/>
        <v>0</v>
      </c>
      <c r="J53" s="44"/>
      <c r="K53" s="43"/>
      <c r="L53" s="43"/>
      <c r="M53" s="43"/>
    </row>
    <row r="54" spans="1:13" s="282" customFormat="1">
      <c r="A54" s="957">
        <f t="shared" si="3"/>
        <v>26.180000000000028</v>
      </c>
      <c r="B54" s="521"/>
      <c r="C54" s="1507">
        <v>42156</v>
      </c>
      <c r="D54" s="1508"/>
      <c r="E54" s="514">
        <v>0</v>
      </c>
      <c r="F54" s="515">
        <f t="shared" si="2"/>
        <v>0</v>
      </c>
      <c r="G54" s="1230">
        <v>0</v>
      </c>
      <c r="H54" s="545">
        <f>IF((B54=1),I53+G54,+H53+G54)</f>
        <v>0</v>
      </c>
      <c r="I54" s="515">
        <f>I53+F54+G54</f>
        <v>0</v>
      </c>
      <c r="J54" s="44"/>
      <c r="K54" s="43"/>
      <c r="L54" s="43"/>
      <c r="M54" s="43"/>
    </row>
    <row r="55" spans="1:13" s="282" customFormat="1">
      <c r="A55" s="957">
        <f t="shared" si="3"/>
        <v>26.19000000000003</v>
      </c>
      <c r="B55" s="43">
        <v>1</v>
      </c>
      <c r="C55" s="1507">
        <v>42186</v>
      </c>
      <c r="D55" s="1508"/>
      <c r="E55" s="514">
        <v>0</v>
      </c>
      <c r="F55" s="515">
        <f t="shared" si="2"/>
        <v>0</v>
      </c>
      <c r="G55" s="516">
        <f>G54</f>
        <v>0</v>
      </c>
      <c r="H55" s="545">
        <f t="shared" si="5"/>
        <v>0</v>
      </c>
      <c r="I55" s="515">
        <f t="shared" si="6"/>
        <v>0</v>
      </c>
      <c r="J55" s="44"/>
      <c r="K55" s="43"/>
      <c r="L55" s="43"/>
      <c r="M55" s="43"/>
    </row>
    <row r="56" spans="1:13" s="282" customFormat="1">
      <c r="A56" s="957">
        <f t="shared" si="3"/>
        <v>26.200000000000031</v>
      </c>
      <c r="B56" s="44"/>
      <c r="C56" s="1507">
        <v>42217</v>
      </c>
      <c r="D56" s="1508"/>
      <c r="E56" s="514">
        <v>0</v>
      </c>
      <c r="F56" s="515">
        <f t="shared" si="2"/>
        <v>0</v>
      </c>
      <c r="G56" s="516">
        <f>G54</f>
        <v>0</v>
      </c>
      <c r="H56" s="545">
        <f t="shared" si="5"/>
        <v>0</v>
      </c>
      <c r="I56" s="515">
        <f t="shared" si="6"/>
        <v>0</v>
      </c>
      <c r="J56" s="44"/>
      <c r="K56" s="43"/>
      <c r="L56" s="43"/>
      <c r="M56" s="43"/>
    </row>
    <row r="57" spans="1:13" s="282" customFormat="1">
      <c r="A57" s="957">
        <f t="shared" si="3"/>
        <v>26.210000000000033</v>
      </c>
      <c r="B57" s="44"/>
      <c r="C57" s="1507">
        <v>42248</v>
      </c>
      <c r="D57" s="1508"/>
      <c r="E57" s="514">
        <v>0</v>
      </c>
      <c r="F57" s="515">
        <f t="shared" si="2"/>
        <v>0</v>
      </c>
      <c r="G57" s="516">
        <f t="shared" ref="G57:G65" si="7">G55</f>
        <v>0</v>
      </c>
      <c r="H57" s="545">
        <f t="shared" si="5"/>
        <v>0</v>
      </c>
      <c r="I57" s="515">
        <f t="shared" si="6"/>
        <v>0</v>
      </c>
      <c r="J57" s="44"/>
      <c r="K57" s="43"/>
      <c r="L57" s="43"/>
      <c r="M57" s="43"/>
    </row>
    <row r="58" spans="1:13" s="282" customFormat="1">
      <c r="A58" s="957">
        <f t="shared" si="3"/>
        <v>26.220000000000034</v>
      </c>
      <c r="B58" s="43">
        <v>1</v>
      </c>
      <c r="C58" s="1507">
        <v>42278</v>
      </c>
      <c r="D58" s="1508"/>
      <c r="E58" s="514">
        <v>0</v>
      </c>
      <c r="F58" s="515">
        <f t="shared" si="2"/>
        <v>0</v>
      </c>
      <c r="G58" s="516">
        <f t="shared" si="7"/>
        <v>0</v>
      </c>
      <c r="H58" s="545">
        <f t="shared" si="5"/>
        <v>0</v>
      </c>
      <c r="I58" s="515">
        <f t="shared" si="6"/>
        <v>0</v>
      </c>
      <c r="J58" s="44"/>
      <c r="K58" s="43" t="s">
        <v>882</v>
      </c>
      <c r="L58" s="43"/>
      <c r="M58" s="43"/>
    </row>
    <row r="59" spans="1:13" s="282" customFormat="1">
      <c r="A59" s="957">
        <f t="shared" si="3"/>
        <v>26.230000000000036</v>
      </c>
      <c r="B59" s="44"/>
      <c r="C59" s="1507">
        <v>42309</v>
      </c>
      <c r="D59" s="1508"/>
      <c r="E59" s="514">
        <v>0</v>
      </c>
      <c r="F59" s="515">
        <f t="shared" si="2"/>
        <v>0</v>
      </c>
      <c r="G59" s="516">
        <f t="shared" si="7"/>
        <v>0</v>
      </c>
      <c r="H59" s="545">
        <f t="shared" si="5"/>
        <v>0</v>
      </c>
      <c r="I59" s="515">
        <f t="shared" si="6"/>
        <v>0</v>
      </c>
      <c r="J59" s="44"/>
      <c r="K59" s="43" t="s">
        <v>883</v>
      </c>
      <c r="L59" s="43"/>
      <c r="M59" s="43"/>
    </row>
    <row r="60" spans="1:13" s="282" customFormat="1">
      <c r="A60" s="957">
        <f t="shared" si="3"/>
        <v>26.240000000000038</v>
      </c>
      <c r="B60" s="44"/>
      <c r="C60" s="1507">
        <v>42339</v>
      </c>
      <c r="D60" s="1508"/>
      <c r="E60" s="514">
        <v>0</v>
      </c>
      <c r="F60" s="515">
        <f t="shared" si="2"/>
        <v>0</v>
      </c>
      <c r="G60" s="516">
        <f t="shared" si="7"/>
        <v>0</v>
      </c>
      <c r="H60" s="545">
        <f t="shared" si="5"/>
        <v>0</v>
      </c>
      <c r="I60" s="515">
        <f t="shared" si="6"/>
        <v>0</v>
      </c>
      <c r="J60" s="44"/>
      <c r="K60" s="43"/>
      <c r="L60" s="43"/>
      <c r="M60" s="43"/>
    </row>
    <row r="61" spans="1:13" s="282" customFormat="1">
      <c r="A61" s="957">
        <f t="shared" si="3"/>
        <v>26.250000000000039</v>
      </c>
      <c r="B61" s="43">
        <v>1</v>
      </c>
      <c r="C61" s="1507">
        <v>42370</v>
      </c>
      <c r="D61" s="1508"/>
      <c r="E61" s="514">
        <v>0</v>
      </c>
      <c r="F61" s="515">
        <f t="shared" si="2"/>
        <v>0</v>
      </c>
      <c r="G61" s="516">
        <f t="shared" si="7"/>
        <v>0</v>
      </c>
      <c r="H61" s="545">
        <f t="shared" si="5"/>
        <v>0</v>
      </c>
      <c r="I61" s="515">
        <f t="shared" si="6"/>
        <v>0</v>
      </c>
      <c r="J61" s="43"/>
      <c r="K61" s="43" t="s">
        <v>884</v>
      </c>
      <c r="L61" s="43"/>
      <c r="M61" s="43"/>
    </row>
    <row r="62" spans="1:13" s="282" customFormat="1">
      <c r="A62" s="957">
        <f t="shared" si="3"/>
        <v>26.260000000000041</v>
      </c>
      <c r="B62" s="86"/>
      <c r="C62" s="1507">
        <v>42401</v>
      </c>
      <c r="D62" s="1508"/>
      <c r="E62" s="514">
        <v>0</v>
      </c>
      <c r="F62" s="515">
        <f t="shared" si="2"/>
        <v>0</v>
      </c>
      <c r="G62" s="516">
        <f t="shared" si="7"/>
        <v>0</v>
      </c>
      <c r="H62" s="545">
        <f t="shared" si="5"/>
        <v>0</v>
      </c>
      <c r="I62" s="515">
        <f t="shared" si="6"/>
        <v>0</v>
      </c>
      <c r="J62" s="43"/>
      <c r="K62" s="43"/>
      <c r="L62" s="993" t="s">
        <v>885</v>
      </c>
      <c r="M62" s="994" t="str">
        <f ca="1">CELL("address",I65)</f>
        <v>$I$65</v>
      </c>
    </row>
    <row r="63" spans="1:13" s="282" customFormat="1">
      <c r="A63" s="957">
        <f t="shared" si="3"/>
        <v>26.270000000000042</v>
      </c>
      <c r="B63" s="521"/>
      <c r="C63" s="1507">
        <v>42430</v>
      </c>
      <c r="D63" s="1508"/>
      <c r="E63" s="514">
        <v>0</v>
      </c>
      <c r="F63" s="515">
        <f t="shared" si="2"/>
        <v>0</v>
      </c>
      <c r="G63" s="516">
        <f t="shared" si="7"/>
        <v>0</v>
      </c>
      <c r="H63" s="545">
        <f t="shared" si="5"/>
        <v>0</v>
      </c>
      <c r="I63" s="515">
        <f t="shared" si="6"/>
        <v>0</v>
      </c>
      <c r="J63" s="43"/>
      <c r="K63" s="43"/>
      <c r="L63" s="993" t="s">
        <v>886</v>
      </c>
      <c r="M63" s="993">
        <v>0</v>
      </c>
    </row>
    <row r="64" spans="1:13" s="282" customFormat="1">
      <c r="A64" s="957">
        <f t="shared" si="3"/>
        <v>26.280000000000044</v>
      </c>
      <c r="B64" s="43">
        <v>1</v>
      </c>
      <c r="C64" s="1507">
        <v>42461</v>
      </c>
      <c r="D64" s="1508"/>
      <c r="E64" s="514">
        <v>0</v>
      </c>
      <c r="F64" s="515">
        <f t="shared" si="2"/>
        <v>0</v>
      </c>
      <c r="G64" s="516">
        <f t="shared" si="7"/>
        <v>0</v>
      </c>
      <c r="H64" s="545">
        <f t="shared" si="5"/>
        <v>0</v>
      </c>
      <c r="I64" s="515">
        <f t="shared" si="6"/>
        <v>0</v>
      </c>
      <c r="J64" s="43"/>
      <c r="K64" s="43"/>
      <c r="L64" s="993" t="s">
        <v>887</v>
      </c>
      <c r="M64" s="994" t="str">
        <f ca="1">CELL("address",G54)</f>
        <v>$G$54</v>
      </c>
    </row>
    <row r="65" spans="1:21" s="282" customFormat="1" ht="15">
      <c r="A65" s="957">
        <f t="shared" si="3"/>
        <v>26.290000000000045</v>
      </c>
      <c r="B65" s="43"/>
      <c r="C65" s="1507">
        <v>42491</v>
      </c>
      <c r="D65" s="1508"/>
      <c r="E65" s="514">
        <v>0</v>
      </c>
      <c r="F65" s="540">
        <f>H65*E65</f>
        <v>0</v>
      </c>
      <c r="G65" s="516">
        <f t="shared" si="7"/>
        <v>0</v>
      </c>
      <c r="H65" s="545"/>
      <c r="I65" s="995">
        <f t="shared" si="6"/>
        <v>0</v>
      </c>
      <c r="J65" s="43"/>
      <c r="K65" s="43"/>
      <c r="L65" s="43"/>
      <c r="M65" s="43"/>
    </row>
    <row r="66" spans="1:21" s="282" customFormat="1">
      <c r="A66" s="959">
        <f>+A36+1</f>
        <v>27</v>
      </c>
      <c r="B66" s="43" t="s">
        <v>1357</v>
      </c>
      <c r="C66" s="513"/>
      <c r="D66" s="519"/>
      <c r="E66" s="1262"/>
      <c r="F66" s="928">
        <f>SUM(F37:F65)</f>
        <v>0</v>
      </c>
      <c r="G66" s="996"/>
      <c r="H66" s="515" t="str">
        <f>+"Col. "&amp;F6&amp;" Sum of Line "&amp;A36&amp;" Subparts"</f>
        <v>Col. E Sum of Line 26 Subparts</v>
      </c>
      <c r="I66" s="997"/>
      <c r="J66" s="43"/>
      <c r="K66" s="43"/>
      <c r="L66" s="43"/>
      <c r="M66" s="43"/>
    </row>
    <row r="67" spans="1:21" s="282" customFormat="1" ht="13.5" thickBot="1">
      <c r="A67" s="220">
        <f>A66+1</f>
        <v>28</v>
      </c>
      <c r="B67" s="1629" t="s">
        <v>1699</v>
      </c>
      <c r="C67" s="513"/>
      <c r="D67" s="519"/>
      <c r="E67" s="1262"/>
      <c r="F67" s="1628">
        <f>+G29+G31</f>
        <v>0</v>
      </c>
      <c r="G67" s="523"/>
      <c r="H67" s="1711" t="str">
        <f>+"Col. "&amp;G6&amp;" Line "&amp;A29&amp;" + Line "&amp;A31</f>
        <v>Col. F Line 21 + Line 23</v>
      </c>
      <c r="I67" s="1711"/>
      <c r="J67" s="43"/>
      <c r="K67" s="43"/>
      <c r="L67" s="43"/>
      <c r="M67" s="43"/>
    </row>
    <row r="68" spans="1:21" s="282" customFormat="1" ht="13.5" thickBot="1">
      <c r="A68" s="220">
        <f>A67+1</f>
        <v>29</v>
      </c>
      <c r="B68" s="43" t="s">
        <v>1698</v>
      </c>
      <c r="C68" s="513"/>
      <c r="D68" s="519"/>
      <c r="E68" s="1262"/>
      <c r="F68" s="1627">
        <f>SUM(F66:F67)</f>
        <v>0</v>
      </c>
      <c r="G68" s="515"/>
      <c r="H68" s="515" t="str">
        <f>+"Col. "&amp;F6&amp;" Line "&amp;A66&amp;" + "&amp;A67</f>
        <v>Col. E Line 27 + 28</v>
      </c>
      <c r="I68" s="515"/>
      <c r="J68" s="43"/>
      <c r="K68" s="43"/>
      <c r="L68" s="43"/>
      <c r="M68" s="43"/>
    </row>
    <row r="69" spans="1:21" s="282" customFormat="1">
      <c r="A69" s="44"/>
      <c r="B69" s="43"/>
      <c r="C69" s="43"/>
      <c r="D69" s="43"/>
      <c r="E69" s="43"/>
      <c r="F69" s="43"/>
      <c r="G69" s="43"/>
      <c r="H69" s="43"/>
      <c r="I69" s="43"/>
      <c r="J69" s="43"/>
      <c r="K69" s="43"/>
      <c r="L69" s="43"/>
      <c r="M69" s="43"/>
    </row>
    <row r="70" spans="1:21" s="44" customFormat="1">
      <c r="B70" s="43"/>
      <c r="C70" s="513"/>
      <c r="D70" s="519"/>
      <c r="E70" s="1262"/>
      <c r="F70" s="515"/>
      <c r="G70" s="516"/>
      <c r="H70" s="522"/>
      <c r="I70" s="515"/>
      <c r="J70" s="43"/>
      <c r="K70" s="43"/>
      <c r="L70" s="43"/>
      <c r="M70" s="43"/>
    </row>
    <row r="71" spans="1:21" s="282" customFormat="1">
      <c r="A71" s="44" t="s">
        <v>746</v>
      </c>
      <c r="B71" s="43"/>
      <c r="C71" s="513"/>
      <c r="D71" s="519"/>
      <c r="E71" s="1262"/>
      <c r="F71" s="515"/>
      <c r="G71" s="516"/>
      <c r="H71" s="522"/>
      <c r="I71" s="515"/>
      <c r="J71" s="44"/>
      <c r="K71" s="44"/>
      <c r="L71" s="44"/>
      <c r="M71" s="44"/>
    </row>
    <row r="72" spans="1:21" s="282" customFormat="1" ht="39.6" customHeight="1">
      <c r="A72" s="746">
        <v>1</v>
      </c>
      <c r="B72" s="1709" t="s">
        <v>1666</v>
      </c>
      <c r="C72" s="1709"/>
      <c r="D72" s="1709"/>
      <c r="E72" s="1709"/>
      <c r="F72" s="1709"/>
      <c r="G72" s="1709"/>
      <c r="H72" s="1709"/>
      <c r="I72" s="1709"/>
      <c r="J72" s="44"/>
      <c r="K72" s="44"/>
      <c r="L72" s="44"/>
      <c r="M72" s="44"/>
    </row>
    <row r="73" spans="1:21" s="282" customFormat="1" ht="27" customHeight="1">
      <c r="A73" s="958">
        <v>2</v>
      </c>
      <c r="B73" s="1708" t="s">
        <v>1693</v>
      </c>
      <c r="C73" s="1708"/>
      <c r="D73" s="1708"/>
      <c r="E73" s="1708"/>
      <c r="F73" s="1708"/>
      <c r="G73" s="1708"/>
      <c r="H73" s="1708"/>
      <c r="I73" s="1708"/>
      <c r="J73" s="44"/>
      <c r="K73" s="1712"/>
      <c r="L73" s="1712"/>
      <c r="M73" s="1712"/>
      <c r="N73" s="1712"/>
      <c r="O73" s="1712"/>
      <c r="P73" s="1712"/>
      <c r="Q73" s="1712"/>
      <c r="R73" s="1712"/>
      <c r="S73" s="1712"/>
      <c r="T73" s="1712"/>
      <c r="U73" s="1712"/>
    </row>
    <row r="74" spans="1:21" s="282" customFormat="1" ht="27" customHeight="1">
      <c r="A74" s="746">
        <v>3</v>
      </c>
      <c r="B74" s="1708" t="s">
        <v>911</v>
      </c>
      <c r="C74" s="1708"/>
      <c r="D74" s="1708"/>
      <c r="E74" s="1708"/>
      <c r="F74" s="1708"/>
      <c r="G74" s="1708"/>
      <c r="H74" s="1708"/>
      <c r="I74" s="1708"/>
      <c r="J74" s="44"/>
      <c r="K74" s="44"/>
      <c r="L74" s="44"/>
      <c r="M74" s="44"/>
    </row>
    <row r="75" spans="1:21" s="282" customFormat="1" ht="66" customHeight="1">
      <c r="A75" s="746">
        <v>4</v>
      </c>
      <c r="B75" s="1708" t="s">
        <v>1703</v>
      </c>
      <c r="C75" s="1708"/>
      <c r="D75" s="1708"/>
      <c r="E75" s="1708"/>
      <c r="F75" s="1708"/>
      <c r="G75" s="1708"/>
      <c r="H75" s="1708"/>
      <c r="I75" s="1708"/>
      <c r="J75" s="44"/>
      <c r="K75" s="44"/>
      <c r="L75" s="44"/>
      <c r="M75" s="44"/>
    </row>
    <row r="76" spans="1:21" s="282" customFormat="1" ht="39" customHeight="1">
      <c r="A76" s="596">
        <v>5</v>
      </c>
      <c r="B76" s="1708" t="s">
        <v>1700</v>
      </c>
      <c r="C76" s="1708"/>
      <c r="D76" s="1708"/>
      <c r="E76" s="1708"/>
      <c r="F76" s="1708"/>
      <c r="G76" s="1708"/>
      <c r="H76" s="1708"/>
      <c r="I76" s="1708"/>
      <c r="J76" s="44"/>
      <c r="K76" s="44"/>
      <c r="L76" s="44"/>
      <c r="M76" s="44"/>
    </row>
    <row r="77" spans="1:21" s="282" customFormat="1" ht="79.900000000000006" customHeight="1">
      <c r="A77" s="596">
        <v>6</v>
      </c>
      <c r="B77" s="1708" t="s">
        <v>1701</v>
      </c>
      <c r="C77" s="1708"/>
      <c r="D77" s="1708"/>
      <c r="E77" s="1708"/>
      <c r="F77" s="1708"/>
      <c r="G77" s="1708"/>
      <c r="H77" s="1708"/>
      <c r="I77" s="1708"/>
      <c r="J77" s="44"/>
      <c r="K77" s="44"/>
      <c r="L77" s="44"/>
      <c r="M77" s="44"/>
    </row>
    <row r="78" spans="1:21" s="282" customFormat="1" ht="54.6" customHeight="1">
      <c r="A78" s="1625">
        <v>7</v>
      </c>
      <c r="B78" s="1708" t="s">
        <v>1702</v>
      </c>
      <c r="C78" s="1708"/>
      <c r="D78" s="1708"/>
      <c r="E78" s="1708"/>
      <c r="F78" s="1708"/>
      <c r="G78" s="1708"/>
      <c r="H78" s="1708"/>
      <c r="I78" s="1708"/>
      <c r="J78" s="44"/>
      <c r="K78" s="44"/>
      <c r="L78" s="44"/>
      <c r="M78" s="44"/>
    </row>
    <row r="79" spans="1:21" s="282" customFormat="1">
      <c r="A79" s="787"/>
      <c r="B79" s="1054"/>
      <c r="C79" s="542"/>
      <c r="D79" s="543"/>
      <c r="E79" s="544"/>
      <c r="F79" s="515"/>
      <c r="G79" s="516"/>
      <c r="H79" s="522"/>
      <c r="I79" s="515"/>
      <c r="J79" s="44"/>
      <c r="K79" s="44"/>
      <c r="L79" s="44"/>
      <c r="M79" s="44"/>
    </row>
    <row r="80" spans="1:21" s="282" customFormat="1">
      <c r="A80" s="787"/>
      <c r="B80" s="43"/>
      <c r="C80" s="513"/>
      <c r="D80" s="524"/>
      <c r="E80" s="514"/>
      <c r="F80" s="515"/>
      <c r="G80" s="516"/>
      <c r="H80" s="522"/>
      <c r="I80" s="515"/>
      <c r="J80" s="44"/>
      <c r="K80" s="44"/>
      <c r="L80" s="44"/>
      <c r="M80" s="44"/>
    </row>
    <row r="81" spans="1:13" s="282" customFormat="1">
      <c r="A81" s="44"/>
      <c r="B81" s="43"/>
      <c r="C81" s="513"/>
      <c r="D81" s="524"/>
      <c r="E81" s="514"/>
      <c r="F81" s="515"/>
      <c r="G81" s="516"/>
      <c r="H81" s="522"/>
      <c r="I81" s="515"/>
      <c r="J81" s="44"/>
      <c r="K81" s="44"/>
      <c r="L81" s="44"/>
      <c r="M81" s="44"/>
    </row>
    <row r="82" spans="1:13" s="282" customFormat="1">
      <c r="A82" s="44"/>
      <c r="B82" s="43"/>
      <c r="C82" s="513"/>
      <c r="D82" s="524"/>
      <c r="E82" s="514"/>
      <c r="F82" s="515"/>
      <c r="G82" s="516"/>
      <c r="H82" s="522"/>
      <c r="I82" s="515"/>
      <c r="J82" s="44"/>
      <c r="K82" s="44"/>
      <c r="L82" s="44"/>
      <c r="M82" s="44"/>
    </row>
    <row r="83" spans="1:13" s="282" customFormat="1">
      <c r="A83" s="44"/>
      <c r="B83" s="43"/>
      <c r="C83" s="513"/>
      <c r="D83" s="524"/>
      <c r="E83" s="514"/>
      <c r="F83" s="515"/>
      <c r="G83" s="516"/>
      <c r="H83" s="522"/>
      <c r="I83" s="515"/>
      <c r="J83" s="44"/>
      <c r="K83" s="44"/>
      <c r="L83" s="44"/>
      <c r="M83" s="44"/>
    </row>
    <row r="84" spans="1:13" s="282" customFormat="1">
      <c r="A84" s="44"/>
      <c r="B84" s="43"/>
      <c r="C84" s="513"/>
      <c r="D84" s="524"/>
      <c r="E84" s="514"/>
      <c r="F84" s="515"/>
      <c r="G84" s="516"/>
      <c r="H84" s="522"/>
      <c r="I84" s="515"/>
      <c r="J84" s="44"/>
      <c r="K84" s="44"/>
      <c r="L84" s="44"/>
      <c r="M84" s="44"/>
    </row>
    <row r="85" spans="1:13" s="282" customFormat="1">
      <c r="A85" s="44"/>
      <c r="B85" s="43"/>
      <c r="C85" s="513"/>
      <c r="D85" s="524"/>
      <c r="E85" s="514"/>
      <c r="F85" s="515"/>
      <c r="G85" s="516"/>
      <c r="H85" s="522"/>
      <c r="I85" s="515"/>
      <c r="J85" s="44"/>
      <c r="K85" s="44"/>
      <c r="L85" s="44"/>
      <c r="M85" s="44"/>
    </row>
    <row r="86" spans="1:13" s="282" customFormat="1">
      <c r="A86" s="44"/>
      <c r="B86" s="44"/>
      <c r="C86" s="513"/>
      <c r="D86" s="524"/>
      <c r="E86" s="514"/>
      <c r="F86" s="515"/>
      <c r="G86" s="516"/>
      <c r="H86" s="522"/>
      <c r="I86" s="515"/>
      <c r="J86" s="44"/>
      <c r="K86" s="44"/>
      <c r="L86" s="44"/>
      <c r="M86" s="44"/>
    </row>
    <row r="87" spans="1:13" s="282" customFormat="1">
      <c r="A87" s="44"/>
      <c r="B87" s="44"/>
      <c r="C87" s="513"/>
      <c r="D87" s="524"/>
      <c r="E87" s="514"/>
      <c r="F87" s="515"/>
      <c r="G87" s="516"/>
      <c r="H87" s="522"/>
      <c r="I87" s="515"/>
      <c r="J87" s="44"/>
      <c r="K87" s="44"/>
      <c r="L87" s="44"/>
      <c r="M87" s="44"/>
    </row>
    <row r="88" spans="1:13" s="282" customFormat="1">
      <c r="A88" s="44"/>
      <c r="B88" s="44"/>
      <c r="C88" s="513"/>
      <c r="D88" s="524"/>
      <c r="E88" s="514"/>
      <c r="F88" s="515"/>
      <c r="G88" s="516"/>
      <c r="H88" s="522"/>
      <c r="I88" s="515"/>
      <c r="J88" s="44"/>
      <c r="K88" s="44"/>
      <c r="L88" s="44"/>
      <c r="M88" s="44"/>
    </row>
    <row r="89" spans="1:13" s="282" customFormat="1">
      <c r="A89" s="44"/>
      <c r="B89" s="44"/>
      <c r="C89" s="513"/>
      <c r="D89" s="524"/>
      <c r="E89" s="514"/>
      <c r="F89" s="515"/>
      <c r="G89" s="516"/>
      <c r="H89" s="522"/>
      <c r="I89" s="515"/>
      <c r="J89" s="44"/>
      <c r="K89" s="44"/>
      <c r="L89" s="44"/>
      <c r="M89" s="44"/>
    </row>
    <row r="90" spans="1:13" s="282" customFormat="1">
      <c r="A90" s="44"/>
      <c r="B90" s="44"/>
      <c r="C90" s="513"/>
      <c r="D90" s="524"/>
      <c r="E90" s="514"/>
      <c r="F90" s="515"/>
      <c r="G90" s="516"/>
      <c r="H90" s="522"/>
      <c r="I90" s="515"/>
      <c r="J90" s="44"/>
      <c r="K90" s="44"/>
      <c r="L90" s="44"/>
      <c r="M90" s="44"/>
    </row>
    <row r="91" spans="1:13" s="282" customFormat="1">
      <c r="A91" s="44"/>
      <c r="B91" s="44"/>
      <c r="C91" s="513"/>
      <c r="D91" s="524"/>
      <c r="E91" s="514"/>
      <c r="F91" s="515"/>
      <c r="G91" s="516"/>
      <c r="H91" s="522"/>
      <c r="I91" s="515"/>
      <c r="J91" s="44"/>
      <c r="K91" s="44"/>
      <c r="L91" s="44"/>
      <c r="M91" s="44"/>
    </row>
    <row r="92" spans="1:13" s="282" customFormat="1">
      <c r="A92" s="44"/>
      <c r="B92" s="44"/>
      <c r="C92" s="513"/>
      <c r="D92" s="524"/>
      <c r="E92" s="514"/>
      <c r="F92" s="515"/>
      <c r="G92" s="516"/>
      <c r="H92" s="522"/>
      <c r="I92" s="515"/>
      <c r="J92" s="44"/>
      <c r="K92" s="44"/>
      <c r="L92" s="44"/>
      <c r="M92" s="44"/>
    </row>
    <row r="93" spans="1:13" s="282" customFormat="1">
      <c r="A93" s="44"/>
      <c r="B93" s="44"/>
      <c r="C93" s="513"/>
      <c r="D93" s="524"/>
      <c r="E93" s="514"/>
      <c r="F93" s="515"/>
      <c r="G93" s="516"/>
      <c r="H93" s="522"/>
      <c r="I93" s="515"/>
      <c r="J93" s="44"/>
      <c r="K93" s="44"/>
      <c r="L93" s="44"/>
      <c r="M93" s="44"/>
    </row>
    <row r="94" spans="1:13" s="282" customFormat="1">
      <c r="A94" s="44"/>
      <c r="B94" s="44"/>
      <c r="C94" s="513"/>
      <c r="D94" s="524"/>
      <c r="E94" s="514"/>
      <c r="F94" s="515"/>
      <c r="G94" s="516"/>
      <c r="H94" s="522"/>
      <c r="I94" s="515"/>
      <c r="J94" s="44"/>
      <c r="K94" s="44"/>
      <c r="L94" s="44"/>
      <c r="M94" s="44"/>
    </row>
    <row r="95" spans="1:13" s="282" customFormat="1">
      <c r="A95" s="44"/>
      <c r="B95" s="44"/>
      <c r="C95" s="513"/>
      <c r="D95" s="524"/>
      <c r="E95" s="514"/>
      <c r="F95" s="515"/>
      <c r="G95" s="516"/>
      <c r="H95" s="522"/>
      <c r="I95" s="515"/>
      <c r="J95" s="44"/>
      <c r="K95" s="44"/>
      <c r="L95" s="44"/>
      <c r="M95" s="44"/>
    </row>
    <row r="96" spans="1:13" s="282" customFormat="1">
      <c r="A96" s="44"/>
      <c r="B96" s="44"/>
      <c r="C96" s="513"/>
      <c r="D96" s="524"/>
      <c r="E96" s="514"/>
      <c r="F96" s="515"/>
      <c r="G96" s="516"/>
      <c r="H96" s="522"/>
      <c r="I96" s="515"/>
      <c r="J96" s="44"/>
      <c r="K96" s="44"/>
      <c r="L96" s="44"/>
      <c r="M96" s="44"/>
    </row>
    <row r="97" spans="1:38" s="282" customFormat="1">
      <c r="A97" s="44"/>
      <c r="B97" s="44"/>
      <c r="C97" s="513"/>
      <c r="D97" s="524"/>
      <c r="E97" s="514"/>
      <c r="F97" s="515"/>
      <c r="G97" s="516"/>
      <c r="H97" s="522"/>
      <c r="I97" s="515"/>
      <c r="J97" s="44"/>
      <c r="K97" s="44"/>
      <c r="L97" s="44"/>
      <c r="M97" s="44"/>
    </row>
    <row r="98" spans="1:38" s="282" customFormat="1">
      <c r="A98" s="44"/>
      <c r="B98" s="44"/>
      <c r="C98" s="513"/>
      <c r="D98" s="524"/>
      <c r="E98" s="514"/>
      <c r="F98" s="515"/>
      <c r="G98" s="516"/>
      <c r="H98" s="522"/>
      <c r="I98" s="515"/>
      <c r="J98" s="44"/>
      <c r="K98" s="44"/>
      <c r="L98" s="44"/>
      <c r="M98" s="44"/>
    </row>
    <row r="99" spans="1:38" s="282" customFormat="1">
      <c r="A99" s="44"/>
      <c r="B99" s="44"/>
      <c r="C99" s="513"/>
      <c r="D99" s="524"/>
      <c r="E99" s="514"/>
      <c r="F99" s="515"/>
      <c r="G99" s="516"/>
      <c r="H99" s="522"/>
      <c r="I99" s="515"/>
      <c r="J99" s="44"/>
      <c r="K99" s="44"/>
      <c r="L99" s="44"/>
      <c r="M99" s="44"/>
    </row>
    <row r="100" spans="1:38" s="282" customFormat="1">
      <c r="A100" s="44"/>
      <c r="B100" s="44"/>
      <c r="C100" s="513"/>
      <c r="D100" s="524"/>
      <c r="E100" s="514"/>
      <c r="F100" s="515"/>
      <c r="G100" s="516"/>
      <c r="H100" s="522"/>
      <c r="I100" s="515"/>
      <c r="J100" s="44"/>
      <c r="K100" s="44"/>
      <c r="L100" s="44"/>
      <c r="M100" s="44"/>
    </row>
    <row r="101" spans="1:38" s="282" customFormat="1">
      <c r="A101" s="44"/>
      <c r="B101" s="44"/>
      <c r="C101" s="513"/>
      <c r="D101" s="524"/>
      <c r="E101" s="514"/>
      <c r="F101" s="515"/>
      <c r="G101" s="516"/>
      <c r="H101" s="522"/>
      <c r="I101" s="515"/>
      <c r="J101" s="44"/>
      <c r="K101" s="44"/>
      <c r="L101" s="44"/>
      <c r="M101" s="44"/>
    </row>
    <row r="102" spans="1:38">
      <c r="C102" s="513"/>
      <c r="D102" s="524"/>
      <c r="E102" s="514"/>
      <c r="F102" s="515"/>
      <c r="G102" s="516"/>
      <c r="H102" s="522"/>
      <c r="I102" s="515"/>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row>
    <row r="103" spans="1:38">
      <c r="C103" s="513"/>
      <c r="D103" s="524"/>
      <c r="E103" s="514"/>
      <c r="F103" s="515"/>
      <c r="G103" s="516"/>
      <c r="H103" s="522"/>
      <c r="I103" s="515"/>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row>
    <row r="104" spans="1:38">
      <c r="C104" s="513"/>
      <c r="D104" s="524"/>
      <c r="E104" s="514"/>
      <c r="F104" s="515"/>
      <c r="G104" s="516"/>
      <c r="H104" s="522"/>
      <c r="I104" s="515"/>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row>
    <row r="105" spans="1:38">
      <c r="C105" s="513"/>
      <c r="D105" s="524"/>
      <c r="E105" s="514"/>
      <c r="F105" s="515"/>
      <c r="G105" s="516"/>
      <c r="H105" s="522"/>
      <c r="I105" s="515"/>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row>
    <row r="106" spans="1:38">
      <c r="C106" s="513"/>
      <c r="D106" s="524"/>
      <c r="E106" s="514"/>
      <c r="F106" s="515"/>
      <c r="G106" s="516"/>
      <c r="H106" s="522"/>
      <c r="I106" s="515"/>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row>
    <row r="107" spans="1:38">
      <c r="C107" s="513"/>
      <c r="D107" s="524"/>
      <c r="E107" s="514"/>
      <c r="F107" s="515"/>
      <c r="G107" s="516"/>
      <c r="H107" s="522"/>
      <c r="I107" s="515"/>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row>
    <row r="108" spans="1:38">
      <c r="C108" s="513"/>
      <c r="D108" s="524"/>
      <c r="E108" s="514"/>
      <c r="F108" s="515"/>
      <c r="G108" s="516"/>
      <c r="H108" s="522"/>
      <c r="I108" s="515"/>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row>
    <row r="109" spans="1:38">
      <c r="C109" s="513"/>
      <c r="D109" s="524"/>
      <c r="E109" s="514"/>
      <c r="F109" s="515"/>
      <c r="G109" s="516"/>
      <c r="H109" s="522"/>
      <c r="I109" s="515"/>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row>
    <row r="110" spans="1:38">
      <c r="B110" s="66"/>
      <c r="C110" s="513"/>
      <c r="D110" s="524"/>
      <c r="E110" s="514"/>
      <c r="F110" s="515"/>
      <c r="G110" s="516"/>
      <c r="H110" s="522"/>
      <c r="I110" s="515"/>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row>
    <row r="111" spans="1:38">
      <c r="A111" s="66"/>
      <c r="B111" s="66"/>
      <c r="C111" s="513"/>
      <c r="D111" s="524"/>
      <c r="E111" s="514"/>
      <c r="F111" s="515"/>
      <c r="G111" s="516"/>
      <c r="H111" s="522"/>
      <c r="I111" s="515"/>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row>
    <row r="112" spans="1:38">
      <c r="A112" s="66"/>
      <c r="B112" s="66"/>
      <c r="C112" s="513"/>
      <c r="D112" s="524"/>
      <c r="E112" s="514"/>
      <c r="F112" s="515"/>
      <c r="G112" s="516"/>
      <c r="H112" s="522"/>
      <c r="I112" s="515"/>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row>
    <row r="113" spans="1:38">
      <c r="A113" s="66"/>
      <c r="B113" s="66"/>
      <c r="C113" s="513"/>
      <c r="D113" s="524"/>
      <c r="E113" s="514"/>
      <c r="F113" s="515"/>
      <c r="G113" s="516"/>
      <c r="H113" s="522"/>
      <c r="I113" s="515"/>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row>
    <row r="114" spans="1:38">
      <c r="A114" s="66"/>
      <c r="B114" s="66"/>
      <c r="C114" s="513"/>
      <c r="D114" s="524"/>
      <c r="E114" s="514"/>
      <c r="F114" s="515"/>
      <c r="G114" s="516"/>
      <c r="H114" s="522"/>
      <c r="I114" s="515"/>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row>
    <row r="115" spans="1:38">
      <c r="A115" s="66"/>
      <c r="B115" s="66"/>
      <c r="C115" s="513"/>
      <c r="D115" s="524"/>
      <c r="E115" s="514"/>
      <c r="F115" s="515"/>
      <c r="G115" s="516"/>
      <c r="H115" s="522"/>
      <c r="I115" s="515"/>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row>
    <row r="116" spans="1:38">
      <c r="A116" s="66"/>
      <c r="B116" s="66"/>
      <c r="C116" s="513"/>
      <c r="D116" s="524"/>
      <c r="E116" s="514"/>
      <c r="F116" s="515"/>
      <c r="G116" s="516"/>
      <c r="H116" s="522"/>
      <c r="I116" s="515"/>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row>
    <row r="117" spans="1:38">
      <c r="A117" s="66"/>
      <c r="B117" s="66"/>
      <c r="C117" s="513"/>
      <c r="D117" s="524"/>
      <c r="E117" s="514"/>
      <c r="F117" s="515"/>
      <c r="G117" s="516"/>
      <c r="H117" s="522"/>
      <c r="I117" s="515"/>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row>
    <row r="118" spans="1:38">
      <c r="A118" s="66"/>
      <c r="B118" s="66"/>
      <c r="C118" s="513"/>
      <c r="D118" s="524"/>
      <c r="E118" s="514"/>
      <c r="F118" s="515"/>
      <c r="G118" s="516"/>
      <c r="H118" s="522"/>
      <c r="I118" s="515"/>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row>
    <row r="119" spans="1:38">
      <c r="A119" s="66"/>
      <c r="B119" s="66"/>
      <c r="C119" s="513"/>
      <c r="D119" s="524"/>
      <c r="E119" s="514"/>
      <c r="F119" s="515"/>
      <c r="G119" s="516"/>
      <c r="H119" s="522"/>
      <c r="I119" s="515"/>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row>
    <row r="120" spans="1:38">
      <c r="A120" s="66"/>
      <c r="B120" s="66"/>
      <c r="C120" s="513"/>
      <c r="D120" s="524"/>
      <c r="E120" s="514"/>
      <c r="F120" s="515"/>
      <c r="G120" s="516"/>
      <c r="H120" s="522"/>
      <c r="I120" s="515"/>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row>
    <row r="121" spans="1:38">
      <c r="A121" s="66"/>
      <c r="B121" s="66"/>
      <c r="C121" s="513"/>
      <c r="D121" s="524"/>
      <c r="E121" s="514"/>
      <c r="F121" s="515"/>
      <c r="G121" s="516"/>
      <c r="H121" s="522"/>
      <c r="I121" s="515"/>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row>
    <row r="122" spans="1:38">
      <c r="A122" s="66"/>
      <c r="B122" s="66"/>
      <c r="C122" s="513"/>
      <c r="D122" s="524"/>
      <c r="E122" s="514"/>
      <c r="F122" s="515"/>
      <c r="G122" s="516"/>
      <c r="H122" s="522"/>
      <c r="I122" s="515"/>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row>
    <row r="123" spans="1:38">
      <c r="A123" s="66"/>
      <c r="B123" s="66"/>
      <c r="F123" s="525"/>
      <c r="G123" s="525"/>
      <c r="H123" s="525"/>
      <c r="I123" s="525"/>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row>
    <row r="124" spans="1:38">
      <c r="A124" s="66"/>
      <c r="B124" s="66"/>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row>
    <row r="125" spans="1:38">
      <c r="A125" s="66"/>
      <c r="B125" s="66"/>
      <c r="F125" s="526"/>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row>
    <row r="126" spans="1:38">
      <c r="A126" s="66"/>
      <c r="B126" s="66"/>
      <c r="C126" s="66"/>
      <c r="D126" s="66"/>
      <c r="E126" s="66"/>
      <c r="F126" s="526"/>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row>
    <row r="127" spans="1:38">
      <c r="A127" s="66"/>
      <c r="B127" s="66"/>
      <c r="C127" s="66"/>
      <c r="D127" s="66"/>
      <c r="E127" s="66"/>
      <c r="F127" s="525"/>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row>
    <row r="128" spans="1:38">
      <c r="A128" s="66"/>
      <c r="B128" s="66"/>
      <c r="C128" s="66"/>
      <c r="D128" s="66"/>
      <c r="E128" s="66"/>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row>
    <row r="129" spans="1:38">
      <c r="A129" s="66"/>
      <c r="B129" s="66"/>
      <c r="C129" s="66"/>
      <c r="D129" s="66"/>
      <c r="E129" s="66"/>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row>
    <row r="130" spans="1:38">
      <c r="A130" s="66"/>
      <c r="B130" s="66"/>
      <c r="C130" s="66"/>
      <c r="D130" s="66"/>
      <c r="E130" s="66"/>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row>
    <row r="131" spans="1:38">
      <c r="A131" s="66"/>
      <c r="B131" s="66"/>
      <c r="C131" s="66"/>
      <c r="D131" s="66"/>
      <c r="E131" s="66"/>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row>
    <row r="132" spans="1:38">
      <c r="A132" s="66"/>
      <c r="B132" s="66"/>
      <c r="C132" s="66"/>
      <c r="D132" s="66"/>
      <c r="E132" s="66"/>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row>
    <row r="133" spans="1:38">
      <c r="A133" s="66"/>
      <c r="B133" s="66"/>
      <c r="C133" s="66"/>
      <c r="D133" s="66"/>
      <c r="E133" s="66"/>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row>
    <row r="134" spans="1:38">
      <c r="A134" s="66"/>
      <c r="B134" s="66"/>
      <c r="C134" s="66"/>
      <c r="D134" s="66"/>
      <c r="E134" s="66"/>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row>
    <row r="135" spans="1:38">
      <c r="A135" s="66"/>
      <c r="B135" s="66"/>
      <c r="C135" s="66"/>
      <c r="D135" s="66"/>
      <c r="E135" s="66"/>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row>
    <row r="136" spans="1:38">
      <c r="A136" s="66"/>
      <c r="B136" s="66"/>
      <c r="C136" s="66"/>
      <c r="D136" s="66"/>
      <c r="E136" s="66"/>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row>
    <row r="137" spans="1:38">
      <c r="A137" s="66"/>
      <c r="B137" s="66"/>
      <c r="C137" s="66"/>
      <c r="D137" s="66"/>
      <c r="E137" s="66"/>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row>
    <row r="138" spans="1:38">
      <c r="A138" s="66"/>
      <c r="B138" s="66"/>
      <c r="C138" s="66"/>
      <c r="D138" s="66"/>
      <c r="E138" s="66"/>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row>
    <row r="139" spans="1:38">
      <c r="A139" s="66"/>
      <c r="B139" s="66"/>
      <c r="C139" s="66"/>
      <c r="D139" s="66"/>
      <c r="E139" s="66"/>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row>
    <row r="140" spans="1:38">
      <c r="A140" s="66"/>
      <c r="B140" s="66"/>
      <c r="C140" s="66"/>
      <c r="D140" s="66"/>
      <c r="E140" s="66"/>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row>
    <row r="141" spans="1:38">
      <c r="A141" s="66"/>
      <c r="B141" s="66"/>
      <c r="C141" s="66"/>
      <c r="D141" s="66"/>
      <c r="E141" s="66"/>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row>
    <row r="142" spans="1:38">
      <c r="A142" s="66"/>
      <c r="B142" s="66"/>
      <c r="C142" s="66"/>
      <c r="D142" s="66"/>
      <c r="E142" s="66"/>
      <c r="F142" s="66"/>
      <c r="G142" s="66"/>
      <c r="H142" s="66"/>
      <c r="I142" s="66"/>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row>
    <row r="143" spans="1:38">
      <c r="A143" s="66"/>
      <c r="B143" s="66"/>
      <c r="C143" s="66"/>
      <c r="D143" s="66"/>
      <c r="E143" s="66"/>
      <c r="F143" s="66"/>
      <c r="G143" s="66"/>
      <c r="H143" s="66"/>
      <c r="I143" s="66"/>
      <c r="J143" s="66"/>
      <c r="K143" s="66"/>
      <c r="L143" s="66"/>
      <c r="M143" s="66"/>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row>
    <row r="144" spans="1:38">
      <c r="A144" s="66"/>
      <c r="B144" s="66"/>
      <c r="C144" s="66"/>
      <c r="D144" s="66"/>
      <c r="E144" s="66"/>
      <c r="F144" s="66"/>
      <c r="G144" s="66"/>
      <c r="H144" s="66"/>
      <c r="I144" s="66"/>
      <c r="J144" s="66"/>
      <c r="K144" s="66"/>
      <c r="L144" s="66"/>
      <c r="M144" s="66"/>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row>
    <row r="145" spans="1:38">
      <c r="A145" s="66"/>
      <c r="B145" s="66"/>
      <c r="C145" s="66"/>
      <c r="D145" s="66"/>
      <c r="E145" s="66"/>
      <c r="F145" s="66"/>
      <c r="G145" s="66"/>
      <c r="H145" s="66"/>
      <c r="I145" s="66"/>
      <c r="J145" s="66"/>
      <c r="K145" s="66"/>
      <c r="L145" s="66"/>
      <c r="M145" s="66"/>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row>
    <row r="146" spans="1:38">
      <c r="A146" s="66"/>
      <c r="B146" s="66"/>
      <c r="C146" s="66"/>
      <c r="D146" s="66"/>
      <c r="E146" s="66"/>
      <c r="F146" s="66"/>
      <c r="G146" s="66"/>
      <c r="H146" s="66"/>
      <c r="I146" s="66"/>
      <c r="J146" s="66"/>
      <c r="K146" s="66"/>
      <c r="L146" s="66"/>
      <c r="M146" s="66"/>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row>
    <row r="147" spans="1:38">
      <c r="A147" s="66"/>
      <c r="B147" s="66"/>
      <c r="C147" s="66"/>
      <c r="D147" s="66"/>
      <c r="E147" s="66"/>
      <c r="F147" s="66"/>
      <c r="G147" s="66"/>
      <c r="H147" s="66"/>
      <c r="I147" s="66"/>
      <c r="J147" s="66"/>
      <c r="K147" s="66"/>
      <c r="L147" s="66"/>
      <c r="M147" s="66"/>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row>
    <row r="148" spans="1:38">
      <c r="A148" s="66"/>
      <c r="B148" s="66"/>
      <c r="C148" s="66"/>
      <c r="D148" s="66"/>
      <c r="E148" s="66"/>
      <c r="F148" s="66"/>
      <c r="G148" s="66"/>
      <c r="H148" s="66"/>
      <c r="I148" s="66"/>
      <c r="J148" s="66"/>
      <c r="K148" s="66"/>
      <c r="L148" s="66"/>
      <c r="M148" s="66"/>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row>
    <row r="149" spans="1:38">
      <c r="A149" s="66"/>
      <c r="B149" s="66"/>
      <c r="C149" s="66"/>
      <c r="D149" s="66"/>
      <c r="E149" s="66"/>
      <c r="F149" s="66"/>
      <c r="G149" s="66"/>
      <c r="H149" s="66"/>
      <c r="I149" s="66"/>
      <c r="J149" s="66"/>
      <c r="K149" s="66"/>
      <c r="L149" s="66"/>
      <c r="M149" s="66"/>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row>
    <row r="150" spans="1:38">
      <c r="A150" s="66"/>
      <c r="B150" s="66"/>
      <c r="C150" s="66"/>
      <c r="D150" s="66"/>
      <c r="E150" s="66"/>
      <c r="F150" s="66"/>
      <c r="G150" s="66"/>
      <c r="H150" s="66"/>
      <c r="I150" s="66"/>
      <c r="J150" s="66"/>
      <c r="K150" s="66"/>
      <c r="L150" s="66"/>
      <c r="M150" s="66"/>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row>
    <row r="151" spans="1:38">
      <c r="A151" s="66"/>
      <c r="B151" s="66"/>
      <c r="C151" s="66"/>
      <c r="D151" s="66"/>
      <c r="E151" s="66"/>
      <c r="F151" s="66"/>
      <c r="G151" s="66"/>
      <c r="H151" s="66"/>
      <c r="I151" s="66"/>
      <c r="J151" s="66"/>
      <c r="K151" s="66"/>
      <c r="L151" s="66"/>
      <c r="M151" s="66"/>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row>
    <row r="152" spans="1:38">
      <c r="A152" s="66"/>
      <c r="B152" s="66"/>
      <c r="C152" s="66"/>
      <c r="D152" s="66"/>
      <c r="E152" s="66"/>
      <c r="F152" s="66"/>
      <c r="G152" s="66"/>
      <c r="H152" s="66"/>
      <c r="I152" s="66"/>
      <c r="J152" s="66"/>
      <c r="K152" s="66"/>
      <c r="L152" s="66"/>
      <c r="M152" s="66"/>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row>
    <row r="153" spans="1:38">
      <c r="A153" s="66"/>
      <c r="B153" s="66"/>
      <c r="C153" s="66"/>
      <c r="D153" s="66"/>
      <c r="E153" s="66"/>
      <c r="F153" s="66"/>
      <c r="G153" s="66"/>
      <c r="H153" s="66"/>
      <c r="I153" s="66"/>
      <c r="J153" s="66"/>
      <c r="K153" s="66"/>
      <c r="L153" s="66"/>
      <c r="M153" s="66"/>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row>
    <row r="154" spans="1:38">
      <c r="A154" s="66"/>
      <c r="B154" s="66"/>
      <c r="C154" s="66"/>
      <c r="D154" s="66"/>
      <c r="E154" s="66"/>
      <c r="F154" s="66"/>
      <c r="G154" s="66"/>
      <c r="H154" s="66"/>
      <c r="I154" s="66"/>
      <c r="J154" s="66"/>
      <c r="K154" s="66"/>
      <c r="L154" s="66"/>
      <c r="M154" s="66"/>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row>
    <row r="155" spans="1:38">
      <c r="A155" s="66"/>
      <c r="B155" s="66"/>
      <c r="C155" s="66"/>
      <c r="D155" s="66"/>
      <c r="E155" s="66"/>
      <c r="F155" s="66"/>
      <c r="G155" s="66"/>
      <c r="H155" s="66"/>
      <c r="I155" s="66"/>
      <c r="J155" s="66"/>
      <c r="K155" s="66"/>
      <c r="L155" s="66"/>
      <c r="M155" s="66"/>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row>
    <row r="156" spans="1:38">
      <c r="A156" s="66"/>
      <c r="B156" s="66"/>
      <c r="C156" s="66"/>
      <c r="D156" s="66"/>
      <c r="E156" s="66"/>
      <c r="F156" s="66"/>
      <c r="G156" s="66"/>
      <c r="H156" s="66"/>
      <c r="I156" s="66"/>
      <c r="J156" s="66"/>
      <c r="K156" s="66"/>
      <c r="L156" s="66"/>
      <c r="M156" s="66"/>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row>
    <row r="157" spans="1:38">
      <c r="A157" s="66"/>
      <c r="B157" s="66"/>
      <c r="C157" s="66"/>
      <c r="D157" s="66"/>
      <c r="E157" s="66"/>
      <c r="F157" s="66"/>
      <c r="G157" s="66"/>
      <c r="H157" s="66"/>
      <c r="I157" s="66"/>
      <c r="J157" s="66"/>
      <c r="K157" s="66"/>
      <c r="L157" s="66"/>
      <c r="M157" s="66"/>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row>
    <row r="158" spans="1:38">
      <c r="A158" s="66"/>
      <c r="J158" s="66"/>
      <c r="K158" s="66"/>
      <c r="L158" s="66"/>
      <c r="M158" s="66"/>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row>
    <row r="159" spans="1:38" s="245" customFormat="1">
      <c r="A159" s="44"/>
      <c r="B159" s="44"/>
      <c r="C159" s="43"/>
      <c r="D159" s="44"/>
      <c r="E159" s="44"/>
      <c r="F159" s="44"/>
      <c r="G159" s="44"/>
      <c r="H159" s="44"/>
      <c r="I159" s="44"/>
      <c r="J159" s="44"/>
      <c r="K159" s="44"/>
      <c r="L159" s="44"/>
      <c r="M159" s="44"/>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row>
    <row r="160" spans="1:38">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row>
    <row r="161" spans="1:38">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row>
    <row r="162" spans="1:38">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row>
    <row r="163" spans="1:38">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row>
    <row r="164" spans="1:38">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row>
    <row r="165" spans="1:38">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row>
    <row r="166" spans="1:38">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row>
    <row r="167" spans="1:38">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row>
    <row r="168" spans="1:38">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row>
    <row r="169" spans="1:38">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row>
    <row r="170" spans="1:38">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row>
    <row r="171" spans="1:38">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row>
    <row r="172" spans="1:38">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row>
    <row r="173" spans="1:38">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row>
    <row r="174" spans="1:38">
      <c r="B174" s="66"/>
      <c r="C174" s="66"/>
      <c r="D174" s="66"/>
      <c r="E174" s="66"/>
      <c r="F174" s="66"/>
      <c r="G174" s="66"/>
      <c r="H174" s="66"/>
      <c r="I174" s="66"/>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row>
    <row r="175" spans="1:38">
      <c r="A175" s="66"/>
      <c r="B175" s="66"/>
      <c r="C175" s="66"/>
      <c r="D175" s="66"/>
      <c r="E175" s="66"/>
      <c r="F175" s="66"/>
      <c r="G175" s="66"/>
      <c r="H175" s="66"/>
      <c r="I175" s="66"/>
      <c r="J175" s="66"/>
      <c r="K175" s="66"/>
      <c r="L175" s="66"/>
      <c r="M175" s="66"/>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row>
    <row r="176" spans="1:38">
      <c r="A176" s="66"/>
      <c r="B176" s="66"/>
      <c r="C176" s="66"/>
      <c r="D176" s="66"/>
      <c r="E176" s="66"/>
      <c r="F176" s="66"/>
      <c r="G176" s="66"/>
      <c r="H176" s="66"/>
      <c r="I176" s="66"/>
      <c r="J176" s="66"/>
      <c r="K176" s="66"/>
      <c r="L176" s="66"/>
      <c r="M176" s="66"/>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row>
    <row r="177" spans="1:38">
      <c r="A177" s="66"/>
      <c r="B177" s="66"/>
      <c r="C177" s="66"/>
      <c r="D177" s="66"/>
      <c r="E177" s="66"/>
      <c r="F177" s="66"/>
      <c r="G177" s="66"/>
      <c r="H177" s="66"/>
      <c r="I177" s="66"/>
      <c r="J177" s="66"/>
      <c r="K177" s="66"/>
      <c r="L177" s="66"/>
      <c r="M177" s="66"/>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row>
    <row r="178" spans="1:38">
      <c r="A178" s="66"/>
      <c r="B178" s="66"/>
      <c r="C178" s="66"/>
      <c r="D178" s="66"/>
      <c r="E178" s="66"/>
      <c r="F178" s="66"/>
      <c r="G178" s="66"/>
      <c r="H178" s="66"/>
      <c r="I178" s="66"/>
      <c r="J178" s="66"/>
      <c r="K178" s="66"/>
      <c r="L178" s="66"/>
      <c r="M178" s="66"/>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row>
    <row r="179" spans="1:38">
      <c r="A179" s="66"/>
      <c r="J179" s="66"/>
      <c r="K179" s="66"/>
      <c r="L179" s="66"/>
      <c r="M179" s="66"/>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row>
  </sheetData>
  <mergeCells count="15">
    <mergeCell ref="B77:I77"/>
    <mergeCell ref="B78:I78"/>
    <mergeCell ref="K73:U73"/>
    <mergeCell ref="B76:I76"/>
    <mergeCell ref="H9:I9"/>
    <mergeCell ref="B75:I75"/>
    <mergeCell ref="A1:I1"/>
    <mergeCell ref="A2:I2"/>
    <mergeCell ref="A4:I4"/>
    <mergeCell ref="A3:I3"/>
    <mergeCell ref="B74:I74"/>
    <mergeCell ref="B72:I72"/>
    <mergeCell ref="B73:I73"/>
    <mergeCell ref="B24:F24"/>
    <mergeCell ref="H67:I67"/>
  </mergeCells>
  <printOptions horizontalCentered="1"/>
  <pageMargins left="0.7" right="0.7" top="0.7" bottom="0.7" header="0.3" footer="0.5"/>
  <pageSetup scale="89" fitToHeight="2" orientation="portrait" r:id="rId1"/>
  <headerFooter>
    <oddFooter>&amp;CPage &amp;P of &amp;N&amp;R&amp;A</oddFooter>
  </headerFooter>
  <rowBreaks count="1" manualBreakCount="1">
    <brk id="3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71"/>
  <sheetViews>
    <sheetView zoomScale="80" zoomScaleNormal="80" zoomScaleSheetLayoutView="70" workbookViewId="0">
      <pane xSplit="1" ySplit="5" topLeftCell="B6" activePane="bottomRight" state="frozen"/>
      <selection pane="topRight"/>
      <selection pane="bottomLeft"/>
      <selection pane="bottomRight" activeCell="A7" sqref="A7:I168"/>
    </sheetView>
  </sheetViews>
  <sheetFormatPr defaultColWidth="9.140625" defaultRowHeight="12.75"/>
  <cols>
    <col min="1" max="1" width="5.85546875" style="606" bestFit="1" customWidth="1"/>
    <col min="2" max="2" width="2.7109375" style="66" customWidth="1"/>
    <col min="3" max="3" width="68.140625" style="66" customWidth="1"/>
    <col min="4" max="4" width="15.7109375" style="66" customWidth="1"/>
    <col min="5" max="5" width="16.7109375" style="66" customWidth="1"/>
    <col min="6" max="6" width="14.5703125" style="66" customWidth="1"/>
    <col min="7" max="7" width="12.42578125" style="66" bestFit="1" customWidth="1"/>
    <col min="8" max="8" width="14.85546875" style="66" customWidth="1"/>
    <col min="9" max="9" width="32.28515625" style="734" bestFit="1" customWidth="1"/>
    <col min="10" max="10" width="18.28515625" style="66" customWidth="1"/>
    <col min="11" max="11" width="18.85546875" style="66" customWidth="1"/>
    <col min="12" max="12" width="16.5703125" style="82" customWidth="1"/>
    <col min="13" max="13" width="15.140625" style="82" customWidth="1"/>
    <col min="14" max="14" width="17.85546875" style="82" customWidth="1"/>
    <col min="15" max="15" width="17.85546875" style="66" customWidth="1"/>
    <col min="16" max="16" width="15.7109375" style="66" customWidth="1"/>
    <col min="17" max="17" width="4.140625" style="66" customWidth="1"/>
    <col min="18" max="18" width="17.85546875" style="66" customWidth="1"/>
    <col min="19" max="19" width="15.7109375" style="66" customWidth="1"/>
    <col min="20" max="20" width="23" style="66" customWidth="1"/>
    <col min="21" max="16384" width="9.140625" style="66"/>
  </cols>
  <sheetData>
    <row r="1" spans="1:14">
      <c r="A1" s="1714" t="str">
        <f>+'MISO Cover'!C6</f>
        <v>Entergy Arkansas, Inc.</v>
      </c>
      <c r="B1" s="1714"/>
      <c r="C1" s="1714"/>
      <c r="D1" s="1714"/>
      <c r="E1" s="1714"/>
      <c r="F1" s="1714"/>
      <c r="G1" s="1714"/>
      <c r="H1" s="1714"/>
      <c r="I1" s="1714"/>
      <c r="J1" s="861"/>
      <c r="K1" s="195"/>
      <c r="L1" s="195"/>
      <c r="M1" s="195"/>
    </row>
    <row r="2" spans="1:14">
      <c r="A2" s="1706" t="s">
        <v>1177</v>
      </c>
      <c r="B2" s="1706"/>
      <c r="C2" s="1706"/>
      <c r="D2" s="1706"/>
      <c r="E2" s="1706"/>
      <c r="F2" s="1706"/>
      <c r="G2" s="1706"/>
      <c r="H2" s="1706"/>
      <c r="I2" s="1706"/>
      <c r="J2" s="195"/>
      <c r="K2" s="195"/>
      <c r="L2" s="195"/>
      <c r="M2" s="195"/>
    </row>
    <row r="3" spans="1:14">
      <c r="A3" s="1714" t="str">
        <f>+'MISO Cover'!K4</f>
        <v>For  the 12 Months Ended 12/31/2014</v>
      </c>
      <c r="B3" s="1714"/>
      <c r="C3" s="1714"/>
      <c r="D3" s="1714"/>
      <c r="E3" s="1714"/>
      <c r="F3" s="1714"/>
      <c r="G3" s="1714"/>
      <c r="H3" s="1714"/>
      <c r="I3" s="1714"/>
      <c r="J3" s="195"/>
      <c r="K3" s="195"/>
      <c r="L3" s="195"/>
      <c r="M3" s="195"/>
    </row>
    <row r="4" spans="1:14">
      <c r="A4" s="657"/>
      <c r="B4" s="657"/>
      <c r="C4" s="657"/>
      <c r="D4" s="657"/>
      <c r="E4" s="657"/>
      <c r="F4" s="657"/>
      <c r="G4" s="657"/>
      <c r="H4" s="657"/>
      <c r="I4" s="40"/>
      <c r="J4" s="633"/>
      <c r="K4" s="234"/>
      <c r="L4" s="234"/>
      <c r="M4" s="234"/>
    </row>
    <row r="5" spans="1:14" s="245" customFormat="1">
      <c r="A5" s="607" t="s">
        <v>663</v>
      </c>
      <c r="B5" s="245" t="s">
        <v>261</v>
      </c>
      <c r="C5" s="245" t="s">
        <v>309</v>
      </c>
      <c r="D5" s="245" t="s">
        <v>249</v>
      </c>
      <c r="E5" s="245" t="s">
        <v>262</v>
      </c>
      <c r="F5" s="245" t="s">
        <v>260</v>
      </c>
      <c r="G5" s="245" t="s">
        <v>351</v>
      </c>
      <c r="H5" s="245" t="s">
        <v>263</v>
      </c>
      <c r="I5" s="245" t="s">
        <v>364</v>
      </c>
      <c r="J5" s="634"/>
      <c r="L5" s="253"/>
      <c r="M5" s="253"/>
      <c r="N5" s="253"/>
    </row>
    <row r="6" spans="1:14" s="245" customFormat="1">
      <c r="A6" s="607"/>
      <c r="I6" s="734"/>
      <c r="J6" s="634"/>
      <c r="L6" s="253"/>
      <c r="M6" s="253"/>
      <c r="N6" s="253"/>
    </row>
    <row r="7" spans="1:14">
      <c r="A7" s="930">
        <v>1</v>
      </c>
      <c r="B7" s="1631" t="s">
        <v>280</v>
      </c>
      <c r="C7" s="661"/>
      <c r="D7" s="662"/>
      <c r="E7" s="662"/>
      <c r="F7" s="663"/>
      <c r="G7" s="665"/>
      <c r="H7" s="666"/>
      <c r="I7" s="735"/>
      <c r="J7" s="634"/>
      <c r="K7" s="245"/>
      <c r="L7" s="253"/>
      <c r="M7" s="253"/>
    </row>
    <row r="8" spans="1:14">
      <c r="A8" s="931">
        <f>+A7+1</f>
        <v>2</v>
      </c>
      <c r="B8" s="44"/>
      <c r="C8" s="44"/>
      <c r="D8" s="243"/>
      <c r="E8" s="81"/>
      <c r="F8" s="81"/>
      <c r="G8" s="81"/>
      <c r="H8" s="81"/>
    </row>
    <row r="9" spans="1:14" ht="13.15" customHeight="1">
      <c r="A9" s="931">
        <f>+A8+1</f>
        <v>3</v>
      </c>
      <c r="B9" s="658" t="s">
        <v>281</v>
      </c>
      <c r="C9" s="289"/>
      <c r="D9" s="558"/>
      <c r="E9" s="82"/>
      <c r="F9" s="82"/>
      <c r="G9" s="82"/>
      <c r="H9" s="82"/>
      <c r="J9" s="1056"/>
    </row>
    <row r="10" spans="1:14">
      <c r="A10" s="930">
        <f>+A9+1</f>
        <v>4</v>
      </c>
      <c r="C10" s="75" t="s">
        <v>1269</v>
      </c>
      <c r="D10" s="283"/>
      <c r="E10" s="82"/>
      <c r="F10" s="82"/>
      <c r="G10" s="82"/>
      <c r="H10" s="82"/>
      <c r="I10" s="235"/>
    </row>
    <row r="11" spans="1:14">
      <c r="A11" s="932">
        <f>+A10+0.1</f>
        <v>4.0999999999999996</v>
      </c>
      <c r="C11" s="608" t="s">
        <v>1266</v>
      </c>
      <c r="D11" s="283">
        <f>+'WP10 Storm'!D45</f>
        <v>285875.21000000002</v>
      </c>
      <c r="E11" s="82"/>
      <c r="F11" s="82"/>
      <c r="G11" s="282"/>
      <c r="H11" s="282"/>
      <c r="I11" s="235" t="str">
        <f>+"WP10 Storm Ln "&amp;'WP10 Storm'!A45&amp;" Col. "&amp;'WP10 Storm'!$D$6</f>
        <v>WP10 Storm Ln 8 Col. C</v>
      </c>
    </row>
    <row r="12" spans="1:14">
      <c r="A12" s="932">
        <f>+A11+0.1</f>
        <v>4.1999999999999993</v>
      </c>
      <c r="C12" s="608" t="s">
        <v>1236</v>
      </c>
      <c r="D12" s="283">
        <f>'WP AJ1 MISO'!H61</f>
        <v>-452.84712152894326</v>
      </c>
      <c r="E12" s="82"/>
      <c r="F12" s="82"/>
      <c r="G12" s="282"/>
      <c r="H12" s="282"/>
      <c r="I12" s="235" t="str">
        <f>+"WP AJ1 MISO Ln "&amp;'WP AJ1 MISO'!A61&amp;" Col. "&amp;'WP AJ1 MISO'!H$8</f>
        <v>WP AJ1 MISO Ln 8 Col. G</v>
      </c>
      <c r="J12" s="929"/>
    </row>
    <row r="13" spans="1:14">
      <c r="A13" s="932">
        <f>+A12+0.1</f>
        <v>4.2999999999999989</v>
      </c>
      <c r="C13" s="608" t="s">
        <v>1721</v>
      </c>
      <c r="D13" s="283">
        <f>-'WP AJ2 ITC'!E47</f>
        <v>-13211.760000000002</v>
      </c>
      <c r="E13" s="82"/>
      <c r="F13" s="82"/>
      <c r="G13" s="282"/>
      <c r="H13" s="282"/>
      <c r="I13" s="235" t="str">
        <f>"WP AJ2 ITC Ln "&amp;'WP AJ2 ITC'!A47&amp;" Col. "&amp;'WP AJ2 ITC'!E$6</f>
        <v>WP AJ2 ITC Ln 8 Col. C</v>
      </c>
      <c r="J13" s="929"/>
    </row>
    <row r="14" spans="1:14" s="1011" customFormat="1" ht="12.75" customHeight="1">
      <c r="A14" s="932">
        <f>+A13+0.1</f>
        <v>4.3999999999999986</v>
      </c>
      <c r="B14" s="81"/>
      <c r="C14" s="1428" t="s">
        <v>1396</v>
      </c>
      <c r="D14" s="283">
        <v>0</v>
      </c>
      <c r="E14" s="282"/>
      <c r="F14" s="282"/>
      <c r="G14" s="282"/>
      <c r="H14" s="282"/>
      <c r="I14" s="235" t="s">
        <v>1395</v>
      </c>
      <c r="J14" s="929"/>
      <c r="L14" s="1012"/>
      <c r="M14" s="1012"/>
      <c r="N14" s="1012"/>
    </row>
    <row r="15" spans="1:14" s="1011" customFormat="1">
      <c r="A15" s="1435">
        <f>+A14+0.1</f>
        <v>4.4999999999999982</v>
      </c>
      <c r="B15" s="1436"/>
      <c r="C15" s="1434" t="s">
        <v>1507</v>
      </c>
      <c r="D15" s="208"/>
      <c r="E15" s="282"/>
      <c r="F15" s="282"/>
      <c r="G15" s="282"/>
      <c r="H15" s="282"/>
      <c r="I15" s="1433"/>
      <c r="J15" s="929"/>
      <c r="L15" s="1012"/>
      <c r="M15" s="1012"/>
      <c r="N15" s="1012"/>
    </row>
    <row r="16" spans="1:14" s="1011" customFormat="1">
      <c r="A16" s="1435" t="s">
        <v>1497</v>
      </c>
      <c r="B16" s="1436"/>
      <c r="C16" s="1434" t="s">
        <v>1507</v>
      </c>
      <c r="D16" s="208"/>
      <c r="E16" s="282"/>
      <c r="F16" s="282"/>
      <c r="G16" s="282"/>
      <c r="H16" s="282"/>
      <c r="I16" s="1433"/>
      <c r="J16" s="929"/>
      <c r="L16" s="1012"/>
      <c r="M16" s="1012"/>
      <c r="N16" s="1012"/>
    </row>
    <row r="17" spans="1:14" s="1011" customFormat="1">
      <c r="A17" s="1435" t="str">
        <f>+A10&amp;".x"</f>
        <v>4.x</v>
      </c>
      <c r="B17" s="1436"/>
      <c r="C17" s="1434" t="s">
        <v>1507</v>
      </c>
      <c r="D17" s="278"/>
      <c r="E17" s="282"/>
      <c r="F17" s="282"/>
      <c r="G17" s="282"/>
      <c r="H17" s="282"/>
      <c r="I17" s="1433"/>
      <c r="J17" s="929"/>
      <c r="L17" s="1012"/>
      <c r="M17" s="1012"/>
      <c r="N17" s="1012"/>
    </row>
    <row r="18" spans="1:14">
      <c r="A18" s="930">
        <f>+A10+1</f>
        <v>5</v>
      </c>
      <c r="C18" s="762" t="str">
        <f>+"Total "&amp;+C10</f>
        <v>Total Adjustments to Transmission Wages Expense (1) (2)</v>
      </c>
      <c r="D18" s="283">
        <f>SUM(D11:D17)</f>
        <v>272210.60287847108</v>
      </c>
      <c r="E18" s="282"/>
      <c r="F18" s="282"/>
      <c r="G18" s="282"/>
      <c r="H18" s="282"/>
      <c r="I18" s="1233" t="str">
        <f>+"Sum Ln "&amp;A10&amp;" Subparts"</f>
        <v>Sum Ln 4 Subparts</v>
      </c>
      <c r="J18" s="929"/>
    </row>
    <row r="19" spans="1:14">
      <c r="A19" s="930">
        <f>+A18+1</f>
        <v>6</v>
      </c>
      <c r="C19" s="45"/>
      <c r="D19" s="1058"/>
      <c r="E19" s="282"/>
      <c r="F19" s="282"/>
      <c r="G19" s="282"/>
      <c r="H19" s="282"/>
      <c r="I19" s="235"/>
      <c r="J19" s="929"/>
    </row>
    <row r="20" spans="1:14">
      <c r="A20" s="930">
        <f>+A19+1</f>
        <v>7</v>
      </c>
      <c r="C20" s="75" t="s">
        <v>1275</v>
      </c>
      <c r="D20" s="283"/>
      <c r="E20" s="282"/>
      <c r="F20" s="282"/>
      <c r="G20" s="282"/>
      <c r="H20" s="282"/>
      <c r="I20" s="235"/>
      <c r="J20" s="929"/>
    </row>
    <row r="21" spans="1:14">
      <c r="A21" s="932">
        <f>+A20+0.1</f>
        <v>7.1</v>
      </c>
      <c r="C21" s="608" t="s">
        <v>1266</v>
      </c>
      <c r="D21" s="283">
        <f>+'WP10 Storm'!D59</f>
        <v>285875.21000000002</v>
      </c>
      <c r="E21" s="282"/>
      <c r="F21" s="282"/>
      <c r="G21" s="282"/>
      <c r="H21" s="282"/>
      <c r="I21" s="235" t="str">
        <f>+"WP10 Storm Ln "&amp;'WP10 Storm'!A59&amp;" Col. "&amp;'WP10 Storm'!$D$6</f>
        <v>WP10 Storm Ln 22 Col. C</v>
      </c>
      <c r="J21" s="929"/>
    </row>
    <row r="22" spans="1:14">
      <c r="A22" s="932">
        <f>+A21+0.1</f>
        <v>7.1999999999999993</v>
      </c>
      <c r="C22" s="608" t="s">
        <v>1267</v>
      </c>
      <c r="D22" s="283">
        <f>'WP AJ1 MISO'!H75</f>
        <v>-12556.232618620068</v>
      </c>
      <c r="E22" s="282"/>
      <c r="F22" s="282"/>
      <c r="G22" s="282"/>
      <c r="H22" s="282"/>
      <c r="I22" s="235" t="str">
        <f>+"WP AJ1 MISO Ln "&amp;'WP AJ1 MISO'!A75&amp;" Col. "&amp;'WP AJ1 MISO'!H$8</f>
        <v>WP AJ1 MISO Ln 22 Col. G</v>
      </c>
      <c r="J22" s="929"/>
    </row>
    <row r="23" spans="1:14">
      <c r="A23" s="932">
        <f>+A22+0.1</f>
        <v>7.2999999999999989</v>
      </c>
      <c r="C23" s="608" t="s">
        <v>1723</v>
      </c>
      <c r="D23" s="283">
        <f>-'WP AJ2 ITC'!E61</f>
        <v>-113585.87</v>
      </c>
      <c r="E23" s="282"/>
      <c r="F23" s="282"/>
      <c r="G23" s="282"/>
      <c r="H23" s="282"/>
      <c r="I23" s="235" t="str">
        <f>"WP AJ2 ITC Ln "&amp;'WP AJ2 ITC'!A61&amp;" Col. "&amp;'WP AJ2 ITC'!E$6</f>
        <v>WP AJ2 ITC Ln 22 Col. C</v>
      </c>
      <c r="J23" s="929"/>
    </row>
    <row r="24" spans="1:14" s="1011" customFormat="1">
      <c r="A24" s="932">
        <f>+A23+0.1</f>
        <v>7.3999999999999986</v>
      </c>
      <c r="B24" s="81"/>
      <c r="C24" s="1428" t="s">
        <v>1396</v>
      </c>
      <c r="D24" s="283">
        <v>0</v>
      </c>
      <c r="E24" s="282"/>
      <c r="F24" s="282"/>
      <c r="G24" s="282"/>
      <c r="H24" s="282"/>
      <c r="I24" s="235" t="s">
        <v>1395</v>
      </c>
      <c r="J24" s="929"/>
      <c r="L24" s="1012"/>
      <c r="M24" s="1012"/>
      <c r="N24" s="1012"/>
    </row>
    <row r="25" spans="1:14" s="1011" customFormat="1">
      <c r="A25" s="1435">
        <f>+A24+0.1</f>
        <v>7.4999999999999982</v>
      </c>
      <c r="B25" s="1436"/>
      <c r="C25" s="1434" t="s">
        <v>1507</v>
      </c>
      <c r="D25" s="208"/>
      <c r="E25" s="282"/>
      <c r="F25" s="282"/>
      <c r="G25" s="282"/>
      <c r="H25" s="282"/>
      <c r="I25" s="1433"/>
      <c r="J25" s="929"/>
      <c r="L25" s="1012"/>
      <c r="M25" s="1012"/>
      <c r="N25" s="1012"/>
    </row>
    <row r="26" spans="1:14" s="1011" customFormat="1">
      <c r="A26" s="1435" t="s">
        <v>1497</v>
      </c>
      <c r="B26" s="1436"/>
      <c r="C26" s="1434" t="s">
        <v>1507</v>
      </c>
      <c r="D26" s="208"/>
      <c r="E26" s="282"/>
      <c r="F26" s="282"/>
      <c r="G26" s="282"/>
      <c r="H26" s="282"/>
      <c r="I26" s="1433"/>
      <c r="J26" s="929"/>
      <c r="L26" s="1012"/>
      <c r="M26" s="1012"/>
      <c r="N26" s="1012"/>
    </row>
    <row r="27" spans="1:14" s="1011" customFormat="1">
      <c r="A27" s="1435" t="str">
        <f>+A20&amp;".x"</f>
        <v>7.x</v>
      </c>
      <c r="B27" s="1436"/>
      <c r="C27" s="1434" t="s">
        <v>1507</v>
      </c>
      <c r="D27" s="278"/>
      <c r="E27" s="282"/>
      <c r="F27" s="282"/>
      <c r="G27" s="282"/>
      <c r="H27" s="282"/>
      <c r="I27" s="1433"/>
      <c r="J27" s="929"/>
      <c r="L27" s="1012"/>
      <c r="M27" s="1012"/>
      <c r="N27" s="1012"/>
    </row>
    <row r="28" spans="1:14">
      <c r="A28" s="930">
        <f>+A20+1</f>
        <v>8</v>
      </c>
      <c r="C28" s="762" t="str">
        <f>+"Total "&amp;+C20</f>
        <v>Total Adjustment to Total Wages Expense (1) (2)</v>
      </c>
      <c r="D28" s="283">
        <f>SUM(D21:D27)</f>
        <v>159733.10738137993</v>
      </c>
      <c r="E28" s="282"/>
      <c r="F28" s="282"/>
      <c r="G28" s="282"/>
      <c r="H28" s="282"/>
      <c r="I28" s="1287" t="str">
        <f>+"Sum Ln "&amp;A20&amp;" Subparts"</f>
        <v>Sum Ln 7 Subparts</v>
      </c>
      <c r="J28" s="929"/>
    </row>
    <row r="29" spans="1:14">
      <c r="A29" s="930">
        <f>+A28+1</f>
        <v>9</v>
      </c>
      <c r="D29" s="283"/>
      <c r="E29" s="282"/>
      <c r="F29" s="282"/>
      <c r="G29" s="282"/>
      <c r="H29" s="282"/>
      <c r="I29" s="235"/>
      <c r="J29" s="929"/>
    </row>
    <row r="30" spans="1:14">
      <c r="A30" s="930">
        <f>+A29+1</f>
        <v>10</v>
      </c>
      <c r="C30" s="75" t="s">
        <v>1270</v>
      </c>
      <c r="D30" s="283"/>
      <c r="E30" s="282"/>
      <c r="F30" s="282"/>
      <c r="G30" s="282"/>
      <c r="H30" s="282"/>
      <c r="I30" s="235"/>
      <c r="J30" s="929"/>
    </row>
    <row r="31" spans="1:14">
      <c r="A31" s="932">
        <f>+A30+0.1</f>
        <v>10.1</v>
      </c>
      <c r="C31" s="608" t="s">
        <v>1266</v>
      </c>
      <c r="D31" s="283">
        <f>+'WP10 Storm'!D58</f>
        <v>0</v>
      </c>
      <c r="E31" s="282"/>
      <c r="F31" s="282"/>
      <c r="G31" s="282"/>
      <c r="H31" s="282"/>
      <c r="I31" s="235" t="str">
        <f>+"WP10 Storm Ln "&amp;'WP10 Storm'!A58&amp;" Col. "&amp;'WP10 Storm'!$D$6</f>
        <v>WP10 Storm Ln 21 Col. C</v>
      </c>
      <c r="J31" s="929"/>
    </row>
    <row r="32" spans="1:14">
      <c r="A32" s="932">
        <f>+A31+0.1</f>
        <v>10.199999999999999</v>
      </c>
      <c r="C32" s="608" t="s">
        <v>1267</v>
      </c>
      <c r="D32" s="283">
        <f>'WP AJ1 MISO'!H74</f>
        <v>-7944.6575457942909</v>
      </c>
      <c r="E32" s="282"/>
      <c r="F32" s="282"/>
      <c r="G32" s="282"/>
      <c r="H32" s="282"/>
      <c r="I32" s="235" t="str">
        <f>+"WP AJ1 MISO Ln "&amp;'WP AJ1 MISO'!A74&amp;" Col. "&amp;'WP AJ1 MISO'!H$8</f>
        <v>WP AJ1 MISO Ln 21 Col. G</v>
      </c>
      <c r="J32" s="929"/>
    </row>
    <row r="33" spans="1:14">
      <c r="A33" s="932">
        <f>+A32+0.1</f>
        <v>10.299999999999999</v>
      </c>
      <c r="C33" s="608" t="s">
        <v>1722</v>
      </c>
      <c r="D33" s="283">
        <f>-'WP AJ2 ITC'!E60</f>
        <v>-96090.099999999991</v>
      </c>
      <c r="E33" s="282"/>
      <c r="F33" s="282"/>
      <c r="G33" s="282"/>
      <c r="H33" s="282"/>
      <c r="I33" s="235" t="str">
        <f>"WP AJ2 ITC Ln "&amp;'WP AJ2 ITC'!A60&amp;" Col. "&amp;'WP AJ2 ITC'!E$6</f>
        <v>WP AJ2 ITC Ln 21 Col. C</v>
      </c>
      <c r="J33" s="929"/>
    </row>
    <row r="34" spans="1:14" s="1011" customFormat="1">
      <c r="A34" s="932">
        <f>+A33+0.1</f>
        <v>10.399999999999999</v>
      </c>
      <c r="B34" s="81"/>
      <c r="C34" s="1428" t="s">
        <v>1396</v>
      </c>
      <c r="D34" s="283">
        <v>0</v>
      </c>
      <c r="E34" s="282"/>
      <c r="F34" s="282"/>
      <c r="G34" s="282"/>
      <c r="H34" s="282"/>
      <c r="I34" s="235" t="s">
        <v>1395</v>
      </c>
      <c r="J34" s="929"/>
      <c r="L34" s="1012"/>
      <c r="M34" s="1012"/>
      <c r="N34" s="1012"/>
    </row>
    <row r="35" spans="1:14" s="1011" customFormat="1">
      <c r="A35" s="1435">
        <f>+A34+0.1</f>
        <v>10.499999999999998</v>
      </c>
      <c r="B35" s="1436"/>
      <c r="C35" s="1434" t="s">
        <v>1507</v>
      </c>
      <c r="D35" s="208"/>
      <c r="E35" s="282"/>
      <c r="F35" s="282"/>
      <c r="G35" s="282"/>
      <c r="H35" s="282"/>
      <c r="I35" s="1433"/>
      <c r="J35" s="929"/>
      <c r="L35" s="1012"/>
      <c r="M35" s="1012"/>
      <c r="N35" s="1012"/>
    </row>
    <row r="36" spans="1:14" s="1011" customFormat="1">
      <c r="A36" s="1435" t="s">
        <v>1497</v>
      </c>
      <c r="B36" s="1436"/>
      <c r="C36" s="1434" t="s">
        <v>1507</v>
      </c>
      <c r="D36" s="208"/>
      <c r="E36" s="282"/>
      <c r="F36" s="282"/>
      <c r="G36" s="282"/>
      <c r="H36" s="282"/>
      <c r="I36" s="1433"/>
      <c r="J36" s="929"/>
      <c r="L36" s="1012"/>
      <c r="M36" s="1012"/>
      <c r="N36" s="1012"/>
    </row>
    <row r="37" spans="1:14" s="1011" customFormat="1">
      <c r="A37" s="1435" t="str">
        <f>+A30&amp;".x"</f>
        <v>10.x</v>
      </c>
      <c r="B37" s="1436"/>
      <c r="C37" s="1434" t="s">
        <v>1507</v>
      </c>
      <c r="D37" s="278"/>
      <c r="E37" s="282"/>
      <c r="F37" s="282"/>
      <c r="G37" s="282"/>
      <c r="H37" s="282"/>
      <c r="I37" s="1433"/>
      <c r="J37" s="929"/>
      <c r="L37" s="1012"/>
      <c r="M37" s="1012"/>
      <c r="N37" s="1012"/>
    </row>
    <row r="38" spans="1:14">
      <c r="A38" s="930">
        <f>+A30+1</f>
        <v>11</v>
      </c>
      <c r="C38" s="762" t="str">
        <f>+"Total "&amp;+C30</f>
        <v>Total Adjustment to A&amp;G Wages Expense (1) (2)</v>
      </c>
      <c r="D38" s="283">
        <f>SUM(D31:D37)</f>
        <v>-104034.75754579429</v>
      </c>
      <c r="E38" s="282"/>
      <c r="F38" s="282"/>
      <c r="G38" s="282"/>
      <c r="H38" s="282"/>
      <c r="I38" s="1287" t="str">
        <f>+"Sum Ln "&amp;A30&amp;" Subparts"</f>
        <v>Sum Ln 10 Subparts</v>
      </c>
      <c r="J38" s="929"/>
    </row>
    <row r="39" spans="1:14">
      <c r="A39" s="930">
        <f>+A38+1</f>
        <v>12</v>
      </c>
      <c r="B39" s="284"/>
      <c r="D39" s="270"/>
      <c r="I39" s="235"/>
      <c r="J39" s="929"/>
    </row>
    <row r="40" spans="1:14">
      <c r="A40" s="930">
        <f>+A39+1</f>
        <v>13</v>
      </c>
      <c r="B40" s="664" t="s">
        <v>302</v>
      </c>
      <c r="C40" s="661"/>
      <c r="D40" s="662"/>
      <c r="E40" s="662"/>
      <c r="F40" s="663"/>
      <c r="G40" s="665"/>
      <c r="H40" s="666"/>
      <c r="I40" s="735"/>
      <c r="J40" s="929"/>
      <c r="K40" s="245"/>
      <c r="L40" s="253"/>
      <c r="M40" s="253"/>
    </row>
    <row r="41" spans="1:14">
      <c r="A41" s="930">
        <f>+A40+1</f>
        <v>14</v>
      </c>
      <c r="B41" s="245" t="s">
        <v>261</v>
      </c>
      <c r="C41" s="245" t="s">
        <v>309</v>
      </c>
      <c r="D41" s="245" t="s">
        <v>249</v>
      </c>
      <c r="E41" s="245" t="s">
        <v>262</v>
      </c>
      <c r="F41" s="245" t="s">
        <v>260</v>
      </c>
      <c r="G41" s="245" t="s">
        <v>351</v>
      </c>
      <c r="H41" s="245" t="s">
        <v>263</v>
      </c>
      <c r="I41" s="245" t="s">
        <v>364</v>
      </c>
    </row>
    <row r="42" spans="1:14" ht="13.15" customHeight="1">
      <c r="A42" s="930">
        <f>+A41+1</f>
        <v>15</v>
      </c>
      <c r="B42" s="75" t="s">
        <v>1383</v>
      </c>
      <c r="C42" s="289"/>
      <c r="D42" s="611" t="s">
        <v>986</v>
      </c>
      <c r="E42" s="611" t="s">
        <v>950</v>
      </c>
      <c r="F42" s="611" t="s">
        <v>331</v>
      </c>
      <c r="G42" s="611" t="s">
        <v>354</v>
      </c>
      <c r="H42" s="611" t="s">
        <v>339</v>
      </c>
      <c r="I42" s="736" t="s">
        <v>335</v>
      </c>
    </row>
    <row r="43" spans="1:14">
      <c r="A43" s="930">
        <v>16</v>
      </c>
      <c r="C43" s="86" t="s">
        <v>926</v>
      </c>
      <c r="D43" s="212"/>
      <c r="E43" s="213"/>
      <c r="F43" s="213"/>
      <c r="G43" s="282"/>
      <c r="H43" s="282"/>
    </row>
    <row r="44" spans="1:14">
      <c r="A44" s="932">
        <f>+A43+0.1</f>
        <v>16.100000000000001</v>
      </c>
      <c r="B44" s="284"/>
      <c r="C44" s="608" t="s">
        <v>922</v>
      </c>
      <c r="D44" s="283">
        <f>'WP20 Reserves'!Q8</f>
        <v>48665823.506153837</v>
      </c>
      <c r="E44" s="294">
        <f t="shared" ref="E44:E49" si="0">+D44</f>
        <v>48665823.506153837</v>
      </c>
      <c r="F44" s="213"/>
      <c r="G44" s="192"/>
      <c r="H44" s="82"/>
      <c r="I44" s="235" t="str">
        <f>+"WP20 Reserves Ln "&amp;'WP20 Reserves'!A8&amp;" Col. "&amp;'WP20 Reserves'!Q$5</f>
        <v>WP20 Reserves Ln 2.01 Col. P</v>
      </c>
    </row>
    <row r="45" spans="1:14">
      <c r="A45" s="932">
        <f>+A44+0.1</f>
        <v>16.200000000000003</v>
      </c>
      <c r="B45" s="284"/>
      <c r="C45" s="608" t="s">
        <v>1100</v>
      </c>
      <c r="D45" s="283">
        <f>'WP20 Reserves'!Q9</f>
        <v>3407242.5438461537</v>
      </c>
      <c r="E45" s="294">
        <f t="shared" si="0"/>
        <v>3407242.5438461537</v>
      </c>
      <c r="F45" s="213"/>
      <c r="G45" s="192"/>
      <c r="H45" s="82"/>
      <c r="I45" s="235" t="str">
        <f>+"WP20 Reserves Ln "&amp;'WP20 Reserves'!A9&amp;" Col. "&amp;'WP20 Reserves'!Q$5</f>
        <v>WP20 Reserves Ln 2.02 Col. P</v>
      </c>
    </row>
    <row r="46" spans="1:14">
      <c r="A46" s="932">
        <f t="shared" ref="A46:A50" si="1">+A45+0.1</f>
        <v>16.300000000000004</v>
      </c>
      <c r="B46" s="284"/>
      <c r="C46" s="608" t="s">
        <v>923</v>
      </c>
      <c r="D46" s="283">
        <f>'WP20 Reserves'!Q10</f>
        <v>0</v>
      </c>
      <c r="E46" s="294">
        <f t="shared" si="0"/>
        <v>0</v>
      </c>
      <c r="F46" s="213"/>
      <c r="G46" s="192"/>
      <c r="H46" s="82"/>
      <c r="I46" s="235" t="str">
        <f>+"WP20 Reserves Ln "&amp;'WP20 Reserves'!A10&amp;" Col. "&amp;'WP20 Reserves'!Q$5</f>
        <v>WP20 Reserves Ln 2.03 Col. P</v>
      </c>
    </row>
    <row r="47" spans="1:14">
      <c r="A47" s="932">
        <f t="shared" si="1"/>
        <v>16.400000000000006</v>
      </c>
      <c r="B47" s="284"/>
      <c r="C47" s="608" t="s">
        <v>924</v>
      </c>
      <c r="D47" s="283">
        <f>'WP20 Reserves'!Q11</f>
        <v>0</v>
      </c>
      <c r="E47" s="294">
        <f t="shared" si="0"/>
        <v>0</v>
      </c>
      <c r="F47" s="213"/>
      <c r="G47" s="192"/>
      <c r="H47" s="82"/>
      <c r="I47" s="235" t="str">
        <f>+"WP20 Reserves Ln "&amp;'WP20 Reserves'!A11&amp;" Col. "&amp;'WP20 Reserves'!Q$5</f>
        <v>WP20 Reserves Ln 2.04 Col. P</v>
      </c>
    </row>
    <row r="48" spans="1:14">
      <c r="A48" s="932">
        <f t="shared" si="1"/>
        <v>16.500000000000007</v>
      </c>
      <c r="B48" s="284"/>
      <c r="C48" s="608" t="s">
        <v>1300</v>
      </c>
      <c r="D48" s="283">
        <f>'WP20 Reserves'!Q12</f>
        <v>0</v>
      </c>
      <c r="E48" s="294">
        <f t="shared" si="0"/>
        <v>0</v>
      </c>
      <c r="F48" s="213"/>
      <c r="G48" s="192"/>
      <c r="H48" s="82"/>
      <c r="I48" s="235" t="str">
        <f>+"WP20 Reserves Ln "&amp;'WP20 Reserves'!A12&amp;" Col. "&amp;'WP20 Reserves'!Q$5</f>
        <v>WP20 Reserves Ln 2.05 Col. P</v>
      </c>
    </row>
    <row r="49" spans="1:15">
      <c r="A49" s="932">
        <f t="shared" si="1"/>
        <v>16.600000000000009</v>
      </c>
      <c r="B49" s="284"/>
      <c r="C49" s="608" t="s">
        <v>947</v>
      </c>
      <c r="D49" s="283">
        <f>'WP20 Reserves'!Q13</f>
        <v>-52073066.050000004</v>
      </c>
      <c r="E49" s="294">
        <f t="shared" si="0"/>
        <v>-52073066.050000004</v>
      </c>
      <c r="F49" s="213"/>
      <c r="G49" s="294"/>
      <c r="H49" s="82"/>
      <c r="I49" s="235" t="str">
        <f>+"WP20 Reserves Ln "&amp;'WP20 Reserves'!A13&amp;" Col. "&amp;'WP20 Reserves'!Q$5</f>
        <v>WP20 Reserves Ln 2.06 Col. P</v>
      </c>
    </row>
    <row r="50" spans="1:15">
      <c r="A50" s="932">
        <f t="shared" si="1"/>
        <v>16.70000000000001</v>
      </c>
      <c r="B50" s="284"/>
      <c r="C50" s="608" t="s">
        <v>925</v>
      </c>
      <c r="D50" s="283">
        <f>'WP20 Reserves'!Q14</f>
        <v>0</v>
      </c>
      <c r="E50" s="192">
        <f>D50</f>
        <v>0</v>
      </c>
      <c r="F50" s="213"/>
      <c r="G50" s="192"/>
      <c r="H50" s="82"/>
      <c r="I50" s="235" t="str">
        <f>+"WP20 Reserves Ln "&amp;'WP20 Reserves'!A14&amp;" Col. "&amp;'WP20 Reserves'!Q$5</f>
        <v>WP20 Reserves Ln 2.07 Col. P</v>
      </c>
    </row>
    <row r="51" spans="1:15" s="1011" customFormat="1">
      <c r="A51" s="1435">
        <f>+A50+0.1</f>
        <v>16.800000000000011</v>
      </c>
      <c r="B51" s="1436"/>
      <c r="C51" s="1434" t="s">
        <v>1507</v>
      </c>
      <c r="D51" s="208"/>
      <c r="E51" s="1432"/>
      <c r="F51" s="1432"/>
      <c r="G51" s="1432"/>
      <c r="H51" s="1432"/>
      <c r="I51" s="1433"/>
      <c r="J51" s="929"/>
      <c r="L51" s="1012"/>
      <c r="M51" s="1012"/>
      <c r="N51" s="1012"/>
    </row>
    <row r="52" spans="1:15" s="1011" customFormat="1">
      <c r="A52" s="1435" t="s">
        <v>1497</v>
      </c>
      <c r="B52" s="1436"/>
      <c r="C52" s="1434" t="s">
        <v>1507</v>
      </c>
      <c r="D52" s="208"/>
      <c r="E52" s="1432"/>
      <c r="F52" s="1432"/>
      <c r="G52" s="1432"/>
      <c r="H52" s="1432"/>
      <c r="I52" s="1433"/>
      <c r="J52" s="929"/>
      <c r="L52" s="1012"/>
      <c r="M52" s="1012"/>
      <c r="N52" s="1012"/>
    </row>
    <row r="53" spans="1:15" s="1011" customFormat="1">
      <c r="A53" s="1435" t="str">
        <f>+A43&amp;".x"</f>
        <v>16.x</v>
      </c>
      <c r="B53" s="1436"/>
      <c r="C53" s="1434" t="s">
        <v>1507</v>
      </c>
      <c r="D53" s="278"/>
      <c r="E53" s="1437"/>
      <c r="F53" s="1437"/>
      <c r="G53" s="1437"/>
      <c r="H53" s="1437"/>
      <c r="I53" s="1433"/>
      <c r="J53" s="929"/>
      <c r="L53" s="1012"/>
      <c r="M53" s="1012"/>
      <c r="N53" s="1012"/>
    </row>
    <row r="54" spans="1:15" s="933" customFormat="1">
      <c r="A54" s="1102">
        <f>+A43+1</f>
        <v>17</v>
      </c>
      <c r="B54" s="284"/>
      <c r="C54" s="998" t="str">
        <f>+"2281 Total "&amp;C43</f>
        <v>2281 Total Accumulated Provision for Property Insurance</v>
      </c>
      <c r="D54" s="283">
        <f>SUM(D44:D53)</f>
        <v>-1.4901161193847656E-8</v>
      </c>
      <c r="E54" s="218">
        <f t="shared" ref="E54:H54" si="2">SUM(E44:E53)</f>
        <v>-1.4901161193847656E-8</v>
      </c>
      <c r="F54" s="218">
        <f t="shared" si="2"/>
        <v>0</v>
      </c>
      <c r="G54" s="218">
        <f t="shared" si="2"/>
        <v>0</v>
      </c>
      <c r="H54" s="218">
        <f t="shared" si="2"/>
        <v>0</v>
      </c>
      <c r="I54" s="1053" t="str">
        <f>+"Sum Ln "&amp;A43&amp;" Subparts"</f>
        <v>Sum Ln 16 Subparts</v>
      </c>
      <c r="J54" s="66"/>
      <c r="L54" s="934"/>
      <c r="M54" s="934"/>
      <c r="N54" s="934"/>
    </row>
    <row r="55" spans="1:15">
      <c r="A55" s="930">
        <f>+A54+1</f>
        <v>18</v>
      </c>
      <c r="C55" s="284" t="s">
        <v>946</v>
      </c>
      <c r="D55" s="214"/>
      <c r="E55" s="82"/>
      <c r="F55" s="213"/>
      <c r="G55" s="192"/>
      <c r="H55" s="82"/>
      <c r="N55" s="282"/>
      <c r="O55" s="81"/>
    </row>
    <row r="56" spans="1:15">
      <c r="A56" s="932">
        <f>+A55+0.1</f>
        <v>18.100000000000001</v>
      </c>
      <c r="B56" s="81"/>
      <c r="C56" s="1438" t="s">
        <v>948</v>
      </c>
      <c r="D56" s="283">
        <f>'WP20 Reserves'!Q15</f>
        <v>-2736215.9723076923</v>
      </c>
      <c r="E56" s="82"/>
      <c r="F56" s="213"/>
      <c r="G56" s="282"/>
      <c r="H56" s="192">
        <f>+D56</f>
        <v>-2736215.9723076923</v>
      </c>
      <c r="I56" s="235" t="str">
        <f>+"WP20 Reserves Ln "&amp;'WP20 Reserves'!A15&amp;" Col. "&amp;'WP20 Reserves'!Q$5</f>
        <v>WP20 Reserves Ln 2.08 Col. P</v>
      </c>
    </row>
    <row r="57" spans="1:15">
      <c r="A57" s="932">
        <f>+A56+0.1</f>
        <v>18.200000000000003</v>
      </c>
      <c r="B57" s="81"/>
      <c r="C57" s="1438" t="s">
        <v>949</v>
      </c>
      <c r="D57" s="283">
        <f>'WP20 Reserves'!Q16</f>
        <v>-1300429.3515384619</v>
      </c>
      <c r="E57" s="82"/>
      <c r="F57" s="213"/>
      <c r="G57" s="282"/>
      <c r="H57" s="192">
        <f>+D57</f>
        <v>-1300429.3515384619</v>
      </c>
      <c r="I57" s="235" t="str">
        <f>+"WP20 Reserves Ln "&amp;'WP20 Reserves'!A16&amp;" Col. "&amp;'WP20 Reserves'!Q$5</f>
        <v>WP20 Reserves Ln 2.09 Col. P</v>
      </c>
      <c r="N57" s="282"/>
      <c r="O57" s="81"/>
    </row>
    <row r="58" spans="1:15" s="1011" customFormat="1">
      <c r="A58" s="1435">
        <f>+A57+0.1</f>
        <v>18.300000000000004</v>
      </c>
      <c r="B58" s="1436"/>
      <c r="C58" s="1434" t="s">
        <v>1507</v>
      </c>
      <c r="D58" s="208"/>
      <c r="E58" s="1432"/>
      <c r="F58" s="1432"/>
      <c r="G58" s="1432"/>
      <c r="H58" s="1432"/>
      <c r="I58" s="1433"/>
      <c r="J58" s="929"/>
      <c r="L58" s="1012"/>
      <c r="M58" s="1012"/>
      <c r="N58" s="1012"/>
    </row>
    <row r="59" spans="1:15" s="1011" customFormat="1">
      <c r="A59" s="1435" t="s">
        <v>1497</v>
      </c>
      <c r="B59" s="1436"/>
      <c r="C59" s="1434" t="s">
        <v>1507</v>
      </c>
      <c r="D59" s="208"/>
      <c r="E59" s="1432"/>
      <c r="F59" s="1432"/>
      <c r="G59" s="1432"/>
      <c r="H59" s="1432"/>
      <c r="I59" s="1433"/>
      <c r="J59" s="929"/>
      <c r="L59" s="1012"/>
      <c r="M59" s="1012"/>
      <c r="N59" s="1012"/>
    </row>
    <row r="60" spans="1:15" s="1011" customFormat="1">
      <c r="A60" s="1435" t="str">
        <f>+A55&amp;".x"</f>
        <v>18.x</v>
      </c>
      <c r="B60" s="1436"/>
      <c r="C60" s="1434" t="s">
        <v>1507</v>
      </c>
      <c r="D60" s="278"/>
      <c r="E60" s="1437"/>
      <c r="F60" s="1437"/>
      <c r="G60" s="1437"/>
      <c r="H60" s="1437"/>
      <c r="I60" s="1433"/>
      <c r="J60" s="929"/>
      <c r="L60" s="1012"/>
      <c r="M60" s="1012"/>
      <c r="N60" s="1012"/>
    </row>
    <row r="61" spans="1:15">
      <c r="A61" s="930">
        <f>+A55+1</f>
        <v>19</v>
      </c>
      <c r="B61" s="81"/>
      <c r="C61" s="999" t="str">
        <f>+"2282 Total "&amp;C55</f>
        <v>2282 Total Accumulated Provision for Injuries and Damages</v>
      </c>
      <c r="D61" s="283">
        <f>SUM(D56:D60)</f>
        <v>-4036645.3238461539</v>
      </c>
      <c r="E61" s="217">
        <f t="shared" ref="E61:H61" si="3">SUM(E56:E60)</f>
        <v>0</v>
      </c>
      <c r="F61" s="217">
        <f t="shared" si="3"/>
        <v>0</v>
      </c>
      <c r="G61" s="217">
        <f t="shared" si="3"/>
        <v>0</v>
      </c>
      <c r="H61" s="217">
        <f t="shared" si="3"/>
        <v>-4036645.3238461539</v>
      </c>
      <c r="I61" s="1420" t="str">
        <f>+"Sum Ln "&amp;A55&amp;" Subparts"</f>
        <v>Sum Ln 18 Subparts</v>
      </c>
    </row>
    <row r="62" spans="1:15">
      <c r="A62" s="930">
        <f>+A61+1</f>
        <v>20</v>
      </c>
      <c r="C62" s="284" t="s">
        <v>927</v>
      </c>
      <c r="D62" s="221"/>
      <c r="E62" s="82"/>
      <c r="F62" s="213"/>
      <c r="G62" s="282"/>
      <c r="H62" s="82"/>
      <c r="I62" s="235"/>
      <c r="N62" s="282"/>
      <c r="O62" s="81"/>
    </row>
    <row r="63" spans="1:15">
      <c r="A63" s="932">
        <f>+A62+0.1</f>
        <v>20.100000000000001</v>
      </c>
      <c r="B63" s="284"/>
      <c r="C63" s="1438" t="s">
        <v>1105</v>
      </c>
      <c r="D63" s="283">
        <f>'WP20 Reserves'!Q17</f>
        <v>-7356212.9823076939</v>
      </c>
      <c r="E63" s="82"/>
      <c r="F63" s="213"/>
      <c r="G63" s="282"/>
      <c r="H63" s="192">
        <f>+D63</f>
        <v>-7356212.9823076939</v>
      </c>
      <c r="I63" s="235" t="str">
        <f>+"WP20 Reserves Ln 2.10 Col. "&amp;'WP20 Reserves'!Q$5</f>
        <v>WP20 Reserves Ln 2.10 Col. P</v>
      </c>
    </row>
    <row r="64" spans="1:15">
      <c r="A64" s="932">
        <f>+A63+0.1</f>
        <v>20.200000000000003</v>
      </c>
      <c r="B64" s="284"/>
      <c r="C64" s="1438" t="s">
        <v>1104</v>
      </c>
      <c r="D64" s="283">
        <f>'WP20 Reserves'!Q18</f>
        <v>-15236623.75923077</v>
      </c>
      <c r="E64" s="192">
        <f>+D64</f>
        <v>-15236623.75923077</v>
      </c>
      <c r="F64" s="213"/>
      <c r="G64" s="282"/>
      <c r="H64" s="216"/>
      <c r="I64" s="235" t="str">
        <f>+"WP20 Reserves Ln "&amp;'WP20 Reserves'!A18&amp;" Col. "&amp;'WP20 Reserves'!Q$5</f>
        <v>WP20 Reserves Ln 2.11 Col. P</v>
      </c>
      <c r="N64" s="282"/>
      <c r="O64" s="81"/>
    </row>
    <row r="65" spans="1:15" s="1011" customFormat="1">
      <c r="A65" s="1435">
        <f>+A64+0.1</f>
        <v>20.300000000000004</v>
      </c>
      <c r="B65" s="1436"/>
      <c r="C65" s="1434" t="s">
        <v>1507</v>
      </c>
      <c r="D65" s="208"/>
      <c r="E65" s="1432"/>
      <c r="F65" s="1432"/>
      <c r="G65" s="1432"/>
      <c r="H65" s="1432"/>
      <c r="I65" s="1433"/>
      <c r="J65" s="929"/>
      <c r="L65" s="1012"/>
      <c r="M65" s="1012"/>
      <c r="N65" s="1012"/>
    </row>
    <row r="66" spans="1:15" s="1011" customFormat="1">
      <c r="A66" s="1435" t="s">
        <v>1497</v>
      </c>
      <c r="B66" s="1436"/>
      <c r="C66" s="1434" t="s">
        <v>1507</v>
      </c>
      <c r="D66" s="208"/>
      <c r="E66" s="1432"/>
      <c r="F66" s="1432"/>
      <c r="G66" s="1432"/>
      <c r="H66" s="1432"/>
      <c r="I66" s="1433"/>
      <c r="J66" s="929"/>
      <c r="L66" s="1012"/>
      <c r="M66" s="1012"/>
      <c r="N66" s="1012"/>
    </row>
    <row r="67" spans="1:15" s="1011" customFormat="1">
      <c r="A67" s="1435" t="str">
        <f>+A62&amp;".x"</f>
        <v>20.x</v>
      </c>
      <c r="B67" s="1436"/>
      <c r="C67" s="1434" t="s">
        <v>1507</v>
      </c>
      <c r="D67" s="278"/>
      <c r="E67" s="1437"/>
      <c r="F67" s="1437"/>
      <c r="G67" s="1437"/>
      <c r="H67" s="1437"/>
      <c r="I67" s="1433"/>
      <c r="J67" s="929"/>
      <c r="L67" s="1012"/>
      <c r="M67" s="1012"/>
      <c r="N67" s="1012"/>
    </row>
    <row r="68" spans="1:15">
      <c r="A68" s="930">
        <f>+A62+1</f>
        <v>21</v>
      </c>
      <c r="B68" s="284"/>
      <c r="C68" s="999" t="str">
        <f>+"2283 Total "&amp;C62</f>
        <v>2283 Total Accumulated Provision for Pensions and Benefits</v>
      </c>
      <c r="D68" s="283">
        <f>SUM(D63:D67)</f>
        <v>-22592836.741538465</v>
      </c>
      <c r="E68" s="217">
        <f t="shared" ref="E68:H68" si="4">SUM(E63:E67)</f>
        <v>-15236623.75923077</v>
      </c>
      <c r="F68" s="217">
        <f t="shared" si="4"/>
        <v>0</v>
      </c>
      <c r="G68" s="217">
        <f t="shared" si="4"/>
        <v>0</v>
      </c>
      <c r="H68" s="217">
        <f t="shared" si="4"/>
        <v>-7356212.9823076939</v>
      </c>
      <c r="I68" s="1420" t="str">
        <f>+"Sum Ln "&amp;A62&amp;" Subparts"</f>
        <v>Sum Ln 20 Subparts</v>
      </c>
      <c r="N68" s="282"/>
      <c r="O68" s="81"/>
    </row>
    <row r="69" spans="1:15">
      <c r="A69" s="930">
        <f>+A68+1</f>
        <v>22</v>
      </c>
      <c r="C69" s="284" t="s">
        <v>928</v>
      </c>
      <c r="D69" s="218"/>
      <c r="E69" s="82"/>
      <c r="F69" s="213"/>
      <c r="G69" s="282"/>
      <c r="H69" s="82"/>
      <c r="I69" s="235"/>
    </row>
    <row r="70" spans="1:15">
      <c r="A70" s="932">
        <f>+A69+0.1</f>
        <v>22.1</v>
      </c>
      <c r="B70" s="284"/>
      <c r="C70" s="1438" t="s">
        <v>1101</v>
      </c>
      <c r="D70" s="283">
        <f>'WP20 Reserves'!Q19</f>
        <v>-1216478.1115384616</v>
      </c>
      <c r="E70" s="192">
        <f>+D70</f>
        <v>-1216478.1115384616</v>
      </c>
      <c r="F70" s="213"/>
      <c r="G70" s="282"/>
      <c r="H70" s="82"/>
      <c r="I70" s="235" t="str">
        <f>+"WP20 Reserves Ln "&amp;'WP20 Reserves'!A19&amp;" Col. "&amp;'WP20 Reserves'!Q$5</f>
        <v>WP20 Reserves Ln 2.12 Col. P</v>
      </c>
      <c r="N70" s="282"/>
      <c r="O70" s="81"/>
    </row>
    <row r="71" spans="1:15">
      <c r="A71" s="932">
        <f>+A70+0.1</f>
        <v>22.200000000000003</v>
      </c>
      <c r="B71" s="284"/>
      <c r="C71" s="1438" t="s">
        <v>1102</v>
      </c>
      <c r="D71" s="283">
        <f>'WP20 Reserves'!Q20</f>
        <v>0</v>
      </c>
      <c r="E71" s="192">
        <f>+D71</f>
        <v>0</v>
      </c>
      <c r="F71" s="213"/>
      <c r="G71" s="282"/>
      <c r="H71" s="82"/>
      <c r="I71" s="235" t="str">
        <f>+"WP20 Reserves Ln "&amp;'WP20 Reserves'!A20&amp;" Col. "&amp;'WP20 Reserves'!Q$5</f>
        <v>WP20 Reserves Ln 2.13 Col. P</v>
      </c>
    </row>
    <row r="72" spans="1:15">
      <c r="A72" s="932">
        <f>+A71+0.1</f>
        <v>22.300000000000004</v>
      </c>
      <c r="B72" s="284"/>
      <c r="C72" s="1438" t="s">
        <v>1103</v>
      </c>
      <c r="D72" s="283">
        <f>'WP20 Reserves'!Q21</f>
        <v>0</v>
      </c>
      <c r="E72" s="192">
        <f>+D72</f>
        <v>0</v>
      </c>
      <c r="F72" s="213"/>
      <c r="G72" s="282"/>
      <c r="H72" s="282"/>
      <c r="I72" s="235" t="str">
        <f>+"WP20 Reserves Ln "&amp;'WP20 Reserves'!A21&amp;" Col. "&amp;'WP20 Reserves'!Q$5</f>
        <v>WP20 Reserves Ln 2.14 Col. P</v>
      </c>
      <c r="N72" s="282"/>
      <c r="O72" s="81"/>
    </row>
    <row r="73" spans="1:15">
      <c r="A73" s="932">
        <f>+A72+0.1</f>
        <v>22.400000000000006</v>
      </c>
      <c r="B73" s="284"/>
      <c r="C73" s="1438" t="s">
        <v>1107</v>
      </c>
      <c r="D73" s="283">
        <f>'WP20 Reserves'!Q22</f>
        <v>0</v>
      </c>
      <c r="E73" s="192">
        <f>+D73</f>
        <v>0</v>
      </c>
      <c r="F73" s="213"/>
      <c r="G73" s="282"/>
      <c r="H73" s="82"/>
      <c r="I73" s="1419" t="str">
        <f>+"WP20 Reserves Ln "&amp;'WP20 Reserves'!A22&amp;" Col. "&amp;'WP20 Reserves'!Q$5</f>
        <v>WP20 Reserves Ln 2.15 Col. P</v>
      </c>
    </row>
    <row r="74" spans="1:15" s="1011" customFormat="1">
      <c r="A74" s="1435">
        <f>+A73+0.1</f>
        <v>22.500000000000007</v>
      </c>
      <c r="B74" s="1436"/>
      <c r="C74" s="1434" t="s">
        <v>1507</v>
      </c>
      <c r="D74" s="208"/>
      <c r="E74" s="1432"/>
      <c r="F74" s="1432"/>
      <c r="G74" s="1432"/>
      <c r="H74" s="1432"/>
      <c r="I74" s="1433"/>
      <c r="J74" s="929"/>
      <c r="L74" s="1012"/>
      <c r="M74" s="1012"/>
      <c r="N74" s="1012"/>
    </row>
    <row r="75" spans="1:15" s="1011" customFormat="1">
      <c r="A75" s="1435" t="s">
        <v>1497</v>
      </c>
      <c r="B75" s="1436"/>
      <c r="C75" s="1434" t="s">
        <v>1507</v>
      </c>
      <c r="D75" s="208"/>
      <c r="E75" s="1432"/>
      <c r="F75" s="1432"/>
      <c r="G75" s="1432"/>
      <c r="H75" s="1432"/>
      <c r="I75" s="1433"/>
      <c r="J75" s="929"/>
      <c r="L75" s="1012"/>
      <c r="M75" s="1012"/>
      <c r="N75" s="1012"/>
    </row>
    <row r="76" spans="1:15" s="1011" customFormat="1">
      <c r="A76" s="1435" t="str">
        <f>+A69&amp;".x"</f>
        <v>22.x</v>
      </c>
      <c r="B76" s="1436"/>
      <c r="C76" s="1434" t="s">
        <v>1507</v>
      </c>
      <c r="D76" s="278"/>
      <c r="E76" s="1437"/>
      <c r="F76" s="1437"/>
      <c r="G76" s="1437"/>
      <c r="H76" s="1437"/>
      <c r="I76" s="1433"/>
      <c r="J76" s="929"/>
      <c r="L76" s="1012"/>
      <c r="M76" s="1012"/>
      <c r="N76" s="1012"/>
    </row>
    <row r="77" spans="1:15">
      <c r="A77" s="930">
        <f>+A69+1</f>
        <v>23</v>
      </c>
      <c r="B77" s="284"/>
      <c r="C77" s="999" t="str">
        <f>+"2284 Total "&amp;C69</f>
        <v>2284 Total Accumulated Miscellaneous Operating Provisions</v>
      </c>
      <c r="D77" s="283">
        <f>SUM(D70:D76)</f>
        <v>-1216478.1115384616</v>
      </c>
      <c r="E77" s="219">
        <f t="shared" ref="E77:H77" si="5">SUM(E70:E76)</f>
        <v>-1216478.1115384616</v>
      </c>
      <c r="F77" s="219">
        <f t="shared" si="5"/>
        <v>0</v>
      </c>
      <c r="G77" s="219">
        <f t="shared" si="5"/>
        <v>0</v>
      </c>
      <c r="H77" s="219">
        <f t="shared" si="5"/>
        <v>0</v>
      </c>
      <c r="I77" s="1053" t="str">
        <f>+"Sum Ln "&amp;A69&amp;" Subparts"</f>
        <v>Sum Ln 22 Subparts</v>
      </c>
      <c r="N77" s="282"/>
      <c r="O77" s="81"/>
    </row>
    <row r="78" spans="1:15">
      <c r="A78" s="930">
        <f>+A77+1</f>
        <v>24</v>
      </c>
      <c r="B78" s="284"/>
      <c r="I78" s="66"/>
    </row>
    <row r="79" spans="1:15" s="81" customFormat="1">
      <c r="A79" s="930">
        <f>+A78+1</f>
        <v>25</v>
      </c>
      <c r="C79" s="284" t="s">
        <v>1382</v>
      </c>
      <c r="D79" s="218"/>
      <c r="E79" s="82"/>
      <c r="F79" s="213"/>
      <c r="G79" s="282"/>
      <c r="H79" s="82"/>
      <c r="I79" s="235"/>
      <c r="J79" s="66"/>
      <c r="K79" s="66"/>
      <c r="L79" s="82"/>
      <c r="M79" s="82"/>
      <c r="N79" s="282"/>
    </row>
    <row r="80" spans="1:15">
      <c r="A80" s="932">
        <f>+A79+0.1</f>
        <v>25.1</v>
      </c>
      <c r="B80" s="81"/>
      <c r="C80" s="1438" t="s">
        <v>1106</v>
      </c>
      <c r="D80" s="283">
        <f>-D49</f>
        <v>52073066.050000004</v>
      </c>
      <c r="E80" s="192">
        <f>+D80</f>
        <v>52073066.050000004</v>
      </c>
      <c r="F80" s="213"/>
      <c r="G80" s="192"/>
      <c r="H80" s="282"/>
      <c r="I80" s="734" t="str">
        <f>+"Less Ln "&amp;A49</f>
        <v>Less Ln 16.6</v>
      </c>
      <c r="K80" s="81"/>
      <c r="L80" s="282"/>
      <c r="M80" s="282"/>
    </row>
    <row r="81" spans="1:19" s="1011" customFormat="1">
      <c r="A81" s="1435">
        <f>+A80+0.1</f>
        <v>25.200000000000003</v>
      </c>
      <c r="B81" s="1436"/>
      <c r="C81" s="1434" t="s">
        <v>1507</v>
      </c>
      <c r="D81" s="208"/>
      <c r="E81" s="1432"/>
      <c r="F81" s="1432"/>
      <c r="G81" s="1432"/>
      <c r="H81" s="1432"/>
      <c r="I81" s="1433"/>
      <c r="J81" s="929"/>
      <c r="L81" s="1012"/>
      <c r="M81" s="1012"/>
      <c r="N81" s="1012"/>
    </row>
    <row r="82" spans="1:19" s="1011" customFormat="1">
      <c r="A82" s="1435" t="s">
        <v>1497</v>
      </c>
      <c r="B82" s="1436"/>
      <c r="C82" s="1434" t="s">
        <v>1507</v>
      </c>
      <c r="D82" s="208"/>
      <c r="E82" s="1432"/>
      <c r="F82" s="1432"/>
      <c r="G82" s="1432"/>
      <c r="H82" s="1432"/>
      <c r="I82" s="1433"/>
      <c r="J82" s="929"/>
      <c r="L82" s="1012"/>
      <c r="M82" s="1012"/>
      <c r="N82" s="1012"/>
    </row>
    <row r="83" spans="1:19" s="1011" customFormat="1">
      <c r="A83" s="1435" t="str">
        <f>+A79&amp;".x"</f>
        <v>25.x</v>
      </c>
      <c r="B83" s="1436"/>
      <c r="C83" s="1434" t="s">
        <v>1507</v>
      </c>
      <c r="D83" s="278"/>
      <c r="E83" s="1437"/>
      <c r="F83" s="1437"/>
      <c r="G83" s="1437"/>
      <c r="H83" s="1437"/>
      <c r="I83" s="1433"/>
      <c r="J83" s="929"/>
      <c r="L83" s="1012"/>
      <c r="M83" s="1012"/>
      <c r="N83" s="1012"/>
    </row>
    <row r="84" spans="1:19">
      <c r="A84" s="930">
        <f>+A79+1</f>
        <v>26</v>
      </c>
      <c r="B84" s="284"/>
      <c r="C84" s="999" t="str">
        <f>+"Total "&amp;C79</f>
        <v>Total Associated Balance Sheet Accounts &amp; Regulatory Assets (5)</v>
      </c>
      <c r="D84" s="609">
        <f>SUM(D80:D83)</f>
        <v>52073066.050000004</v>
      </c>
      <c r="E84" s="609">
        <f t="shared" ref="E84:H84" si="6">SUM(E80:E83)</f>
        <v>52073066.050000004</v>
      </c>
      <c r="F84" s="609">
        <f t="shared" si="6"/>
        <v>0</v>
      </c>
      <c r="G84" s="609">
        <f t="shared" si="6"/>
        <v>0</v>
      </c>
      <c r="H84" s="609">
        <f t="shared" si="6"/>
        <v>0</v>
      </c>
      <c r="I84" s="1103" t="str">
        <f>+"Sum Ln "&amp;A79&amp;" Subparts"</f>
        <v>Sum Ln 25 Subparts</v>
      </c>
    </row>
    <row r="85" spans="1:19" s="85" customFormat="1">
      <c r="A85" s="930">
        <f>+A84+1</f>
        <v>27</v>
      </c>
      <c r="B85" s="284" t="s">
        <v>1191</v>
      </c>
      <c r="C85" s="42"/>
      <c r="D85" s="601">
        <f>+D54+D61+D68+D77+D84</f>
        <v>24227105.873076908</v>
      </c>
      <c r="E85" s="601">
        <f>+E54+E61+E68+E77+E84</f>
        <v>35619964.179230757</v>
      </c>
      <c r="F85" s="601">
        <f>+F54+F61+F68+F77+F84</f>
        <v>0</v>
      </c>
      <c r="G85" s="601">
        <f>+G54+G61+G68+G77+G84</f>
        <v>0</v>
      </c>
      <c r="H85" s="601">
        <f>+H54+H61+H68+H77+H84</f>
        <v>-11392858.306153849</v>
      </c>
      <c r="I85" s="1053" t="str">
        <f>+"Sum (Ln "&amp;A54&amp;" + "&amp;A61&amp;" + "&amp;A68&amp;" + "&amp;A77&amp;" + "&amp;A84&amp;")"</f>
        <v>Sum (Ln 17 + 19 + 21 + 23 + 26)</v>
      </c>
      <c r="J85" s="66"/>
      <c r="K85" s="66"/>
      <c r="L85" s="82"/>
      <c r="M85" s="82"/>
      <c r="N85" s="603"/>
    </row>
    <row r="86" spans="1:19" s="85" customFormat="1">
      <c r="A86" s="930">
        <f>+A85+1</f>
        <v>28</v>
      </c>
      <c r="B86" s="284"/>
      <c r="C86" s="42"/>
      <c r="D86" s="601"/>
      <c r="E86" s="602"/>
      <c r="F86" s="602"/>
      <c r="G86" s="602"/>
      <c r="H86" s="602"/>
      <c r="I86" s="737"/>
      <c r="L86" s="603"/>
      <c r="M86" s="603"/>
      <c r="N86" s="603"/>
    </row>
    <row r="87" spans="1:19">
      <c r="A87" s="930">
        <f>+A86+1</f>
        <v>29</v>
      </c>
      <c r="B87" s="664" t="s">
        <v>321</v>
      </c>
      <c r="C87" s="661"/>
      <c r="D87" s="662"/>
      <c r="E87" s="662"/>
      <c r="F87" s="663"/>
      <c r="G87" s="665"/>
      <c r="H87" s="666"/>
      <c r="I87" s="735"/>
      <c r="J87" s="85"/>
      <c r="K87" s="85"/>
      <c r="L87" s="603"/>
      <c r="M87" s="603"/>
    </row>
    <row r="88" spans="1:19">
      <c r="A88" s="930">
        <f>+A87+1</f>
        <v>30</v>
      </c>
      <c r="B88" s="245" t="s">
        <v>261</v>
      </c>
      <c r="C88" s="245" t="s">
        <v>309</v>
      </c>
      <c r="D88" s="245" t="s">
        <v>249</v>
      </c>
      <c r="E88" s="245" t="s">
        <v>262</v>
      </c>
      <c r="F88" s="245" t="s">
        <v>260</v>
      </c>
      <c r="G88" s="245" t="s">
        <v>351</v>
      </c>
      <c r="H88" s="245" t="s">
        <v>263</v>
      </c>
      <c r="I88" s="245" t="s">
        <v>364</v>
      </c>
      <c r="J88" s="196"/>
      <c r="K88" s="196"/>
      <c r="L88" s="196"/>
      <c r="O88" s="604"/>
      <c r="P88" s="282"/>
      <c r="R88" s="604"/>
      <c r="S88" s="282"/>
    </row>
    <row r="89" spans="1:19" s="81" customFormat="1">
      <c r="A89" s="930">
        <f>+A88+1</f>
        <v>31</v>
      </c>
      <c r="C89" s="238" t="s">
        <v>1271</v>
      </c>
      <c r="D89" s="736" t="s">
        <v>1481</v>
      </c>
      <c r="H89" s="82"/>
      <c r="I89" s="196"/>
      <c r="J89" s="196"/>
      <c r="K89" s="196"/>
      <c r="L89" s="196"/>
      <c r="M89" s="45"/>
      <c r="N89" s="282"/>
      <c r="O89" s="282"/>
      <c r="P89" s="282"/>
    </row>
    <row r="90" spans="1:19" s="81" customFormat="1">
      <c r="A90" s="932">
        <f>+A89+0.1</f>
        <v>31.1</v>
      </c>
      <c r="C90" s="608" t="s">
        <v>1680</v>
      </c>
      <c r="D90" s="283">
        <f>+'WP10 Storm'!E45</f>
        <v>2603834.7500000005</v>
      </c>
      <c r="H90" s="282"/>
      <c r="I90" s="235" t="str">
        <f>+"WP10 Storm Ln "&amp;'WP10 Storm'!A45&amp;" Column "&amp;'WP10 Storm'!E6</f>
        <v xml:space="preserve">WP10 Storm Ln 8 Column D </v>
      </c>
      <c r="J90" s="196"/>
      <c r="K90" s="196"/>
      <c r="L90" s="196"/>
      <c r="M90" s="45"/>
      <c r="N90" s="282"/>
      <c r="O90" s="282"/>
      <c r="P90" s="282"/>
    </row>
    <row r="91" spans="1:19">
      <c r="A91" s="932">
        <f>+A90+0.1</f>
        <v>31.200000000000003</v>
      </c>
      <c r="B91" s="82"/>
      <c r="C91" s="608" t="s">
        <v>1267</v>
      </c>
      <c r="D91" s="283">
        <f>+'WP AJ1 MISO'!K61</f>
        <v>-1746061.5500000003</v>
      </c>
      <c r="F91" s="81"/>
      <c r="G91" s="81"/>
      <c r="H91" s="577"/>
      <c r="I91" s="235" t="str">
        <f>+"WP AJ1 MISO Ln "&amp;'WP AJ1 MISO'!A61&amp;" Column "&amp;'WP AJ1 MISO'!K8</f>
        <v>WP AJ1 MISO Ln 8 Column J</v>
      </c>
      <c r="J91" s="196"/>
      <c r="K91" s="196"/>
      <c r="L91" s="196"/>
      <c r="M91" s="45"/>
      <c r="O91" s="82"/>
      <c r="P91" s="82"/>
    </row>
    <row r="92" spans="1:19">
      <c r="A92" s="932">
        <f t="shared" ref="A92:A94" si="7">+A91+0.1</f>
        <v>31.300000000000004</v>
      </c>
      <c r="B92" s="82"/>
      <c r="C92" s="608" t="s">
        <v>1723</v>
      </c>
      <c r="D92" s="283">
        <f>-'WP AJ2 ITC'!F47</f>
        <v>-41291.21</v>
      </c>
      <c r="E92" s="1011"/>
      <c r="F92" s="81"/>
      <c r="G92" s="81"/>
      <c r="H92" s="577"/>
      <c r="I92" s="235" t="str">
        <f>"WP AJ2 ITC Ln "&amp;'WP AJ2 ITC'!A47&amp;" Column "&amp;'WP AJ2 ITC'!F6</f>
        <v>WP AJ2 ITC Ln 8 Column D</v>
      </c>
      <c r="J92" s="196"/>
      <c r="K92" s="196"/>
      <c r="L92" s="196"/>
      <c r="M92" s="45"/>
      <c r="O92" s="82"/>
      <c r="P92" s="82"/>
    </row>
    <row r="93" spans="1:19" s="1011" customFormat="1">
      <c r="A93" s="932">
        <f t="shared" si="7"/>
        <v>31.400000000000006</v>
      </c>
      <c r="B93" s="1012"/>
      <c r="C93" s="1428" t="s">
        <v>1396</v>
      </c>
      <c r="D93" s="283">
        <f>+'WP AJ3 HCM'!G38</f>
        <v>13750.660000000076</v>
      </c>
      <c r="F93" s="81"/>
      <c r="G93" s="81"/>
      <c r="H93" s="1013"/>
      <c r="I93" s="1645" t="s">
        <v>1713</v>
      </c>
      <c r="J93" s="196"/>
      <c r="L93" s="1012"/>
      <c r="M93" s="1014"/>
      <c r="N93" s="1012"/>
      <c r="O93" s="1012"/>
      <c r="P93" s="1012"/>
    </row>
    <row r="94" spans="1:19" s="1011" customFormat="1">
      <c r="A94" s="932">
        <f t="shared" si="7"/>
        <v>31.500000000000007</v>
      </c>
      <c r="B94" s="1012"/>
      <c r="C94" s="1428" t="s">
        <v>1471</v>
      </c>
      <c r="D94" s="283">
        <f>-'WP AJ4 Ouachita'!E42</f>
        <v>-3477082</v>
      </c>
      <c r="F94" s="81"/>
      <c r="G94" s="81"/>
      <c r="H94" s="1013"/>
      <c r="I94" s="235" t="str">
        <f>+"WP AJ4 Ouachita Ln "&amp;'WP AJ4 Ouachita'!A42&amp;" Column "&amp;'WP AJ4 Ouachita'!E6</f>
        <v>WP AJ4 Ouachita Ln 8 Column D</v>
      </c>
      <c r="J94" s="196"/>
      <c r="L94" s="1012"/>
      <c r="M94" s="1014"/>
      <c r="N94" s="1012"/>
      <c r="O94" s="1012"/>
      <c r="P94" s="1012"/>
    </row>
    <row r="95" spans="1:19" s="1011" customFormat="1">
      <c r="A95" s="1435">
        <f>+A94+0.1</f>
        <v>31.600000000000009</v>
      </c>
      <c r="B95" s="1436"/>
      <c r="C95" s="1434" t="s">
        <v>1507</v>
      </c>
      <c r="D95" s="208"/>
      <c r="E95" s="282"/>
      <c r="F95" s="282"/>
      <c r="G95" s="282"/>
      <c r="H95" s="282"/>
      <c r="I95" s="1433"/>
      <c r="J95" s="929"/>
      <c r="L95" s="1012"/>
      <c r="M95" s="1012"/>
      <c r="N95" s="1012"/>
    </row>
    <row r="96" spans="1:19" s="1011" customFormat="1">
      <c r="A96" s="1435" t="s">
        <v>1497</v>
      </c>
      <c r="B96" s="1436"/>
      <c r="C96" s="1434" t="s">
        <v>1507</v>
      </c>
      <c r="D96" s="208"/>
      <c r="E96" s="282"/>
      <c r="F96" s="282"/>
      <c r="G96" s="282"/>
      <c r="H96" s="282"/>
      <c r="I96" s="1433"/>
      <c r="J96" s="929"/>
      <c r="L96" s="1012"/>
      <c r="M96" s="1012"/>
      <c r="N96" s="1012"/>
    </row>
    <row r="97" spans="1:19" s="1011" customFormat="1">
      <c r="A97" s="1435" t="str">
        <f>+A89&amp;".x"</f>
        <v>31.x</v>
      </c>
      <c r="B97" s="1436"/>
      <c r="C97" s="1434" t="s">
        <v>1507</v>
      </c>
      <c r="D97" s="278"/>
      <c r="E97" s="282"/>
      <c r="F97" s="282"/>
      <c r="G97" s="282"/>
      <c r="H97" s="282"/>
      <c r="I97" s="1433"/>
      <c r="J97" s="929"/>
      <c r="L97" s="1012"/>
      <c r="M97" s="1012"/>
      <c r="N97" s="1012"/>
    </row>
    <row r="98" spans="1:19">
      <c r="A98" s="930">
        <f>+A89+1</f>
        <v>32</v>
      </c>
      <c r="B98" s="82"/>
      <c r="C98" s="1000" t="s">
        <v>953</v>
      </c>
      <c r="D98" s="283">
        <f>SUM(D90:D97)</f>
        <v>-2646849.3499999996</v>
      </c>
      <c r="E98" s="282"/>
      <c r="F98" s="282"/>
      <c r="G98" s="282"/>
      <c r="H98" s="577"/>
      <c r="I98" s="916" t="str">
        <f>+"Sum Ln "&amp;A89&amp;" Subparts"</f>
        <v>Sum Ln 31 Subparts</v>
      </c>
      <c r="J98" s="196"/>
      <c r="K98" s="196"/>
      <c r="L98" s="196"/>
      <c r="M98" s="45"/>
      <c r="O98" s="82"/>
      <c r="P98" s="82"/>
    </row>
    <row r="99" spans="1:19">
      <c r="A99" s="930">
        <f>+A98+1</f>
        <v>33</v>
      </c>
      <c r="C99" s="81"/>
      <c r="D99" s="81"/>
      <c r="E99" s="282"/>
      <c r="F99" s="282"/>
      <c r="G99" s="282"/>
      <c r="H99" s="282"/>
      <c r="J99" s="196"/>
      <c r="K99" s="196"/>
      <c r="L99" s="196"/>
    </row>
    <row r="100" spans="1:19" s="81" customFormat="1">
      <c r="A100" s="930">
        <f>+A99+1</f>
        <v>34</v>
      </c>
      <c r="C100" s="238" t="s">
        <v>1272</v>
      </c>
      <c r="D100" s="237"/>
      <c r="E100" s="282"/>
      <c r="F100" s="282"/>
      <c r="G100" s="282"/>
      <c r="H100" s="282"/>
      <c r="I100" s="235"/>
      <c r="J100" s="196"/>
      <c r="K100" s="196"/>
      <c r="L100" s="196"/>
      <c r="M100" s="45"/>
      <c r="N100" s="282"/>
      <c r="O100" s="282"/>
      <c r="P100" s="282"/>
    </row>
    <row r="101" spans="1:19" s="81" customFormat="1">
      <c r="A101" s="932">
        <f>+A100+0.1</f>
        <v>34.1</v>
      </c>
      <c r="C101" s="608" t="s">
        <v>1681</v>
      </c>
      <c r="D101" s="283">
        <f>+'WP10 Storm'!E58</f>
        <v>0</v>
      </c>
      <c r="E101" s="282"/>
      <c r="F101" s="282"/>
      <c r="G101" s="282"/>
      <c r="H101" s="282"/>
      <c r="I101" s="235" t="str">
        <f>+"WP10 Storm Ln "&amp;'WP10 Storm'!A58&amp;" Column "&amp;'WP10 Storm'!E6</f>
        <v xml:space="preserve">WP10 Storm Ln 21 Column D </v>
      </c>
      <c r="J101" s="196"/>
      <c r="K101" s="196"/>
      <c r="L101" s="196"/>
      <c r="M101" s="45"/>
      <c r="N101" s="282"/>
      <c r="O101" s="282"/>
      <c r="P101" s="282"/>
    </row>
    <row r="102" spans="1:19">
      <c r="A102" s="932">
        <f>+A101+0.1</f>
        <v>34.200000000000003</v>
      </c>
      <c r="B102" s="82"/>
      <c r="C102" s="608" t="s">
        <v>1267</v>
      </c>
      <c r="D102" s="283">
        <f>+'WP AJ1 MISO'!K74</f>
        <v>-2359635.1800000002</v>
      </c>
      <c r="E102" s="577"/>
      <c r="F102" s="577"/>
      <c r="G102" s="577"/>
      <c r="H102" s="577"/>
      <c r="I102" s="235" t="str">
        <f>+"WP AJ1 MISO Ln "&amp;'WP AJ1 MISO'!A74&amp;" Column "&amp;'WP AJ1 MISO'!K8</f>
        <v>WP AJ1 MISO Ln 21 Column J</v>
      </c>
      <c r="J102" s="196"/>
      <c r="K102" s="196"/>
      <c r="L102" s="196"/>
      <c r="M102" s="45"/>
      <c r="O102" s="82"/>
      <c r="P102" s="82"/>
    </row>
    <row r="103" spans="1:19">
      <c r="A103" s="932">
        <f>+A102+0.1</f>
        <v>34.300000000000004</v>
      </c>
      <c r="B103" s="82"/>
      <c r="C103" s="608" t="s">
        <v>1723</v>
      </c>
      <c r="D103" s="283">
        <f>-'WP AJ2 ITC'!F60</f>
        <v>-122424.93000000008</v>
      </c>
      <c r="E103" s="577"/>
      <c r="F103" s="577"/>
      <c r="G103" s="577"/>
      <c r="H103" s="577"/>
      <c r="I103" s="235" t="str">
        <f>"WP AJ2 ITC Ln "&amp;'WP AJ2 ITC'!A60&amp;" Column "&amp;'WP AJ2 ITC'!F6</f>
        <v>WP AJ2 ITC Ln 21 Column D</v>
      </c>
      <c r="J103" s="196"/>
      <c r="K103" s="196"/>
      <c r="L103" s="196"/>
      <c r="M103" s="45"/>
      <c r="O103" s="82"/>
      <c r="P103" s="82"/>
    </row>
    <row r="104" spans="1:19" s="1011" customFormat="1">
      <c r="A104" s="932">
        <f>+A103+0.1</f>
        <v>34.400000000000006</v>
      </c>
      <c r="B104" s="1012"/>
      <c r="C104" s="1428" t="s">
        <v>1396</v>
      </c>
      <c r="D104" s="283">
        <f>+'WP AJ3 HCM'!G51</f>
        <v>-4042523.5499999989</v>
      </c>
      <c r="E104" s="1013"/>
      <c r="F104" s="1013"/>
      <c r="G104" s="1013"/>
      <c r="H104" s="1013"/>
      <c r="I104" s="1645" t="s">
        <v>1728</v>
      </c>
      <c r="J104" s="196"/>
      <c r="L104" s="1012"/>
      <c r="M104" s="1014"/>
      <c r="N104" s="1012"/>
      <c r="O104" s="1012"/>
      <c r="P104" s="1012"/>
    </row>
    <row r="105" spans="1:19" s="1011" customFormat="1">
      <c r="A105" s="932">
        <f>+A104+0.1</f>
        <v>34.500000000000007</v>
      </c>
      <c r="B105" s="1436"/>
      <c r="C105" s="1434" t="s">
        <v>1507</v>
      </c>
      <c r="D105" s="208"/>
      <c r="E105" s="282"/>
      <c r="F105" s="282"/>
      <c r="G105" s="282"/>
      <c r="H105" s="282"/>
      <c r="I105" s="1433"/>
      <c r="J105" s="929"/>
      <c r="L105" s="1012"/>
      <c r="M105" s="1012"/>
      <c r="N105" s="1012"/>
    </row>
    <row r="106" spans="1:19" s="1011" customFormat="1">
      <c r="A106" s="1435" t="s">
        <v>1497</v>
      </c>
      <c r="B106" s="1436"/>
      <c r="C106" s="1434" t="s">
        <v>1507</v>
      </c>
      <c r="D106" s="208"/>
      <c r="E106" s="282"/>
      <c r="F106" s="282"/>
      <c r="G106" s="282"/>
      <c r="H106" s="282"/>
      <c r="I106" s="1433"/>
      <c r="J106" s="929"/>
      <c r="L106" s="1012"/>
      <c r="M106" s="1012"/>
      <c r="N106" s="1012"/>
    </row>
    <row r="107" spans="1:19" s="1011" customFormat="1">
      <c r="A107" s="1435" t="str">
        <f>+A100&amp;".x"</f>
        <v>34.x</v>
      </c>
      <c r="B107" s="1436"/>
      <c r="C107" s="1434" t="s">
        <v>1507</v>
      </c>
      <c r="D107" s="278"/>
      <c r="E107" s="282"/>
      <c r="F107" s="282"/>
      <c r="G107" s="282"/>
      <c r="H107" s="282"/>
      <c r="I107" s="1433"/>
      <c r="J107" s="929"/>
      <c r="L107" s="1012"/>
      <c r="M107" s="1012"/>
      <c r="N107" s="1012"/>
    </row>
    <row r="108" spans="1:19" ht="15.75">
      <c r="A108" s="930">
        <f>+A100+1</f>
        <v>35</v>
      </c>
      <c r="B108" s="82"/>
      <c r="C108" s="1000" t="s">
        <v>954</v>
      </c>
      <c r="D108" s="283">
        <f>SUM(D101:D107)</f>
        <v>-6524583.6599999992</v>
      </c>
      <c r="E108" s="577"/>
      <c r="F108" s="577"/>
      <c r="G108" s="577"/>
      <c r="H108" s="577"/>
      <c r="I108" s="1044" t="str">
        <f>+"Sum Ln "&amp;A100&amp;" Subparts"</f>
        <v>Sum Ln 34 Subparts</v>
      </c>
      <c r="J108" s="196"/>
      <c r="K108" s="1658" t="s">
        <v>1732</v>
      </c>
      <c r="L108" s="196"/>
      <c r="M108" s="45"/>
      <c r="O108" s="82"/>
      <c r="P108" s="82"/>
    </row>
    <row r="109" spans="1:19" ht="15">
      <c r="A109" s="930">
        <f>+A108+1</f>
        <v>36</v>
      </c>
      <c r="B109" s="82"/>
      <c r="C109" s="656"/>
      <c r="D109" s="270"/>
      <c r="E109" s="283"/>
      <c r="F109" s="192"/>
      <c r="G109" s="283"/>
      <c r="H109" s="283"/>
      <c r="I109" s="287"/>
      <c r="J109" s="81"/>
      <c r="K109" s="1659" t="s">
        <v>1147</v>
      </c>
      <c r="L109" s="196"/>
      <c r="M109" s="282"/>
    </row>
    <row r="110" spans="1:19">
      <c r="A110" s="930">
        <f>+A109+1</f>
        <v>37</v>
      </c>
      <c r="C110" s="167" t="s">
        <v>1268</v>
      </c>
      <c r="D110" s="209"/>
      <c r="E110" s="209"/>
      <c r="F110" s="209"/>
      <c r="G110" s="209"/>
      <c r="H110" s="196"/>
      <c r="I110" s="738"/>
      <c r="J110" s="81"/>
      <c r="K110" s="196"/>
      <c r="L110" s="196"/>
      <c r="N110" s="209"/>
      <c r="O110" s="209"/>
      <c r="P110" s="209"/>
      <c r="R110" s="209"/>
      <c r="S110" s="209"/>
    </row>
    <row r="111" spans="1:19" ht="12.75" customHeight="1">
      <c r="A111" s="932">
        <f>+A110+0.1</f>
        <v>37.1</v>
      </c>
      <c r="B111" s="82"/>
      <c r="C111" s="1582" t="s">
        <v>952</v>
      </c>
      <c r="D111" s="208">
        <v>924338</v>
      </c>
      <c r="E111" s="82"/>
      <c r="G111" s="82"/>
      <c r="H111" s="82"/>
      <c r="I111" s="1439" t="s">
        <v>1516</v>
      </c>
      <c r="J111" s="81"/>
      <c r="K111" s="1719" t="s">
        <v>1733</v>
      </c>
      <c r="L111" s="1719"/>
      <c r="M111" s="209"/>
      <c r="N111" s="282"/>
      <c r="O111" s="604"/>
      <c r="P111" s="282"/>
      <c r="R111" s="604"/>
      <c r="S111" s="282"/>
    </row>
    <row r="112" spans="1:19" ht="12.75" customHeight="1">
      <c r="A112" s="932">
        <f>+A111+0.1</f>
        <v>37.200000000000003</v>
      </c>
      <c r="B112" s="82"/>
      <c r="C112" s="1582" t="s">
        <v>1517</v>
      </c>
      <c r="D112" s="208">
        <v>19471</v>
      </c>
      <c r="E112" s="82"/>
      <c r="G112" s="82"/>
      <c r="H112" s="82"/>
      <c r="I112" s="1439" t="s">
        <v>1724</v>
      </c>
      <c r="J112" s="81"/>
      <c r="K112" s="1719"/>
      <c r="L112" s="1719"/>
      <c r="M112" s="45"/>
      <c r="O112" s="604"/>
      <c r="P112" s="282"/>
      <c r="R112" s="604"/>
      <c r="S112" s="282"/>
    </row>
    <row r="113" spans="1:19" ht="12.75" customHeight="1">
      <c r="A113" s="932">
        <f t="shared" ref="A113:A115" si="8">+A112+0.1</f>
        <v>37.300000000000004</v>
      </c>
      <c r="B113" s="82"/>
      <c r="C113" s="1582" t="s">
        <v>1518</v>
      </c>
      <c r="D113" s="208">
        <v>59275</v>
      </c>
      <c r="E113" s="82"/>
      <c r="G113" s="82"/>
      <c r="H113" s="82"/>
      <c r="I113" s="1439" t="s">
        <v>1725</v>
      </c>
      <c r="J113" s="81"/>
      <c r="K113" s="1719"/>
      <c r="L113" s="1719"/>
      <c r="M113" s="45"/>
      <c r="O113" s="604"/>
      <c r="P113" s="282"/>
      <c r="R113" s="604"/>
      <c r="S113" s="282"/>
    </row>
    <row r="114" spans="1:19" ht="12.75" customHeight="1">
      <c r="A114" s="932">
        <f t="shared" si="8"/>
        <v>37.400000000000006</v>
      </c>
      <c r="B114" s="82"/>
      <c r="C114" s="1582" t="s">
        <v>1519</v>
      </c>
      <c r="D114" s="208">
        <v>-170000</v>
      </c>
      <c r="E114" s="82"/>
      <c r="F114" s="82"/>
      <c r="G114" s="82"/>
      <c r="H114" s="82"/>
      <c r="I114" s="1439" t="s">
        <v>1520</v>
      </c>
      <c r="J114" s="81"/>
      <c r="K114" s="1719"/>
      <c r="L114" s="1719"/>
    </row>
    <row r="115" spans="1:19" s="1011" customFormat="1" ht="12.75" customHeight="1">
      <c r="A115" s="1435">
        <f t="shared" si="8"/>
        <v>37.500000000000007</v>
      </c>
      <c r="B115" s="1436"/>
      <c r="C115" s="1434" t="s">
        <v>1507</v>
      </c>
      <c r="D115" s="208"/>
      <c r="E115" s="282"/>
      <c r="F115" s="282"/>
      <c r="G115" s="282"/>
      <c r="H115" s="282"/>
      <c r="I115" s="1433"/>
      <c r="J115" s="929"/>
      <c r="K115" s="1719"/>
      <c r="L115" s="1719"/>
      <c r="M115" s="1012"/>
      <c r="N115" s="1012"/>
    </row>
    <row r="116" spans="1:19" s="1011" customFormat="1" ht="12.75" customHeight="1">
      <c r="A116" s="1435" t="s">
        <v>1497</v>
      </c>
      <c r="B116" s="1436"/>
      <c r="C116" s="1434" t="s">
        <v>1507</v>
      </c>
      <c r="D116" s="208"/>
      <c r="E116" s="282"/>
      <c r="F116" s="282"/>
      <c r="G116" s="282"/>
      <c r="H116" s="282"/>
      <c r="I116" s="1433"/>
      <c r="J116" s="929"/>
      <c r="K116" s="1719"/>
      <c r="L116" s="1719"/>
      <c r="M116" s="1012"/>
      <c r="N116" s="1012"/>
    </row>
    <row r="117" spans="1:19" s="1011" customFormat="1" ht="12.75" customHeight="1">
      <c r="A117" s="1435" t="str">
        <f>+A110&amp;".x"</f>
        <v>37.x</v>
      </c>
      <c r="B117" s="1436"/>
      <c r="C117" s="1434" t="s">
        <v>1507</v>
      </c>
      <c r="D117" s="278"/>
      <c r="E117" s="282"/>
      <c r="F117" s="282"/>
      <c r="G117" s="282"/>
      <c r="H117" s="282"/>
      <c r="I117" s="1433"/>
      <c r="J117" s="929"/>
      <c r="K117" s="1719"/>
      <c r="L117" s="1719"/>
      <c r="M117" s="1012"/>
      <c r="N117" s="1012"/>
    </row>
    <row r="118" spans="1:19" ht="13.15" customHeight="1">
      <c r="A118" s="930">
        <f>+A110+1</f>
        <v>38</v>
      </c>
      <c r="B118" s="82"/>
      <c r="C118" s="1001" t="str">
        <f>+"Total "&amp;C110</f>
        <v>Total 9302 Miscellaneous General Expenses Adjustments (3)</v>
      </c>
      <c r="D118" s="216">
        <f>SUM(D111:D117)</f>
        <v>833084</v>
      </c>
      <c r="E118" s="282"/>
      <c r="F118" s="282"/>
      <c r="G118" s="282"/>
      <c r="H118" s="282"/>
      <c r="I118" s="1044" t="str">
        <f>+"Sum Ln "&amp;A110&amp;" Subparts"</f>
        <v>Sum Ln 37 Subparts</v>
      </c>
      <c r="J118" s="81"/>
      <c r="K118" s="1719"/>
      <c r="L118" s="1719"/>
    </row>
    <row r="119" spans="1:19" ht="12.75" customHeight="1">
      <c r="A119" s="930">
        <f>+A118+1</f>
        <v>39</v>
      </c>
      <c r="B119" s="82"/>
      <c r="C119" s="82"/>
      <c r="D119" s="82"/>
      <c r="E119" s="82"/>
      <c r="F119" s="82"/>
      <c r="G119" s="82"/>
      <c r="H119" s="82"/>
      <c r="I119" s="236"/>
      <c r="J119" s="81"/>
      <c r="K119" s="1660"/>
      <c r="O119" s="82"/>
      <c r="P119" s="82"/>
    </row>
    <row r="120" spans="1:19" ht="12.75" customHeight="1">
      <c r="A120" s="930">
        <f>+A119+1</f>
        <v>40</v>
      </c>
      <c r="B120" s="284" t="s">
        <v>268</v>
      </c>
      <c r="C120" s="81"/>
      <c r="H120" s="558"/>
      <c r="I120" s="168"/>
      <c r="J120" s="81"/>
      <c r="K120" s="1660"/>
      <c r="L120" s="216"/>
    </row>
    <row r="121" spans="1:19" ht="12.75" customHeight="1">
      <c r="A121" s="930">
        <f>+A120+1</f>
        <v>41</v>
      </c>
      <c r="B121" s="284"/>
      <c r="C121" s="763" t="s">
        <v>976</v>
      </c>
      <c r="H121" s="558"/>
      <c r="I121" s="168"/>
      <c r="J121" s="81"/>
      <c r="K121" s="1660"/>
      <c r="L121" s="216"/>
    </row>
    <row r="122" spans="1:19" ht="12.75" customHeight="1">
      <c r="A122" s="932">
        <f>+A121+0.1</f>
        <v>41.1</v>
      </c>
      <c r="B122" s="284"/>
      <c r="C122" s="655" t="s">
        <v>1276</v>
      </c>
      <c r="D122" s="208">
        <v>1012506</v>
      </c>
      <c r="H122" s="558"/>
      <c r="I122" s="1439" t="s">
        <v>1303</v>
      </c>
      <c r="J122" s="81"/>
      <c r="K122" s="1660"/>
      <c r="L122" s="216"/>
    </row>
    <row r="123" spans="1:19" ht="12.75" customHeight="1">
      <c r="A123" s="932">
        <f>+A122+0.1</f>
        <v>41.2</v>
      </c>
      <c r="B123" s="284"/>
      <c r="C123" s="670" t="s">
        <v>955</v>
      </c>
      <c r="D123" s="208">
        <v>0</v>
      </c>
      <c r="H123" s="558"/>
      <c r="I123" s="1439" t="s">
        <v>1042</v>
      </c>
      <c r="J123" s="81"/>
      <c r="K123" s="1660"/>
      <c r="L123" s="216"/>
    </row>
    <row r="124" spans="1:19" s="1011" customFormat="1" ht="12.75" customHeight="1">
      <c r="A124" s="1435">
        <f>+A123+0.1</f>
        <v>41.300000000000004</v>
      </c>
      <c r="B124" s="1436"/>
      <c r="C124" s="1434" t="s">
        <v>1507</v>
      </c>
      <c r="D124" s="208"/>
      <c r="E124" s="282"/>
      <c r="F124" s="282"/>
      <c r="G124" s="282"/>
      <c r="H124" s="282"/>
      <c r="I124" s="1433"/>
      <c r="J124" s="929"/>
      <c r="K124" s="1660"/>
      <c r="L124" s="1012"/>
      <c r="M124" s="1012"/>
      <c r="N124" s="1012"/>
    </row>
    <row r="125" spans="1:19" s="1011" customFormat="1" ht="12.75" customHeight="1">
      <c r="A125" s="1435" t="s">
        <v>1497</v>
      </c>
      <c r="B125" s="1436"/>
      <c r="C125" s="1434" t="s">
        <v>1507</v>
      </c>
      <c r="D125" s="208"/>
      <c r="E125" s="282"/>
      <c r="F125" s="282"/>
      <c r="G125" s="282"/>
      <c r="H125" s="282"/>
      <c r="I125" s="1433"/>
      <c r="J125" s="929"/>
      <c r="K125" s="1660"/>
      <c r="L125" s="1012"/>
      <c r="M125" s="1012"/>
      <c r="N125" s="1012"/>
    </row>
    <row r="126" spans="1:19" s="1011" customFormat="1" ht="12.75" customHeight="1">
      <c r="A126" s="1435" t="str">
        <f>+A121&amp;".x"</f>
        <v>41.x</v>
      </c>
      <c r="B126" s="1436"/>
      <c r="C126" s="1434" t="s">
        <v>1507</v>
      </c>
      <c r="D126" s="278"/>
      <c r="E126" s="282"/>
      <c r="F126" s="282"/>
      <c r="G126" s="282"/>
      <c r="H126" s="282"/>
      <c r="I126" s="1433"/>
      <c r="J126" s="929"/>
      <c r="K126" s="1660"/>
      <c r="L126" s="1012"/>
      <c r="M126" s="1012"/>
      <c r="N126" s="1012"/>
    </row>
    <row r="127" spans="1:19">
      <c r="A127" s="930">
        <f>+A121+1</f>
        <v>42</v>
      </c>
      <c r="B127" s="284"/>
      <c r="C127" s="1002" t="str">
        <f>+"Total  "&amp;C121</f>
        <v>Total  Regulatory Commission Expense Account 928</v>
      </c>
      <c r="D127" s="169">
        <f>SUM(D122:D126)</f>
        <v>1012506</v>
      </c>
      <c r="E127" s="82"/>
      <c r="F127" s="82"/>
      <c r="G127" s="82"/>
      <c r="H127" s="558"/>
      <c r="I127" s="1044" t="str">
        <f>+"Sum Ln "&amp;A121&amp;" Subparts"</f>
        <v>Sum Ln 41 Subparts</v>
      </c>
      <c r="J127" s="81"/>
      <c r="L127" s="216"/>
    </row>
    <row r="128" spans="1:19">
      <c r="A128" s="930">
        <f>+A127+1</f>
        <v>43</v>
      </c>
      <c r="B128" s="82"/>
      <c r="C128" s="671"/>
      <c r="D128" s="169"/>
      <c r="E128" s="270"/>
      <c r="F128" s="558"/>
      <c r="G128" s="283"/>
      <c r="H128" s="283"/>
      <c r="I128" s="287"/>
      <c r="J128" s="81"/>
      <c r="K128" s="81"/>
      <c r="L128" s="282"/>
      <c r="M128" s="282"/>
    </row>
    <row r="129" spans="1:16">
      <c r="A129" s="930">
        <f>+A128+1</f>
        <v>44</v>
      </c>
      <c r="B129" s="664" t="s">
        <v>291</v>
      </c>
      <c r="C129" s="661"/>
      <c r="D129" s="662"/>
      <c r="E129" s="662"/>
      <c r="F129" s="663"/>
      <c r="G129" s="665"/>
      <c r="H129" s="666"/>
      <c r="I129" s="740"/>
      <c r="J129" s="81"/>
      <c r="K129" s="43"/>
      <c r="L129" s="43"/>
      <c r="M129" s="43"/>
    </row>
    <row r="130" spans="1:16" s="44" customFormat="1" ht="13.15" customHeight="1">
      <c r="A130" s="930">
        <f t="shared" ref="A130:A156" si="9">+A129+1</f>
        <v>45</v>
      </c>
      <c r="B130" s="245" t="s">
        <v>261</v>
      </c>
      <c r="C130" s="245" t="s">
        <v>309</v>
      </c>
      <c r="D130" s="245" t="s">
        <v>249</v>
      </c>
      <c r="E130" s="245" t="s">
        <v>262</v>
      </c>
      <c r="F130" s="245" t="s">
        <v>260</v>
      </c>
      <c r="G130" s="245" t="s">
        <v>351</v>
      </c>
      <c r="H130" s="245" t="s">
        <v>263</v>
      </c>
      <c r="I130" s="245" t="s">
        <v>364</v>
      </c>
      <c r="J130" s="81"/>
      <c r="K130" s="43"/>
      <c r="L130" s="43"/>
      <c r="M130" s="43"/>
      <c r="N130" s="43"/>
    </row>
    <row r="131" spans="1:16" s="44" customFormat="1" ht="13.9" customHeight="1">
      <c r="A131" s="930">
        <f t="shared" si="9"/>
        <v>46</v>
      </c>
      <c r="B131" s="603" t="s">
        <v>761</v>
      </c>
      <c r="C131" s="671"/>
      <c r="D131" s="169"/>
      <c r="E131" s="270"/>
      <c r="F131" s="558"/>
      <c r="G131" s="283"/>
      <c r="H131" s="283"/>
      <c r="I131" s="287"/>
      <c r="J131" s="81"/>
      <c r="K131" s="81"/>
      <c r="L131" s="282"/>
      <c r="M131" s="282"/>
      <c r="N131" s="43"/>
    </row>
    <row r="132" spans="1:16">
      <c r="A132" s="930">
        <f t="shared" si="9"/>
        <v>47</v>
      </c>
      <c r="B132" s="82"/>
      <c r="C132" s="286" t="s">
        <v>1273</v>
      </c>
      <c r="D132" s="294"/>
      <c r="E132" s="270"/>
      <c r="F132" s="558"/>
      <c r="G132" s="283"/>
      <c r="H132" s="283"/>
      <c r="I132" s="81"/>
      <c r="J132" s="81"/>
      <c r="K132" s="81"/>
      <c r="L132" s="282"/>
      <c r="M132" s="282"/>
    </row>
    <row r="133" spans="1:16">
      <c r="A133" s="932">
        <f>+A132+0.1</f>
        <v>47.1</v>
      </c>
      <c r="B133" s="82"/>
      <c r="C133" s="608" t="s">
        <v>1266</v>
      </c>
      <c r="D133" s="283">
        <f>+'WP10 Storm'!E50</f>
        <v>0</v>
      </c>
      <c r="E133" s="270"/>
      <c r="F133" s="558"/>
      <c r="G133" s="283"/>
      <c r="H133" s="283"/>
      <c r="I133" s="235" t="str">
        <f>+"WP10 Storm Ln "&amp;'WP10 Storm'!A50&amp;" Column "&amp;'WP10 Storm'!E6</f>
        <v xml:space="preserve">WP10 Storm Ln 13 Column D </v>
      </c>
      <c r="J133" s="81"/>
      <c r="K133" s="81"/>
      <c r="L133" s="282"/>
      <c r="M133" s="282"/>
    </row>
    <row r="134" spans="1:16">
      <c r="A134" s="932">
        <f>+A133+0.1</f>
        <v>47.2</v>
      </c>
      <c r="B134" s="82"/>
      <c r="C134" s="608" t="s">
        <v>1267</v>
      </c>
      <c r="D134" s="283">
        <f>+'WP AJ1 MISO'!K66</f>
        <v>-74708.679999999993</v>
      </c>
      <c r="E134" s="270"/>
      <c r="F134" s="558"/>
      <c r="G134" s="283"/>
      <c r="H134" s="283"/>
      <c r="I134" s="235" t="str">
        <f>+"WP AJ1 MISO Ln "&amp;'WP AJ1 MISO'!A66&amp;" Column "&amp;'WP AJ1 MISO'!K8</f>
        <v>WP AJ1 MISO Ln 13 Column J</v>
      </c>
      <c r="J134" s="81"/>
      <c r="K134" s="81"/>
      <c r="L134" s="282"/>
      <c r="M134" s="282"/>
    </row>
    <row r="135" spans="1:16">
      <c r="A135" s="932">
        <f>+A134+0.1</f>
        <v>47.300000000000004</v>
      </c>
      <c r="B135" s="82"/>
      <c r="C135" s="608" t="s">
        <v>1723</v>
      </c>
      <c r="D135" s="283">
        <f>-'WP AJ2 ITC'!F52</f>
        <v>-7179.2300000000005</v>
      </c>
      <c r="E135" s="270"/>
      <c r="F135" s="558"/>
      <c r="G135" s="283"/>
      <c r="H135" s="283"/>
      <c r="I135" s="235" t="str">
        <f>"WP AJ2 ITC Ln "&amp;'WP AJ2 ITC'!A52&amp;" Column "&amp;'WP AJ2 ITC'!F6</f>
        <v>WP AJ2 ITC Ln 13 Column D</v>
      </c>
      <c r="J135" s="81"/>
      <c r="K135" s="81"/>
      <c r="L135" s="282"/>
      <c r="M135" s="282"/>
    </row>
    <row r="136" spans="1:16" s="1011" customFormat="1">
      <c r="A136" s="932">
        <f t="shared" ref="A136:A137" si="10">+A135+0.1</f>
        <v>47.400000000000006</v>
      </c>
      <c r="B136" s="1012"/>
      <c r="C136" s="1428" t="s">
        <v>1396</v>
      </c>
      <c r="D136" s="283">
        <f>+'WP AJ3 HCM'!G43</f>
        <v>0</v>
      </c>
      <c r="E136" s="785"/>
      <c r="F136" s="1015"/>
      <c r="G136" s="1016"/>
      <c r="H136" s="1016"/>
      <c r="I136" s="1645" t="s">
        <v>1714</v>
      </c>
      <c r="J136" s="81"/>
      <c r="L136" s="1012"/>
      <c r="M136" s="1017"/>
      <c r="N136" s="1012"/>
    </row>
    <row r="137" spans="1:16" s="1011" customFormat="1">
      <c r="A137" s="1435">
        <f t="shared" si="10"/>
        <v>47.500000000000007</v>
      </c>
      <c r="B137" s="1436"/>
      <c r="C137" s="1434" t="s">
        <v>1507</v>
      </c>
      <c r="D137" s="208"/>
      <c r="E137" s="282"/>
      <c r="F137" s="282"/>
      <c r="G137" s="282"/>
      <c r="H137" s="282"/>
      <c r="I137" s="1433"/>
      <c r="J137" s="929"/>
      <c r="L137" s="1012"/>
      <c r="M137" s="1012"/>
      <c r="N137" s="1012"/>
    </row>
    <row r="138" spans="1:16" s="1011" customFormat="1">
      <c r="A138" s="1435" t="s">
        <v>1497</v>
      </c>
      <c r="B138" s="1436"/>
      <c r="C138" s="1434" t="s">
        <v>1507</v>
      </c>
      <c r="D138" s="208"/>
      <c r="E138" s="282"/>
      <c r="F138" s="282"/>
      <c r="G138" s="282"/>
      <c r="H138" s="282"/>
      <c r="I138" s="1433"/>
      <c r="J138" s="929"/>
      <c r="L138" s="1012"/>
      <c r="M138" s="1012"/>
      <c r="N138" s="1012"/>
    </row>
    <row r="139" spans="1:16" s="1011" customFormat="1">
      <c r="A139" s="1435" t="str">
        <f>+A132&amp;".x"</f>
        <v>47.x</v>
      </c>
      <c r="B139" s="1436"/>
      <c r="C139" s="1434" t="s">
        <v>1507</v>
      </c>
      <c r="D139" s="278"/>
      <c r="E139" s="282"/>
      <c r="F139" s="282"/>
      <c r="G139" s="282"/>
      <c r="H139" s="282"/>
      <c r="I139" s="1433"/>
      <c r="J139" s="929"/>
      <c r="L139" s="1012"/>
      <c r="M139" s="1012"/>
      <c r="N139" s="1012"/>
    </row>
    <row r="140" spans="1:16">
      <c r="A140" s="930">
        <f>+A132+1</f>
        <v>48</v>
      </c>
      <c r="B140" s="82"/>
      <c r="C140" s="1000" t="s">
        <v>956</v>
      </c>
      <c r="D140" s="283">
        <f>SUM(D133:D139)</f>
        <v>-81887.909999999989</v>
      </c>
      <c r="E140" s="558"/>
      <c r="F140" s="558"/>
      <c r="G140" s="283"/>
      <c r="H140" s="283"/>
      <c r="I140" s="1050" t="str">
        <f>+"Sum Ln "&amp;A132&amp;" Subparts"</f>
        <v>Sum Ln 47 Subparts</v>
      </c>
      <c r="J140" s="81"/>
      <c r="K140" s="81"/>
      <c r="L140" s="282"/>
      <c r="M140" s="282"/>
    </row>
    <row r="141" spans="1:16">
      <c r="A141" s="930">
        <f t="shared" si="9"/>
        <v>49</v>
      </c>
      <c r="B141" s="82"/>
      <c r="C141" s="287"/>
      <c r="D141" s="294"/>
      <c r="E141" s="270"/>
      <c r="F141" s="558"/>
      <c r="G141" s="283"/>
      <c r="H141" s="283"/>
      <c r="I141" s="287"/>
      <c r="J141" s="81"/>
      <c r="K141" s="81"/>
      <c r="L141" s="282"/>
      <c r="M141" s="282"/>
    </row>
    <row r="142" spans="1:16">
      <c r="A142" s="930">
        <f t="shared" si="9"/>
        <v>50</v>
      </c>
      <c r="B142" s="664" t="s">
        <v>233</v>
      </c>
      <c r="C142" s="661"/>
      <c r="D142" s="662"/>
      <c r="E142" s="662"/>
      <c r="F142" s="663"/>
      <c r="G142" s="665"/>
      <c r="H142" s="666"/>
      <c r="I142" s="735"/>
      <c r="J142" s="81"/>
      <c r="K142" s="82"/>
    </row>
    <row r="143" spans="1:16">
      <c r="A143" s="930">
        <f t="shared" si="9"/>
        <v>51</v>
      </c>
      <c r="B143" s="46"/>
      <c r="C143" s="689"/>
      <c r="D143" s="197"/>
      <c r="E143" s="197"/>
      <c r="F143" s="690"/>
      <c r="G143" s="45"/>
      <c r="H143" s="595"/>
      <c r="I143" s="742"/>
      <c r="J143" s="81"/>
      <c r="K143" s="82"/>
      <c r="O143" s="82"/>
      <c r="P143" s="82"/>
    </row>
    <row r="144" spans="1:16">
      <c r="A144" s="930">
        <f t="shared" si="9"/>
        <v>52</v>
      </c>
      <c r="B144" s="46"/>
      <c r="C144" s="238" t="s">
        <v>1274</v>
      </c>
      <c r="D144" s="282"/>
      <c r="E144" s="197"/>
      <c r="F144" s="690"/>
      <c r="G144" s="45"/>
      <c r="H144" s="595"/>
      <c r="I144" s="81"/>
      <c r="J144" s="81"/>
      <c r="K144" s="82"/>
      <c r="O144" s="82"/>
      <c r="P144" s="82"/>
    </row>
    <row r="145" spans="1:16">
      <c r="A145" s="932">
        <f>+A144+0.1</f>
        <v>52.1</v>
      </c>
      <c r="B145" s="46"/>
      <c r="C145" s="608" t="s">
        <v>1266</v>
      </c>
      <c r="D145" s="283">
        <f>+'WP10 Storm'!E51</f>
        <v>0</v>
      </c>
      <c r="E145" s="197"/>
      <c r="F145" s="690"/>
      <c r="G145" s="45"/>
      <c r="H145" s="595"/>
      <c r="I145" s="235" t="str">
        <f>+"WP10 Storm Ln "&amp;'WP10 Storm'!A51&amp;" Column "&amp;'WP10 Storm'!E6</f>
        <v xml:space="preserve">WP10 Storm Ln 14 Column D </v>
      </c>
      <c r="J145" s="81"/>
      <c r="K145" s="82"/>
      <c r="O145" s="82"/>
      <c r="P145" s="82"/>
    </row>
    <row r="146" spans="1:16">
      <c r="A146" s="932">
        <f>+A145+0.1</f>
        <v>52.2</v>
      </c>
      <c r="B146" s="46"/>
      <c r="C146" s="608" t="s">
        <v>1267</v>
      </c>
      <c r="D146" s="283">
        <f>+'WP AJ1 MISO'!K67</f>
        <v>-43741.42</v>
      </c>
      <c r="E146" s="197"/>
      <c r="F146" s="690"/>
      <c r="G146" s="45"/>
      <c r="H146" s="595"/>
      <c r="I146" s="235" t="str">
        <f>+"WP AJ1 MISO Ln "&amp;'WP AJ1 MISO'!A67&amp;" Column "&amp;'WP AJ1 MISO'!K8</f>
        <v>WP AJ1 MISO Ln 14 Column J</v>
      </c>
      <c r="J146" s="81"/>
      <c r="K146" s="82"/>
      <c r="O146" s="82"/>
      <c r="P146" s="82"/>
    </row>
    <row r="147" spans="1:16">
      <c r="A147" s="932">
        <f>+A146+0.1</f>
        <v>52.300000000000004</v>
      </c>
      <c r="B147" s="46"/>
      <c r="C147" s="608" t="s">
        <v>1723</v>
      </c>
      <c r="D147" s="283">
        <f>-'WP AJ2 ITC'!F53</f>
        <v>-2489.2399999999993</v>
      </c>
      <c r="E147" s="197"/>
      <c r="F147" s="690"/>
      <c r="G147" s="45"/>
      <c r="H147" s="595"/>
      <c r="I147" s="235" t="str">
        <f>"WP AJ2 ITC Ln "&amp;'WP AJ2 ITC'!A53&amp;" Column "&amp;'WP AJ2 ITC'!F6</f>
        <v>WP AJ2 ITC Ln 14 Column D</v>
      </c>
      <c r="J147" s="81"/>
      <c r="K147" s="82"/>
      <c r="O147" s="82"/>
      <c r="P147" s="82"/>
    </row>
    <row r="148" spans="1:16" s="1011" customFormat="1">
      <c r="A148" s="932">
        <f t="shared" ref="A148:A149" si="11">+A147+0.1</f>
        <v>52.400000000000006</v>
      </c>
      <c r="B148" s="1018"/>
      <c r="C148" s="1428" t="s">
        <v>1396</v>
      </c>
      <c r="D148" s="283">
        <f>+'WP AJ3 HCM'!G44</f>
        <v>-111635.76999999996</v>
      </c>
      <c r="E148" s="1019"/>
      <c r="F148" s="1020"/>
      <c r="G148" s="1014"/>
      <c r="H148" s="1021"/>
      <c r="I148" s="1645" t="s">
        <v>1715</v>
      </c>
      <c r="J148" s="81"/>
      <c r="L148" s="1012"/>
      <c r="M148" s="1012"/>
      <c r="N148" s="1012"/>
      <c r="O148" s="1012"/>
      <c r="P148" s="1012"/>
    </row>
    <row r="149" spans="1:16" s="1011" customFormat="1">
      <c r="A149" s="1435">
        <f t="shared" si="11"/>
        <v>52.500000000000007</v>
      </c>
      <c r="B149" s="1436"/>
      <c r="C149" s="1434" t="s">
        <v>1507</v>
      </c>
      <c r="D149" s="208"/>
      <c r="E149" s="282"/>
      <c r="F149" s="282"/>
      <c r="G149" s="282"/>
      <c r="H149" s="282"/>
      <c r="I149" s="1433"/>
      <c r="J149" s="929"/>
      <c r="L149" s="1012"/>
      <c r="M149" s="1012"/>
      <c r="N149" s="1012"/>
    </row>
    <row r="150" spans="1:16" s="1011" customFormat="1">
      <c r="A150" s="1435" t="s">
        <v>1497</v>
      </c>
      <c r="B150" s="1436"/>
      <c r="C150" s="1434" t="s">
        <v>1507</v>
      </c>
      <c r="D150" s="208"/>
      <c r="E150" s="282"/>
      <c r="F150" s="282"/>
      <c r="G150" s="282"/>
      <c r="H150" s="282"/>
      <c r="I150" s="1433"/>
      <c r="J150" s="929"/>
      <c r="L150" s="1012"/>
      <c r="M150" s="1012"/>
      <c r="N150" s="1012"/>
    </row>
    <row r="151" spans="1:16" s="1011" customFormat="1">
      <c r="A151" s="1435" t="str">
        <f>+A144&amp;".x"</f>
        <v>52.x</v>
      </c>
      <c r="B151" s="1436"/>
      <c r="C151" s="1434" t="s">
        <v>1507</v>
      </c>
      <c r="D151" s="278"/>
      <c r="E151" s="282"/>
      <c r="F151" s="282"/>
      <c r="G151" s="282"/>
      <c r="H151" s="282"/>
      <c r="I151" s="1433"/>
      <c r="J151" s="929"/>
      <c r="L151" s="1012"/>
      <c r="M151" s="1012"/>
      <c r="N151" s="1012"/>
    </row>
    <row r="152" spans="1:16">
      <c r="A152" s="930">
        <f>+A144+1</f>
        <v>53</v>
      </c>
      <c r="B152" s="46"/>
      <c r="C152" s="1000" t="s">
        <v>1018</v>
      </c>
      <c r="D152" s="283">
        <f>SUM(D145:D151)</f>
        <v>-157866.42999999996</v>
      </c>
      <c r="E152" s="197"/>
      <c r="F152" s="690"/>
      <c r="G152" s="45"/>
      <c r="H152" s="595"/>
      <c r="I152" s="1050" t="str">
        <f>+"Sum Ln "&amp;A144&amp;" Subparts"</f>
        <v>Sum Ln 52 Subparts</v>
      </c>
      <c r="J152" s="81"/>
      <c r="K152" s="82"/>
      <c r="O152" s="82"/>
      <c r="P152" s="82"/>
    </row>
    <row r="153" spans="1:16">
      <c r="A153" s="930">
        <f t="shared" si="9"/>
        <v>54</v>
      </c>
      <c r="B153" s="46"/>
      <c r="C153" s="689"/>
      <c r="D153" s="197"/>
      <c r="E153" s="197"/>
      <c r="F153" s="690"/>
      <c r="G153" s="45"/>
      <c r="H153" s="595"/>
      <c r="I153" s="742"/>
      <c r="J153" s="81"/>
      <c r="K153" s="82"/>
      <c r="O153" s="82"/>
      <c r="P153" s="82"/>
    </row>
    <row r="154" spans="1:16">
      <c r="A154" s="930">
        <f t="shared" si="9"/>
        <v>55</v>
      </c>
      <c r="B154" s="664" t="s">
        <v>951</v>
      </c>
      <c r="C154" s="661"/>
      <c r="D154" s="662"/>
      <c r="E154" s="662"/>
      <c r="F154" s="663"/>
      <c r="G154" s="665"/>
      <c r="H154" s="666"/>
      <c r="I154" s="735"/>
      <c r="J154" s="81"/>
      <c r="K154" s="635"/>
      <c r="L154" s="295"/>
      <c r="M154" s="577"/>
    </row>
    <row r="155" spans="1:16">
      <c r="A155" s="930">
        <f t="shared" si="9"/>
        <v>56</v>
      </c>
      <c r="D155" s="752" t="s">
        <v>1657</v>
      </c>
      <c r="E155" s="285"/>
      <c r="F155" s="752" t="s">
        <v>768</v>
      </c>
      <c r="J155" s="81"/>
      <c r="K155" s="635"/>
      <c r="L155" s="295"/>
      <c r="M155" s="577"/>
    </row>
    <row r="156" spans="1:16" ht="15">
      <c r="A156" s="930">
        <f t="shared" si="9"/>
        <v>57</v>
      </c>
      <c r="C156" s="658" t="s">
        <v>271</v>
      </c>
      <c r="D156" s="573" t="s">
        <v>986</v>
      </c>
      <c r="E156" s="285"/>
      <c r="F156" s="573" t="s">
        <v>361</v>
      </c>
      <c r="G156" s="290"/>
      <c r="H156" s="282"/>
      <c r="I156" s="282"/>
      <c r="J156" s="1004"/>
      <c r="K156" s="635"/>
      <c r="L156" s="295"/>
      <c r="M156" s="577"/>
    </row>
    <row r="157" spans="1:16">
      <c r="A157" s="932">
        <f>+A156+0.1</f>
        <v>57.1</v>
      </c>
      <c r="B157" s="288"/>
      <c r="C157" s="656" t="s">
        <v>910</v>
      </c>
      <c r="D157" s="283">
        <f>+'WP04 PIS'!H23</f>
        <v>46088953.866923064</v>
      </c>
      <c r="E157" s="600"/>
      <c r="F157" s="283">
        <f>+'WP04 PIS'!H21</f>
        <v>46113803.209999993</v>
      </c>
      <c r="G157" s="572"/>
      <c r="H157" s="283"/>
      <c r="I157" s="168" t="str">
        <f>+"WP04 PIS Ln "&amp;'WP04 PIS'!A23&amp;" &amp; Ln "&amp;'WP04 PIS'!A21&amp;" Col "&amp;'WP04 PIS'!H5</f>
        <v>WP04 PIS Ln 18 &amp; Ln 16 Col G</v>
      </c>
      <c r="J157" s="81"/>
      <c r="K157" s="635"/>
      <c r="L157" s="295"/>
      <c r="M157" s="577"/>
    </row>
    <row r="158" spans="1:16">
      <c r="A158" s="932">
        <f>+A157+0.1</f>
        <v>57.2</v>
      </c>
      <c r="B158" s="288"/>
      <c r="C158" s="656" t="s">
        <v>612</v>
      </c>
      <c r="D158" s="283">
        <f>+'WP04 PIS'!I23</f>
        <v>16479462.182307692</v>
      </c>
      <c r="E158" s="600"/>
      <c r="F158" s="283">
        <f>+'WP04 PIS'!I21</f>
        <v>16247514.41</v>
      </c>
      <c r="G158" s="572"/>
      <c r="H158" s="283"/>
      <c r="I158" s="168" t="str">
        <f>+"WP04 PIS Ln "&amp;'WP04 PIS'!A23&amp;" &amp; Ln "&amp;'WP04 PIS'!A21&amp;" Col "&amp;'WP04 PIS'!I5</f>
        <v>WP04 PIS Ln 18 &amp; Ln 16 Col H</v>
      </c>
      <c r="J158" s="635"/>
      <c r="K158" s="81"/>
      <c r="L158" s="282"/>
      <c r="M158" s="282"/>
    </row>
    <row r="159" spans="1:16" s="81" customFormat="1">
      <c r="A159" s="932">
        <f>+A158+0.1</f>
        <v>57.300000000000004</v>
      </c>
      <c r="B159" s="288"/>
      <c r="C159" s="656" t="s">
        <v>1667</v>
      </c>
      <c r="D159" s="283">
        <f>+'WP15 Radials'!G8</f>
        <v>19004972.624999996</v>
      </c>
      <c r="E159" s="1027"/>
      <c r="F159" s="283">
        <f>+'WP15 Radials'!F8</f>
        <v>18959869.979999997</v>
      </c>
      <c r="G159" s="572"/>
      <c r="H159" s="283"/>
      <c r="I159" s="168" t="str">
        <f>+"WP15 Radials Ln"&amp;'WP15 Radials'!A8&amp;" Col "&amp;'WP15 Radials'!G5&amp;" &amp; "&amp;'WP15 Radials'!F5</f>
        <v>WP15 Radials Ln3 Col F &amp; E</v>
      </c>
      <c r="K159" s="210"/>
      <c r="L159" s="45"/>
      <c r="M159" s="45"/>
      <c r="N159" s="282"/>
      <c r="O159" s="282"/>
      <c r="P159" s="282"/>
    </row>
    <row r="160" spans="1:16">
      <c r="A160" s="932">
        <f>+A159+0.1</f>
        <v>57.400000000000006</v>
      </c>
      <c r="B160" s="288"/>
      <c r="C160" s="656" t="s">
        <v>630</v>
      </c>
      <c r="D160" s="598">
        <f>+'WP16 Interconn'!P25</f>
        <v>28689693.969999999</v>
      </c>
      <c r="E160" s="600"/>
      <c r="F160" s="598">
        <f>+'WP16 Interconn'!O25</f>
        <v>28689693.969999999</v>
      </c>
      <c r="G160" s="572"/>
      <c r="H160" s="283"/>
      <c r="I160" s="168" t="str">
        <f>+"WP16 Interconn Ln "&amp;'WP16 Interconn'!A25&amp;" Col "&amp;'WP16 Interconn'!P5&amp;" &amp; "&amp;'WP16 Interconn'!O5</f>
        <v>WP16 Interconn Ln 7 Col O &amp; N</v>
      </c>
      <c r="J160" s="283"/>
      <c r="K160" s="210"/>
      <c r="L160" s="45"/>
      <c r="M160" s="45"/>
      <c r="O160" s="82"/>
      <c r="P160" s="82"/>
    </row>
    <row r="161" spans="1:17">
      <c r="A161" s="930">
        <f>+A156+1</f>
        <v>58</v>
      </c>
      <c r="B161" s="288"/>
      <c r="C161" s="1000" t="str">
        <f>+"Total "&amp;C156</f>
        <v>Total Excluded Transmission Facilities</v>
      </c>
      <c r="D161" s="283">
        <f>SUM(D157:D160)</f>
        <v>110263082.64423075</v>
      </c>
      <c r="E161" s="558"/>
      <c r="F161" s="558">
        <f>SUM(F157:F160)</f>
        <v>110010881.56999999</v>
      </c>
      <c r="G161" s="558"/>
      <c r="H161" s="558"/>
      <c r="I161" s="916" t="str">
        <f>+"Sum Ln "&amp;A156&amp;" Subparts"</f>
        <v>Sum Ln 57 Subparts</v>
      </c>
      <c r="J161" s="1004"/>
      <c r="K161" s="210"/>
      <c r="L161" s="45"/>
      <c r="M161" s="45"/>
      <c r="O161" s="82"/>
      <c r="P161" s="82"/>
    </row>
    <row r="162" spans="1:17">
      <c r="B162" s="282"/>
      <c r="C162" s="282"/>
      <c r="D162" s="282"/>
      <c r="E162" s="282"/>
      <c r="F162" s="282"/>
      <c r="G162" s="282"/>
      <c r="H162" s="282"/>
      <c r="I162" s="235"/>
      <c r="J162" s="283"/>
      <c r="K162" s="210"/>
      <c r="L162" s="45"/>
      <c r="M162" s="45"/>
      <c r="O162" s="82"/>
      <c r="P162" s="82"/>
    </row>
    <row r="163" spans="1:17">
      <c r="A163" s="606" t="s">
        <v>319</v>
      </c>
      <c r="B163" s="82"/>
      <c r="C163" s="655"/>
      <c r="D163" s="646"/>
      <c r="E163" s="645"/>
      <c r="F163" s="645"/>
      <c r="G163" s="645"/>
      <c r="H163" s="645"/>
      <c r="I163" s="739"/>
      <c r="J163" s="283"/>
      <c r="K163" s="210"/>
      <c r="L163" s="45"/>
      <c r="M163" s="45"/>
      <c r="O163" s="82"/>
      <c r="P163" s="82"/>
    </row>
    <row r="164" spans="1:17" ht="40.15" customHeight="1">
      <c r="A164" s="1104" t="s">
        <v>367</v>
      </c>
      <c r="B164" s="1721" t="s">
        <v>1694</v>
      </c>
      <c r="C164" s="1721"/>
      <c r="D164" s="1721"/>
      <c r="E164" s="1721"/>
      <c r="F164" s="1721"/>
      <c r="G164" s="1721"/>
      <c r="H164" s="1721"/>
      <c r="I164" s="1721"/>
      <c r="J164" s="751"/>
      <c r="O164" s="82"/>
      <c r="P164" s="82"/>
    </row>
    <row r="165" spans="1:17" ht="27" customHeight="1">
      <c r="A165" s="1259" t="s">
        <v>769</v>
      </c>
      <c r="B165" s="1709" t="s">
        <v>1512</v>
      </c>
      <c r="C165" s="1709"/>
      <c r="D165" s="1709"/>
      <c r="E165" s="1709"/>
      <c r="F165" s="1709"/>
      <c r="G165" s="1709"/>
      <c r="H165" s="1709"/>
      <c r="I165" s="1709"/>
      <c r="J165" s="751"/>
      <c r="O165" s="82"/>
      <c r="P165" s="82"/>
    </row>
    <row r="166" spans="1:17">
      <c r="A166" s="1259" t="s">
        <v>770</v>
      </c>
      <c r="B166" s="1720" t="str">
        <f>+"See Appendix A Note "&amp;'Appendix A'!A327</f>
        <v>See Appendix A Note X</v>
      </c>
      <c r="C166" s="1720"/>
      <c r="D166" s="1003"/>
      <c r="E166" s="577"/>
      <c r="F166" s="577"/>
      <c r="G166" s="577"/>
      <c r="H166" s="577"/>
      <c r="I166" s="1260"/>
    </row>
    <row r="167" spans="1:17" ht="28.15" customHeight="1">
      <c r="A167" s="1259" t="s">
        <v>771</v>
      </c>
      <c r="B167" s="1718" t="s">
        <v>1668</v>
      </c>
      <c r="C167" s="1718"/>
      <c r="D167" s="1718"/>
      <c r="E167" s="1718"/>
      <c r="F167" s="1718"/>
      <c r="G167" s="1718"/>
      <c r="H167" s="1718"/>
      <c r="I167" s="1718"/>
    </row>
    <row r="168" spans="1:17" ht="67.150000000000006" customHeight="1">
      <c r="A168" s="1259" t="s">
        <v>772</v>
      </c>
      <c r="B168" s="1715" t="s">
        <v>1379</v>
      </c>
      <c r="C168" s="1715"/>
      <c r="D168" s="1715"/>
      <c r="E168" s="1715"/>
      <c r="F168" s="1715"/>
      <c r="G168" s="1715"/>
      <c r="H168" s="1715"/>
      <c r="I168" s="1715"/>
      <c r="J168" s="1249"/>
      <c r="K168" s="1249"/>
      <c r="L168" s="1249"/>
      <c r="M168" s="1249"/>
      <c r="N168" s="1249"/>
      <c r="O168" s="1249"/>
      <c r="P168" s="1249"/>
      <c r="Q168" s="1249"/>
    </row>
    <row r="169" spans="1:17" ht="4.1500000000000004" customHeight="1">
      <c r="B169" s="1715"/>
      <c r="C169" s="1715"/>
      <c r="D169" s="1715"/>
      <c r="E169" s="1715"/>
      <c r="F169" s="1715"/>
      <c r="G169" s="1715"/>
      <c r="H169" s="1715"/>
      <c r="I169" s="1715"/>
      <c r="J169" s="1715"/>
      <c r="K169" s="1715"/>
      <c r="L169" s="1715"/>
      <c r="M169" s="1715"/>
      <c r="N169" s="1715"/>
      <c r="O169" s="1715"/>
      <c r="P169" s="1715"/>
      <c r="Q169" s="1715"/>
    </row>
    <row r="170" spans="1:17">
      <c r="B170" s="1716"/>
      <c r="C170" s="1716"/>
      <c r="D170" s="1716"/>
      <c r="E170" s="1716"/>
      <c r="F170" s="1716"/>
      <c r="G170" s="1716"/>
      <c r="H170" s="1716"/>
      <c r="I170" s="1716"/>
      <c r="J170" s="1716"/>
      <c r="K170" s="1716"/>
      <c r="L170" s="1716"/>
      <c r="M170" s="1716"/>
      <c r="N170" s="1716"/>
      <c r="O170" s="1716"/>
      <c r="P170" s="1716"/>
      <c r="Q170" s="1716"/>
    </row>
    <row r="171" spans="1:17" ht="15">
      <c r="B171" s="1717"/>
      <c r="C171" s="1717"/>
      <c r="D171" s="1717"/>
      <c r="E171" s="1717"/>
      <c r="F171" s="1717"/>
      <c r="G171" s="1717"/>
      <c r="H171" s="1717"/>
      <c r="I171" s="1717"/>
      <c r="J171" s="1717"/>
      <c r="K171" s="1717"/>
      <c r="L171" s="1717"/>
      <c r="M171" s="1717"/>
      <c r="N171" s="1717"/>
      <c r="O171" s="1717"/>
      <c r="P171" s="1717"/>
      <c r="Q171" s="1717"/>
    </row>
  </sheetData>
  <mergeCells count="12">
    <mergeCell ref="A1:I1"/>
    <mergeCell ref="B165:I165"/>
    <mergeCell ref="B169:Q169"/>
    <mergeCell ref="B170:Q170"/>
    <mergeCell ref="B171:Q171"/>
    <mergeCell ref="B168:I168"/>
    <mergeCell ref="B167:I167"/>
    <mergeCell ref="K111:L118"/>
    <mergeCell ref="B166:C166"/>
    <mergeCell ref="B164:I164"/>
    <mergeCell ref="A3:I3"/>
    <mergeCell ref="A2:I2"/>
  </mergeCells>
  <printOptions horizontalCentered="1"/>
  <pageMargins left="0.7" right="0.7" top="0.7" bottom="0.7" header="0.3" footer="0.5"/>
  <pageSetup scale="61" fitToHeight="19" orientation="landscape" r:id="rId1"/>
  <headerFooter>
    <oddFooter>&amp;CPage &amp;P of &amp;N&amp;R&amp;A</oddFooter>
  </headerFooter>
  <rowBreaks count="2" manualBreakCount="2">
    <brk id="61" max="8" man="1"/>
    <brk id="1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activeCell="C30" sqref="C30"/>
    </sheetView>
  </sheetViews>
  <sheetFormatPr defaultColWidth="8.85546875" defaultRowHeight="12.75"/>
  <cols>
    <col min="1" max="1" width="6.42578125" style="44" bestFit="1" customWidth="1"/>
    <col min="2" max="2" width="33.42578125" style="44" customWidth="1"/>
    <col min="3" max="3" width="14.85546875" style="270" customWidth="1"/>
    <col min="4" max="4" width="26.28515625" style="812" customWidth="1"/>
    <col min="5" max="5" width="10.85546875" style="44" customWidth="1"/>
    <col min="6" max="6" width="18.140625" style="43" customWidth="1"/>
    <col min="7" max="7" width="20.28515625" style="43" customWidth="1"/>
    <col min="8" max="8" width="8.85546875" style="44"/>
    <col min="9" max="9" width="21.140625" style="44" customWidth="1"/>
    <col min="10" max="10" width="19.140625" style="44" customWidth="1"/>
    <col min="11" max="16384" width="8.85546875" style="44"/>
  </cols>
  <sheetData>
    <row r="1" spans="1:10">
      <c r="A1" s="1722" t="str">
        <f>+'MISO Cover'!C6</f>
        <v>Entergy Arkansas, Inc.</v>
      </c>
      <c r="B1" s="1722"/>
      <c r="C1" s="1722"/>
      <c r="D1" s="1722"/>
      <c r="E1" s="188"/>
      <c r="F1" s="597"/>
      <c r="G1" s="597"/>
      <c r="H1" s="188"/>
      <c r="I1" s="188"/>
      <c r="J1" s="188"/>
    </row>
    <row r="2" spans="1:10" s="552" customFormat="1">
      <c r="A2" s="1724" t="s">
        <v>1151</v>
      </c>
      <c r="B2" s="1724"/>
      <c r="C2" s="1724"/>
      <c r="D2" s="1724"/>
      <c r="E2" s="538"/>
      <c r="F2" s="936"/>
      <c r="G2" s="936"/>
      <c r="H2" s="832"/>
    </row>
    <row r="3" spans="1:10">
      <c r="A3" s="1723" t="str">
        <f>+'MISO Cover'!K4</f>
        <v>For  the 12 Months Ended 12/31/2014</v>
      </c>
      <c r="B3" s="1723"/>
      <c r="C3" s="1723"/>
      <c r="D3" s="1723"/>
      <c r="E3" s="539"/>
      <c r="F3" s="937"/>
      <c r="G3" s="937"/>
      <c r="H3" s="833"/>
      <c r="I3" s="833"/>
      <c r="J3" s="833"/>
    </row>
    <row r="4" spans="1:10">
      <c r="A4" s="811"/>
      <c r="B4" s="811"/>
      <c r="C4" s="811"/>
      <c r="D4" s="811"/>
      <c r="E4" s="811"/>
      <c r="F4" s="937"/>
      <c r="G4" s="937"/>
      <c r="H4" s="833"/>
      <c r="I4" s="833"/>
      <c r="J4" s="833"/>
    </row>
    <row r="5" spans="1:10">
      <c r="B5" s="528" t="s">
        <v>261</v>
      </c>
      <c r="C5" s="529" t="s">
        <v>309</v>
      </c>
      <c r="D5" s="528" t="s">
        <v>249</v>
      </c>
      <c r="E5" s="528"/>
      <c r="F5" s="918"/>
      <c r="G5" s="918"/>
      <c r="H5" s="528"/>
      <c r="I5" s="528"/>
      <c r="J5" s="528"/>
    </row>
    <row r="6" spans="1:10" s="530" customFormat="1">
      <c r="A6" s="530" t="s">
        <v>663</v>
      </c>
      <c r="B6" s="1617" t="s">
        <v>307</v>
      </c>
      <c r="C6" s="1618" t="s">
        <v>321</v>
      </c>
      <c r="D6" s="1618" t="s">
        <v>335</v>
      </c>
      <c r="E6" s="531"/>
      <c r="F6" s="938"/>
      <c r="G6" s="939"/>
      <c r="H6" s="834"/>
      <c r="I6" s="834"/>
      <c r="J6" s="834"/>
    </row>
    <row r="7" spans="1:10">
      <c r="A7" s="220">
        <v>1</v>
      </c>
      <c r="B7" s="536" t="s">
        <v>257</v>
      </c>
      <c r="C7" s="529"/>
      <c r="D7" s="533"/>
      <c r="E7" s="533"/>
      <c r="F7" s="940"/>
      <c r="G7" s="940"/>
      <c r="H7" s="528"/>
      <c r="I7" s="528"/>
      <c r="J7" s="528"/>
    </row>
    <row r="8" spans="1:10">
      <c r="A8" s="220">
        <f>+A7+0.1</f>
        <v>1.1000000000000001</v>
      </c>
      <c r="B8" s="532" t="s">
        <v>539</v>
      </c>
      <c r="C8" s="534">
        <v>5075403</v>
      </c>
      <c r="D8" s="743" t="s">
        <v>1085</v>
      </c>
      <c r="E8" s="535"/>
      <c r="F8" s="940"/>
      <c r="G8" s="940"/>
      <c r="H8" s="528"/>
      <c r="I8" s="528"/>
      <c r="J8" s="528"/>
    </row>
    <row r="9" spans="1:10">
      <c r="A9" s="220">
        <f>+A8+0.1</f>
        <v>1.2000000000000002</v>
      </c>
      <c r="B9" s="692" t="s">
        <v>540</v>
      </c>
      <c r="C9" s="693">
        <v>7060516</v>
      </c>
      <c r="D9" s="743" t="s">
        <v>1227</v>
      </c>
      <c r="E9" s="535"/>
      <c r="F9" s="940"/>
      <c r="G9" s="940"/>
      <c r="H9" s="528"/>
      <c r="I9" s="528"/>
      <c r="J9" s="528"/>
    </row>
    <row r="10" spans="1:10">
      <c r="A10" s="220">
        <f>+A7+1</f>
        <v>2</v>
      </c>
      <c r="B10" s="1041" t="s">
        <v>308</v>
      </c>
      <c r="C10" s="1042">
        <f>+C8+C9</f>
        <v>12135919</v>
      </c>
      <c r="D10" s="1043" t="str">
        <f>+"Sum Ln "&amp;A7&amp;" Subparts"</f>
        <v>Sum Ln 1 Subparts</v>
      </c>
    </row>
    <row r="11" spans="1:10">
      <c r="A11" s="220">
        <f>+A10+1</f>
        <v>3</v>
      </c>
      <c r="D11" s="608"/>
    </row>
    <row r="12" spans="1:10">
      <c r="A12" s="220">
        <f>+A11+1</f>
        <v>4</v>
      </c>
      <c r="B12" s="536" t="s">
        <v>258</v>
      </c>
      <c r="D12" s="608"/>
    </row>
    <row r="13" spans="1:10">
      <c r="A13" s="220">
        <f>+A12+0.01</f>
        <v>4.01</v>
      </c>
      <c r="B13" s="532" t="s">
        <v>539</v>
      </c>
      <c r="C13" s="222">
        <v>45223709</v>
      </c>
      <c r="D13" s="743" t="s">
        <v>1086</v>
      </c>
    </row>
    <row r="14" spans="1:10">
      <c r="A14" s="220">
        <f t="shared" ref="A14:A24" si="0">+A13+0.01</f>
        <v>4.0199999999999996</v>
      </c>
      <c r="B14" s="44" t="s">
        <v>541</v>
      </c>
      <c r="C14" s="222">
        <v>10903475</v>
      </c>
      <c r="D14" s="743" t="s">
        <v>1227</v>
      </c>
    </row>
    <row r="15" spans="1:10">
      <c r="A15" s="220">
        <f t="shared" si="0"/>
        <v>4.0299999999999994</v>
      </c>
      <c r="B15" s="44" t="s">
        <v>542</v>
      </c>
      <c r="C15" s="80">
        <f>+C9</f>
        <v>7060516</v>
      </c>
      <c r="D15" s="743" t="str">
        <f>+"Line "&amp;A9</f>
        <v>Line 1.2</v>
      </c>
    </row>
    <row r="16" spans="1:10">
      <c r="A16" s="220">
        <f t="shared" si="0"/>
        <v>4.0399999999999991</v>
      </c>
      <c r="B16" s="44" t="s">
        <v>543</v>
      </c>
      <c r="C16" s="222">
        <v>1581</v>
      </c>
      <c r="D16" s="743" t="s">
        <v>1227</v>
      </c>
    </row>
    <row r="17" spans="1:10">
      <c r="A17" s="220">
        <f t="shared" si="0"/>
        <v>4.0499999999999989</v>
      </c>
      <c r="B17" s="44" t="s">
        <v>544</v>
      </c>
      <c r="C17" s="222">
        <v>1878095</v>
      </c>
      <c r="D17" s="743" t="s">
        <v>1227</v>
      </c>
    </row>
    <row r="18" spans="1:10">
      <c r="A18" s="220">
        <f t="shared" si="0"/>
        <v>4.0599999999999987</v>
      </c>
      <c r="B18" s="44" t="s">
        <v>545</v>
      </c>
      <c r="C18" s="222">
        <v>5440524</v>
      </c>
      <c r="D18" s="743" t="s">
        <v>1227</v>
      </c>
    </row>
    <row r="19" spans="1:10">
      <c r="A19" s="220">
        <f t="shared" si="0"/>
        <v>4.0699999999999985</v>
      </c>
      <c r="B19" s="44" t="s">
        <v>546</v>
      </c>
      <c r="C19" s="222">
        <v>563132</v>
      </c>
      <c r="D19" s="743" t="s">
        <v>1227</v>
      </c>
    </row>
    <row r="20" spans="1:10">
      <c r="A20" s="220">
        <f t="shared" si="0"/>
        <v>4.0799999999999983</v>
      </c>
      <c r="B20" s="44" t="s">
        <v>547</v>
      </c>
      <c r="C20" s="222">
        <v>187142</v>
      </c>
      <c r="D20" s="743" t="s">
        <v>1227</v>
      </c>
    </row>
    <row r="21" spans="1:10">
      <c r="A21" s="220">
        <f t="shared" si="0"/>
        <v>4.0899999999999981</v>
      </c>
      <c r="B21" s="44" t="s">
        <v>655</v>
      </c>
      <c r="C21" s="222">
        <v>24839596</v>
      </c>
      <c r="D21" s="743" t="s">
        <v>1227</v>
      </c>
    </row>
    <row r="22" spans="1:10">
      <c r="A22" s="957">
        <f t="shared" si="0"/>
        <v>4.0999999999999979</v>
      </c>
      <c r="B22" s="44" t="s">
        <v>548</v>
      </c>
      <c r="C22" s="222">
        <v>97809749</v>
      </c>
      <c r="D22" s="743" t="s">
        <v>1227</v>
      </c>
      <c r="E22" s="533"/>
      <c r="F22" s="940"/>
      <c r="G22" s="940"/>
      <c r="H22" s="528"/>
      <c r="I22" s="528"/>
      <c r="J22" s="528"/>
    </row>
    <row r="23" spans="1:10">
      <c r="A23" s="957">
        <f t="shared" si="0"/>
        <v>4.1099999999999977</v>
      </c>
      <c r="B23" s="44" t="s">
        <v>549</v>
      </c>
      <c r="C23" s="222">
        <v>4927768</v>
      </c>
      <c r="D23" s="743" t="s">
        <v>1227</v>
      </c>
      <c r="E23" s="533"/>
      <c r="F23" s="940"/>
      <c r="G23" s="940"/>
      <c r="H23" s="528"/>
      <c r="I23" s="528"/>
      <c r="J23" s="528"/>
    </row>
    <row r="24" spans="1:10">
      <c r="A24" s="1417">
        <f t="shared" si="0"/>
        <v>4.1199999999999974</v>
      </c>
      <c r="B24" s="844" t="s">
        <v>1507</v>
      </c>
      <c r="C24" s="222"/>
      <c r="D24" s="743"/>
      <c r="E24" s="533"/>
      <c r="F24" s="940"/>
      <c r="G24" s="940"/>
      <c r="H24" s="528"/>
      <c r="I24" s="528"/>
      <c r="J24" s="528"/>
    </row>
    <row r="25" spans="1:10">
      <c r="A25" s="1417" t="s">
        <v>1498</v>
      </c>
      <c r="B25" s="844" t="s">
        <v>1507</v>
      </c>
      <c r="C25" s="222"/>
      <c r="D25" s="743"/>
      <c r="E25" s="533"/>
      <c r="F25" s="940"/>
      <c r="G25" s="940"/>
      <c r="H25" s="528"/>
      <c r="I25" s="528"/>
      <c r="J25" s="528"/>
    </row>
    <row r="26" spans="1:10">
      <c r="A26" s="1417" t="s">
        <v>1499</v>
      </c>
      <c r="B26" s="1404" t="s">
        <v>1507</v>
      </c>
      <c r="C26" s="278"/>
      <c r="D26" s="743"/>
      <c r="E26" s="533"/>
      <c r="F26" s="940"/>
      <c r="G26" s="940"/>
      <c r="H26" s="528"/>
      <c r="I26" s="528"/>
      <c r="J26" s="528"/>
    </row>
    <row r="27" spans="1:10">
      <c r="A27" s="220">
        <f>+A12+1</f>
        <v>5</v>
      </c>
      <c r="B27" s="1041" t="s">
        <v>199</v>
      </c>
      <c r="C27" s="80">
        <f>SUM(C13:C26)</f>
        <v>198835287</v>
      </c>
      <c r="D27" s="1043" t="str">
        <f>+"Sum Ln "&amp;A12&amp;" Subparts"</f>
        <v>Sum Ln 4 Subparts</v>
      </c>
    </row>
    <row r="28" spans="1:10">
      <c r="A28" s="220">
        <f>+A27+1</f>
        <v>6</v>
      </c>
      <c r="D28" s="298"/>
    </row>
    <row r="29" spans="1:10">
      <c r="A29" s="220">
        <f>+A28+1</f>
        <v>7</v>
      </c>
      <c r="B29" s="537" t="s">
        <v>968</v>
      </c>
      <c r="D29" s="298"/>
    </row>
    <row r="30" spans="1:10">
      <c r="A30" s="220">
        <f>+A29+0.1</f>
        <v>7.1</v>
      </c>
      <c r="B30" s="532" t="s">
        <v>539</v>
      </c>
      <c r="C30" s="222">
        <v>5581873</v>
      </c>
      <c r="D30" s="743" t="s">
        <v>1087</v>
      </c>
    </row>
    <row r="31" spans="1:10">
      <c r="A31" s="220">
        <f>+A30+0.1</f>
        <v>7.1999999999999993</v>
      </c>
      <c r="B31" s="44" t="s">
        <v>655</v>
      </c>
      <c r="C31" s="80">
        <f>+C21</f>
        <v>24839596</v>
      </c>
      <c r="D31" s="743" t="str">
        <f>+"Line "&amp;A21</f>
        <v>Line 4.09</v>
      </c>
    </row>
    <row r="32" spans="1:10">
      <c r="A32" s="220">
        <f>+A31+0.1</f>
        <v>7.2999999999999989</v>
      </c>
      <c r="B32" s="587" t="s">
        <v>549</v>
      </c>
      <c r="C32" s="598">
        <f>+C23</f>
        <v>4927768</v>
      </c>
      <c r="D32" s="743" t="str">
        <f>+"Line "&amp;A23</f>
        <v>Line 4.11</v>
      </c>
    </row>
    <row r="33" spans="1:4">
      <c r="A33" s="220">
        <f>+A29+1</f>
        <v>8</v>
      </c>
      <c r="B33" s="1041" t="str">
        <f>+"Total "&amp;B29</f>
        <v>Total A&amp;G Wages Expense</v>
      </c>
      <c r="C33" s="1042">
        <f>SUM(C30:C32)</f>
        <v>35349237</v>
      </c>
      <c r="D33" s="1043" t="str">
        <f>+"Sum Ln "&amp;A29&amp;" Subparts"</f>
        <v>Sum Ln 7 Subparts</v>
      </c>
    </row>
    <row r="34" spans="1:4">
      <c r="A34" s="812"/>
    </row>
    <row r="35" spans="1:4">
      <c r="A35" s="43" t="s">
        <v>746</v>
      </c>
      <c r="B35" s="43"/>
    </row>
    <row r="36" spans="1:4">
      <c r="A36" s="241" t="s">
        <v>367</v>
      </c>
      <c r="B36" s="43" t="s">
        <v>985</v>
      </c>
    </row>
    <row r="37" spans="1:4">
      <c r="A37" s="812"/>
    </row>
  </sheetData>
  <mergeCells count="3">
    <mergeCell ref="A1:D1"/>
    <mergeCell ref="A3:D3"/>
    <mergeCell ref="A2:D2"/>
  </mergeCells>
  <printOptions horizontalCentered="1"/>
  <pageMargins left="0.5" right="0.5" top="0.5" bottom="0.75" header="0.3" footer="0.3"/>
  <pageSetup orientation="portrait" r:id="rId1"/>
  <headerFooter>
    <oddFooter>&amp;CPage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2"/>
  <sheetViews>
    <sheetView topLeftCell="B6" zoomScaleNormal="100" zoomScaleSheetLayoutView="75" workbookViewId="0">
      <selection activeCell="B45" sqref="B45:L45"/>
    </sheetView>
  </sheetViews>
  <sheetFormatPr defaultColWidth="8.85546875" defaultRowHeight="12.75"/>
  <cols>
    <col min="1" max="1" width="6.42578125" style="552" customWidth="1"/>
    <col min="2" max="2" width="9.42578125" style="552" customWidth="1"/>
    <col min="3" max="3" width="12.42578125" style="552" bestFit="1" customWidth="1"/>
    <col min="4" max="4" width="16.42578125" style="552" bestFit="1" customWidth="1"/>
    <col min="5" max="5" width="12.42578125" style="552" bestFit="1" customWidth="1"/>
    <col min="6" max="6" width="15.42578125" style="270" customWidth="1"/>
    <col min="7" max="7" width="14.140625" style="270" bestFit="1" customWidth="1"/>
    <col min="8" max="8" width="11.42578125" style="552" bestFit="1" customWidth="1"/>
    <col min="9" max="9" width="12.28515625" style="552" bestFit="1" customWidth="1"/>
    <col min="10" max="10" width="14.28515625" style="552" customWidth="1"/>
    <col min="11" max="11" width="12.42578125" style="552" bestFit="1" customWidth="1"/>
    <col min="12" max="12" width="15.85546875" style="552" bestFit="1" customWidth="1"/>
    <col min="13" max="13" width="14.28515625" style="552" customWidth="1"/>
    <col min="14" max="26" width="8.85546875" style="552"/>
    <col min="27" max="27" width="11.5703125" style="552" customWidth="1"/>
    <col min="28" max="16384" width="8.85546875" style="552"/>
  </cols>
  <sheetData>
    <row r="1" spans="1:12">
      <c r="A1" s="1714" t="str">
        <f>+'MISO Cover'!C6</f>
        <v>Entergy Arkansas, Inc.</v>
      </c>
      <c r="B1" s="1714"/>
      <c r="C1" s="1714"/>
      <c r="D1" s="1714"/>
      <c r="E1" s="1714"/>
      <c r="F1" s="1714"/>
      <c r="G1" s="1714"/>
      <c r="H1" s="1714"/>
      <c r="I1" s="1714"/>
      <c r="J1" s="1714"/>
      <c r="K1" s="1714"/>
      <c r="L1" s="1714"/>
    </row>
    <row r="2" spans="1:12">
      <c r="A2" s="1726" t="s">
        <v>1178</v>
      </c>
      <c r="B2" s="1726"/>
      <c r="C2" s="1726"/>
      <c r="D2" s="1726"/>
      <c r="E2" s="1726"/>
      <c r="F2" s="1726"/>
      <c r="G2" s="1726"/>
      <c r="H2" s="1726"/>
      <c r="I2" s="1726"/>
      <c r="J2" s="1726"/>
      <c r="K2" s="1726"/>
      <c r="L2" s="1726"/>
    </row>
    <row r="3" spans="1:12">
      <c r="A3" s="1727" t="str">
        <f>+'MISO Cover'!K4</f>
        <v>For  the 12 Months Ended 12/31/2014</v>
      </c>
      <c r="B3" s="1727"/>
      <c r="C3" s="1727"/>
      <c r="D3" s="1727"/>
      <c r="E3" s="1727"/>
      <c r="F3" s="1727"/>
      <c r="G3" s="1727"/>
      <c r="H3" s="1727"/>
      <c r="I3" s="1727"/>
      <c r="J3" s="1727"/>
      <c r="K3" s="1727"/>
      <c r="L3" s="1727"/>
    </row>
    <row r="4" spans="1:12">
      <c r="A4" s="563"/>
      <c r="B4" s="563"/>
      <c r="C4" s="563"/>
      <c r="D4" s="563"/>
      <c r="E4" s="563"/>
    </row>
    <row r="5" spans="1:12" s="568" customFormat="1">
      <c r="A5" s="679" t="s">
        <v>663</v>
      </c>
      <c r="B5" s="659" t="s">
        <v>261</v>
      </c>
      <c r="C5" s="659" t="s">
        <v>309</v>
      </c>
      <c r="D5" s="679" t="s">
        <v>249</v>
      </c>
      <c r="E5" s="679" t="s">
        <v>262</v>
      </c>
      <c r="F5" s="679" t="s">
        <v>260</v>
      </c>
      <c r="G5" s="679" t="s">
        <v>351</v>
      </c>
      <c r="H5" s="679" t="s">
        <v>263</v>
      </c>
      <c r="I5" s="679" t="s">
        <v>364</v>
      </c>
      <c r="J5" s="679" t="s">
        <v>253</v>
      </c>
      <c r="K5" s="680" t="s">
        <v>254</v>
      </c>
      <c r="L5" s="680" t="s">
        <v>265</v>
      </c>
    </row>
    <row r="6" spans="1:12" s="568" customFormat="1" ht="15.6" customHeight="1">
      <c r="A6" s="764">
        <v>1</v>
      </c>
      <c r="B6" s="681" t="s">
        <v>1228</v>
      </c>
      <c r="C6" s="659"/>
      <c r="D6" s="679"/>
      <c r="E6" s="679"/>
      <c r="F6" s="659" t="s">
        <v>1005</v>
      </c>
      <c r="G6" s="679"/>
      <c r="H6" s="679"/>
      <c r="I6" s="679"/>
      <c r="J6" s="679"/>
      <c r="K6" s="680"/>
      <c r="L6" s="749" t="s">
        <v>1025</v>
      </c>
    </row>
    <row r="7" spans="1:12" s="569" customFormat="1" ht="30" customHeight="1">
      <c r="A7" s="764">
        <f>+A6+1</f>
        <v>2</v>
      </c>
      <c r="B7" s="552"/>
      <c r="C7" s="659" t="s">
        <v>864</v>
      </c>
      <c r="D7" s="659" t="s">
        <v>1004</v>
      </c>
      <c r="E7" s="679" t="s">
        <v>909</v>
      </c>
      <c r="F7" s="679" t="s">
        <v>863</v>
      </c>
      <c r="G7" s="679" t="s">
        <v>331</v>
      </c>
      <c r="H7" s="679" t="s">
        <v>910</v>
      </c>
      <c r="I7" s="679" t="s">
        <v>612</v>
      </c>
      <c r="J7" s="679" t="s">
        <v>214</v>
      </c>
      <c r="K7" s="679" t="s">
        <v>397</v>
      </c>
      <c r="L7" s="679" t="s">
        <v>308</v>
      </c>
    </row>
    <row r="8" spans="1:12" s="565" customFormat="1">
      <c r="A8" s="764">
        <f>+A7+1</f>
        <v>3</v>
      </c>
      <c r="B8" s="560" t="s">
        <v>335</v>
      </c>
      <c r="C8" s="1619" t="s">
        <v>993</v>
      </c>
      <c r="D8" s="1619"/>
      <c r="E8" s="1619"/>
      <c r="F8" s="1619" t="s">
        <v>992</v>
      </c>
      <c r="G8" s="1619" t="s">
        <v>994</v>
      </c>
      <c r="H8" s="1619"/>
      <c r="I8" s="1619"/>
      <c r="J8" s="1619" t="s">
        <v>995</v>
      </c>
      <c r="K8" s="1619" t="s">
        <v>996</v>
      </c>
      <c r="L8" s="1620"/>
    </row>
    <row r="9" spans="1:12" s="561" customFormat="1">
      <c r="A9" s="764">
        <f t="shared" ref="A9:A20" si="0">+A8+1</f>
        <v>4</v>
      </c>
      <c r="B9" s="1527" t="s">
        <v>231</v>
      </c>
      <c r="C9" s="758">
        <v>380677628.44999981</v>
      </c>
      <c r="D9" s="758">
        <v>3889848214.9700012</v>
      </c>
      <c r="E9" s="758">
        <v>64108621.359999992</v>
      </c>
      <c r="F9" s="558">
        <f t="shared" ref="F9:F21" si="1">+D9+E9</f>
        <v>3953956836.3300014</v>
      </c>
      <c r="G9" s="758">
        <v>1527970107.7000003</v>
      </c>
      <c r="H9" s="758">
        <v>46041300.04999999</v>
      </c>
      <c r="I9" s="758">
        <v>16759097.959999999</v>
      </c>
      <c r="J9" s="758">
        <v>2818128287.5999999</v>
      </c>
      <c r="K9" s="758">
        <v>193134061.10000008</v>
      </c>
      <c r="L9" s="562">
        <f>+C9+D9+G9+J9+K9</f>
        <v>8809758299.8200016</v>
      </c>
    </row>
    <row r="10" spans="1:12">
      <c r="A10" s="764">
        <f t="shared" si="0"/>
        <v>5</v>
      </c>
      <c r="B10" s="1527" t="s">
        <v>221</v>
      </c>
      <c r="C10" s="758">
        <v>380997659.80999982</v>
      </c>
      <c r="D10" s="758">
        <v>3912350717.8300014</v>
      </c>
      <c r="E10" s="758">
        <v>64108621.359999992</v>
      </c>
      <c r="F10" s="558">
        <f t="shared" si="1"/>
        <v>3976459339.1900015</v>
      </c>
      <c r="G10" s="758">
        <v>1533348407.4800003</v>
      </c>
      <c r="H10" s="758">
        <v>46041300.04999999</v>
      </c>
      <c r="I10" s="758">
        <v>16869363.93</v>
      </c>
      <c r="J10" s="758">
        <v>2828708924.6599998</v>
      </c>
      <c r="K10" s="758">
        <v>174705182.47000009</v>
      </c>
      <c r="L10" s="562">
        <f t="shared" ref="L10:L20" si="2">+C10+D10+G10+J10+K10</f>
        <v>8830110892.2500019</v>
      </c>
    </row>
    <row r="11" spans="1:12">
      <c r="A11" s="764">
        <f t="shared" si="0"/>
        <v>6</v>
      </c>
      <c r="B11" s="1527" t="s">
        <v>222</v>
      </c>
      <c r="C11" s="758">
        <v>380938814.35999984</v>
      </c>
      <c r="D11" s="758">
        <v>3908330733.6100016</v>
      </c>
      <c r="E11" s="758">
        <v>64108621.359999992</v>
      </c>
      <c r="F11" s="558">
        <f t="shared" si="1"/>
        <v>3972439354.9700017</v>
      </c>
      <c r="G11" s="758">
        <v>1538057200.3300002</v>
      </c>
      <c r="H11" s="758">
        <v>46024785.639999993</v>
      </c>
      <c r="I11" s="758">
        <v>16803869.98</v>
      </c>
      <c r="J11" s="758">
        <v>2830754755.02</v>
      </c>
      <c r="K11" s="758">
        <v>174832665.11000007</v>
      </c>
      <c r="L11" s="562">
        <f t="shared" si="2"/>
        <v>8832914168.4300022</v>
      </c>
    </row>
    <row r="12" spans="1:12">
      <c r="A12" s="764">
        <f t="shared" si="0"/>
        <v>7</v>
      </c>
      <c r="B12" s="1527" t="s">
        <v>223</v>
      </c>
      <c r="C12" s="758">
        <v>383950824.03999984</v>
      </c>
      <c r="D12" s="758">
        <v>3903139188.0600014</v>
      </c>
      <c r="E12" s="758">
        <v>107664210.81</v>
      </c>
      <c r="F12" s="558">
        <f t="shared" si="1"/>
        <v>4010803398.8700013</v>
      </c>
      <c r="G12" s="758">
        <v>1542075646.3500001</v>
      </c>
      <c r="H12" s="758">
        <v>46024785.639999993</v>
      </c>
      <c r="I12" s="758">
        <v>16752437.24</v>
      </c>
      <c r="J12" s="758">
        <v>2838214340.6300001</v>
      </c>
      <c r="K12" s="758">
        <v>174911673.73000008</v>
      </c>
      <c r="L12" s="562">
        <f t="shared" si="2"/>
        <v>8842291672.8100014</v>
      </c>
    </row>
    <row r="13" spans="1:12">
      <c r="A13" s="764">
        <f t="shared" si="0"/>
        <v>8</v>
      </c>
      <c r="B13" s="1527" t="s">
        <v>224</v>
      </c>
      <c r="C13" s="758">
        <v>387659881.71999985</v>
      </c>
      <c r="D13" s="758">
        <v>3903272607.1900015</v>
      </c>
      <c r="E13" s="758">
        <v>107664210.81</v>
      </c>
      <c r="F13" s="558">
        <f t="shared" si="1"/>
        <v>4010936818.0000014</v>
      </c>
      <c r="G13" s="758">
        <v>1563909786.5900002</v>
      </c>
      <c r="H13" s="758">
        <v>46113803.209999993</v>
      </c>
      <c r="I13" s="758">
        <v>16736040.49</v>
      </c>
      <c r="J13" s="758">
        <v>2845146200.0300002</v>
      </c>
      <c r="K13" s="758">
        <v>174936524.46000007</v>
      </c>
      <c r="L13" s="562">
        <f t="shared" si="2"/>
        <v>8874924999.9900036</v>
      </c>
    </row>
    <row r="14" spans="1:12">
      <c r="A14" s="764">
        <f t="shared" si="0"/>
        <v>9</v>
      </c>
      <c r="B14" s="1527" t="s">
        <v>220</v>
      </c>
      <c r="C14" s="758">
        <v>387668825.89999986</v>
      </c>
      <c r="D14" s="758">
        <v>3902569168.7900014</v>
      </c>
      <c r="E14" s="758">
        <v>111717076.63</v>
      </c>
      <c r="F14" s="558">
        <f t="shared" si="1"/>
        <v>4014286245.4200015</v>
      </c>
      <c r="G14" s="758">
        <v>1560344495.9200001</v>
      </c>
      <c r="H14" s="758">
        <v>46113803.209999993</v>
      </c>
      <c r="I14" s="758">
        <v>16736040.49</v>
      </c>
      <c r="J14" s="758">
        <v>2850021384.4000001</v>
      </c>
      <c r="K14" s="758">
        <v>174636771.82000008</v>
      </c>
      <c r="L14" s="562">
        <f t="shared" si="2"/>
        <v>8875240646.8300018</v>
      </c>
    </row>
    <row r="15" spans="1:12">
      <c r="A15" s="764">
        <f t="shared" si="0"/>
        <v>10</v>
      </c>
      <c r="B15" s="1527" t="s">
        <v>225</v>
      </c>
      <c r="C15" s="758">
        <v>387725570.12999988</v>
      </c>
      <c r="D15" s="758">
        <v>3935721303.1100016</v>
      </c>
      <c r="E15" s="758">
        <v>111717076.63</v>
      </c>
      <c r="F15" s="558">
        <f t="shared" si="1"/>
        <v>4047438379.7400017</v>
      </c>
      <c r="G15" s="758">
        <v>1573058982.1500001</v>
      </c>
      <c r="H15" s="758">
        <v>46113803.209999993</v>
      </c>
      <c r="I15" s="758">
        <v>16343297.99</v>
      </c>
      <c r="J15" s="758">
        <v>2887933490.7200003</v>
      </c>
      <c r="K15" s="758">
        <v>174856383.81000009</v>
      </c>
      <c r="L15" s="562">
        <f t="shared" si="2"/>
        <v>8959295729.9200001</v>
      </c>
    </row>
    <row r="16" spans="1:12">
      <c r="A16" s="764">
        <f t="shared" si="0"/>
        <v>11</v>
      </c>
      <c r="B16" s="1527" t="s">
        <v>226</v>
      </c>
      <c r="C16" s="758">
        <v>388017643.6099999</v>
      </c>
      <c r="D16" s="758">
        <v>3940512926.8100014</v>
      </c>
      <c r="E16" s="758">
        <v>111717076.63</v>
      </c>
      <c r="F16" s="558">
        <f t="shared" si="1"/>
        <v>4052230003.4400015</v>
      </c>
      <c r="G16" s="758">
        <v>1580528706.01</v>
      </c>
      <c r="H16" s="758">
        <v>46113803.209999993</v>
      </c>
      <c r="I16" s="758">
        <v>16343707.029999999</v>
      </c>
      <c r="J16" s="758">
        <v>2897990915.0600004</v>
      </c>
      <c r="K16" s="758">
        <v>174887433.87000009</v>
      </c>
      <c r="L16" s="562">
        <f t="shared" si="2"/>
        <v>8981937625.3600025</v>
      </c>
    </row>
    <row r="17" spans="1:14">
      <c r="A17" s="764">
        <f t="shared" si="0"/>
        <v>12</v>
      </c>
      <c r="B17" s="1527" t="s">
        <v>227</v>
      </c>
      <c r="C17" s="758">
        <v>389403072.79999989</v>
      </c>
      <c r="D17" s="758">
        <v>3941267791.8700018</v>
      </c>
      <c r="E17" s="758">
        <v>111717076.63</v>
      </c>
      <c r="F17" s="558">
        <f t="shared" si="1"/>
        <v>4052984868.5000019</v>
      </c>
      <c r="G17" s="758">
        <v>1581163316.52</v>
      </c>
      <c r="H17" s="758">
        <v>46113803.209999993</v>
      </c>
      <c r="I17" s="758">
        <v>16314065.58</v>
      </c>
      <c r="J17" s="758">
        <v>2930606022.3000002</v>
      </c>
      <c r="K17" s="758">
        <v>174964314.38000008</v>
      </c>
      <c r="L17" s="562">
        <f t="shared" si="2"/>
        <v>9017404517.8700008</v>
      </c>
    </row>
    <row r="18" spans="1:14">
      <c r="A18" s="764">
        <f t="shared" si="0"/>
        <v>13</v>
      </c>
      <c r="B18" s="1527" t="s">
        <v>228</v>
      </c>
      <c r="C18" s="758">
        <v>378332742.39999992</v>
      </c>
      <c r="D18" s="758">
        <v>3958246394.940002</v>
      </c>
      <c r="E18" s="758">
        <v>111717076.63</v>
      </c>
      <c r="F18" s="558">
        <f t="shared" si="1"/>
        <v>4069963471.5700021</v>
      </c>
      <c r="G18" s="758">
        <v>1596117583.73</v>
      </c>
      <c r="H18" s="758">
        <v>46113803.209999993</v>
      </c>
      <c r="I18" s="758">
        <v>16109191.09</v>
      </c>
      <c r="J18" s="758">
        <v>2940360902.8300004</v>
      </c>
      <c r="K18" s="758">
        <v>175073742.78000009</v>
      </c>
      <c r="L18" s="562">
        <f t="shared" si="2"/>
        <v>9048131366.6800022</v>
      </c>
    </row>
    <row r="19" spans="1:14">
      <c r="A19" s="764">
        <f t="shared" si="0"/>
        <v>14</v>
      </c>
      <c r="B19" s="1527" t="s">
        <v>229</v>
      </c>
      <c r="C19" s="758">
        <v>378521874.83999991</v>
      </c>
      <c r="D19" s="758">
        <v>3953468572.2300019</v>
      </c>
      <c r="E19" s="758">
        <v>111717076.63</v>
      </c>
      <c r="F19" s="558">
        <f t="shared" si="1"/>
        <v>4065185648.860002</v>
      </c>
      <c r="G19" s="758">
        <v>1599694190.8600001</v>
      </c>
      <c r="H19" s="758">
        <v>46113803.209999993</v>
      </c>
      <c r="I19" s="758">
        <v>16109191.09</v>
      </c>
      <c r="J19" s="758">
        <v>2959510595.4500003</v>
      </c>
      <c r="K19" s="758">
        <v>175135679.23000008</v>
      </c>
      <c r="L19" s="562">
        <f t="shared" si="2"/>
        <v>9066330912.6100025</v>
      </c>
    </row>
    <row r="20" spans="1:14">
      <c r="A20" s="764">
        <f t="shared" si="0"/>
        <v>15</v>
      </c>
      <c r="B20" s="1527" t="s">
        <v>230</v>
      </c>
      <c r="C20" s="758">
        <v>378609260.05999994</v>
      </c>
      <c r="D20" s="758">
        <v>3955910497.0700021</v>
      </c>
      <c r="E20" s="758">
        <v>111717076.63</v>
      </c>
      <c r="F20" s="558">
        <f t="shared" si="1"/>
        <v>4067627573.7000022</v>
      </c>
      <c r="G20" s="758">
        <v>1602081045.0300002</v>
      </c>
      <c r="H20" s="758">
        <v>46113803.209999993</v>
      </c>
      <c r="I20" s="758">
        <v>16109191.09</v>
      </c>
      <c r="J20" s="758">
        <v>2968040954.7900004</v>
      </c>
      <c r="K20" s="758">
        <v>175475334.23000008</v>
      </c>
      <c r="L20" s="562">
        <f t="shared" si="2"/>
        <v>9080117091.1800022</v>
      </c>
    </row>
    <row r="21" spans="1:14">
      <c r="A21" s="764">
        <f t="shared" ref="A21:A28" si="3">+A20+1</f>
        <v>16</v>
      </c>
      <c r="B21" s="1527" t="s">
        <v>231</v>
      </c>
      <c r="C21" s="758">
        <v>379103289.29999995</v>
      </c>
      <c r="D21" s="758">
        <v>3959492292.7700024</v>
      </c>
      <c r="E21" s="758">
        <v>111717076.63</v>
      </c>
      <c r="F21" s="558">
        <f t="shared" si="1"/>
        <v>4071209369.4000025</v>
      </c>
      <c r="G21" s="758">
        <v>1622596644.0500002</v>
      </c>
      <c r="H21" s="758">
        <v>46113803.209999993</v>
      </c>
      <c r="I21" s="758">
        <v>16247514.41</v>
      </c>
      <c r="J21" s="758">
        <v>2976650879.6200004</v>
      </c>
      <c r="K21" s="758">
        <v>170366506.82000008</v>
      </c>
      <c r="L21" s="562">
        <f>+C21+D21+G21+J21+K21</f>
        <v>9108209612.5600033</v>
      </c>
    </row>
    <row r="22" spans="1:14">
      <c r="A22" s="764">
        <f t="shared" si="3"/>
        <v>17</v>
      </c>
      <c r="B22" s="566" t="s">
        <v>335</v>
      </c>
      <c r="C22" s="170" t="s">
        <v>960</v>
      </c>
      <c r="D22" s="170"/>
      <c r="E22" s="170"/>
      <c r="F22" s="170" t="s">
        <v>1006</v>
      </c>
      <c r="G22" s="1566" t="s">
        <v>1533</v>
      </c>
      <c r="H22" s="1566"/>
      <c r="I22" s="170"/>
      <c r="J22" s="170" t="s">
        <v>998</v>
      </c>
      <c r="K22" s="170" t="s">
        <v>997</v>
      </c>
      <c r="L22" s="561"/>
    </row>
    <row r="23" spans="1:14" s="561" customFormat="1">
      <c r="A23" s="764">
        <f t="shared" si="3"/>
        <v>18</v>
      </c>
      <c r="B23" s="566" t="s">
        <v>865</v>
      </c>
      <c r="C23" s="1528">
        <f>SUM(C9:C21)/13</f>
        <v>383200545.18615377</v>
      </c>
      <c r="D23" s="1528">
        <f t="shared" ref="D23:L23" si="4">SUM(D9:D21)/13</f>
        <v>3928010031.4807711</v>
      </c>
      <c r="E23" s="1528">
        <f t="shared" si="4"/>
        <v>100106992.21076925</v>
      </c>
      <c r="F23" s="1528">
        <f t="shared" si="4"/>
        <v>4028117023.6915402</v>
      </c>
      <c r="G23" s="1528">
        <f t="shared" si="4"/>
        <v>1570842008.670769</v>
      </c>
      <c r="H23" s="1528">
        <f t="shared" si="4"/>
        <v>46088953.866923064</v>
      </c>
      <c r="I23" s="1528">
        <f t="shared" si="4"/>
        <v>16479462.182307692</v>
      </c>
      <c r="J23" s="1528">
        <f t="shared" si="4"/>
        <v>2890159050.2392316</v>
      </c>
      <c r="K23" s="1528">
        <f t="shared" si="4"/>
        <v>175993559.52384621</v>
      </c>
      <c r="L23" s="1528">
        <f t="shared" si="4"/>
        <v>8948205195.100771</v>
      </c>
      <c r="N23" s="552"/>
    </row>
    <row r="24" spans="1:14">
      <c r="A24" s="764">
        <f t="shared" si="3"/>
        <v>19</v>
      </c>
      <c r="B24" s="567"/>
      <c r="F24" s="552"/>
      <c r="G24" s="552"/>
    </row>
    <row r="25" spans="1:14">
      <c r="A25" s="764">
        <f t="shared" si="3"/>
        <v>20</v>
      </c>
      <c r="B25" s="567"/>
      <c r="F25" s="552"/>
      <c r="G25" s="552"/>
    </row>
    <row r="26" spans="1:14">
      <c r="A26" s="764">
        <f t="shared" si="3"/>
        <v>21</v>
      </c>
      <c r="B26" s="681" t="s">
        <v>1176</v>
      </c>
      <c r="C26" s="682"/>
      <c r="D26" s="683"/>
      <c r="E26" s="683"/>
      <c r="F26" s="683"/>
      <c r="G26" s="683"/>
      <c r="H26" s="683"/>
      <c r="I26" s="683"/>
      <c r="J26" s="683"/>
      <c r="K26" s="569"/>
      <c r="L26" s="569"/>
    </row>
    <row r="27" spans="1:14" s="569" customFormat="1" ht="30" customHeight="1">
      <c r="A27" s="764">
        <f t="shared" si="3"/>
        <v>22</v>
      </c>
      <c r="B27" s="552"/>
      <c r="C27" s="611" t="s">
        <v>864</v>
      </c>
      <c r="D27" s="611" t="s">
        <v>1004</v>
      </c>
      <c r="E27" s="1617" t="s">
        <v>909</v>
      </c>
      <c r="F27" s="1617" t="s">
        <v>863</v>
      </c>
      <c r="G27" s="1617" t="s">
        <v>331</v>
      </c>
      <c r="H27" s="1617" t="s">
        <v>910</v>
      </c>
      <c r="I27" s="1617" t="s">
        <v>612</v>
      </c>
      <c r="J27" s="1617" t="s">
        <v>214</v>
      </c>
      <c r="K27" s="1617" t="s">
        <v>397</v>
      </c>
      <c r="L27" s="1617" t="s">
        <v>308</v>
      </c>
      <c r="N27" s="552"/>
    </row>
    <row r="28" spans="1:14">
      <c r="A28" s="764">
        <f t="shared" si="3"/>
        <v>23</v>
      </c>
      <c r="B28" s="564" t="str">
        <f>+B9</f>
        <v>Dec</v>
      </c>
      <c r="C28" s="758">
        <v>303023309.11999995</v>
      </c>
      <c r="D28" s="758">
        <v>2169953627.3299999</v>
      </c>
      <c r="E28" s="758">
        <v>62373393.880000003</v>
      </c>
      <c r="F28" s="558">
        <f t="shared" ref="F28:F40" si="5">+D28+E28</f>
        <v>2232327021.21</v>
      </c>
      <c r="G28" s="758">
        <v>454312890.61999995</v>
      </c>
      <c r="H28" s="758">
        <v>12501138.819999997</v>
      </c>
      <c r="I28" s="758"/>
      <c r="J28" s="758">
        <v>1034252812.8</v>
      </c>
      <c r="K28" s="758">
        <v>84744426.280000001</v>
      </c>
      <c r="L28" s="562">
        <f t="shared" ref="L28:L39" si="6">+C28+D28+G28+J28+K28</f>
        <v>4046287066.1500001</v>
      </c>
      <c r="M28" s="270"/>
    </row>
    <row r="29" spans="1:14">
      <c r="A29" s="764">
        <f t="shared" ref="A29:A42" si="7">+A28+1</f>
        <v>24</v>
      </c>
      <c r="B29" s="564" t="str">
        <f t="shared" ref="B29:B40" si="8">+B10</f>
        <v>Jan</v>
      </c>
      <c r="C29" s="758">
        <v>303792155.09999996</v>
      </c>
      <c r="D29" s="758">
        <v>2176522817.1599998</v>
      </c>
      <c r="E29" s="758">
        <v>62359895.049999997</v>
      </c>
      <c r="F29" s="558">
        <f t="shared" si="5"/>
        <v>2238882712.21</v>
      </c>
      <c r="G29" s="758">
        <v>452663735.20999998</v>
      </c>
      <c r="H29" s="758">
        <v>12538232.919999996</v>
      </c>
      <c r="I29" s="758"/>
      <c r="J29" s="758">
        <v>1035462205.6300001</v>
      </c>
      <c r="K29" s="758">
        <v>65822881.010000005</v>
      </c>
      <c r="L29" s="562">
        <f t="shared" si="6"/>
        <v>4034263794.1100001</v>
      </c>
    </row>
    <row r="30" spans="1:14">
      <c r="A30" s="764">
        <f t="shared" si="7"/>
        <v>25</v>
      </c>
      <c r="B30" s="564" t="str">
        <f t="shared" si="8"/>
        <v>Feb</v>
      </c>
      <c r="C30" s="758">
        <v>305298683.43000001</v>
      </c>
      <c r="D30" s="758">
        <v>2182136493.52</v>
      </c>
      <c r="E30" s="758">
        <v>62346396.230000004</v>
      </c>
      <c r="F30" s="558">
        <f t="shared" si="5"/>
        <v>2244482889.75</v>
      </c>
      <c r="G30" s="758">
        <v>452385015.63</v>
      </c>
      <c r="H30" s="758">
        <v>12575327.019999996</v>
      </c>
      <c r="I30" s="758"/>
      <c r="J30" s="758">
        <v>1034011039.58</v>
      </c>
      <c r="K30" s="758">
        <v>66670359.300000004</v>
      </c>
      <c r="L30" s="562">
        <f t="shared" si="6"/>
        <v>4040501591.46</v>
      </c>
    </row>
    <row r="31" spans="1:14">
      <c r="A31" s="764">
        <f t="shared" si="7"/>
        <v>26</v>
      </c>
      <c r="B31" s="564" t="str">
        <f t="shared" si="8"/>
        <v>Mar</v>
      </c>
      <c r="C31" s="758">
        <v>306773311.46000004</v>
      </c>
      <c r="D31" s="758">
        <v>2186354652.8800001</v>
      </c>
      <c r="E31" s="758">
        <v>62502977.229999997</v>
      </c>
      <c r="F31" s="558">
        <f t="shared" si="5"/>
        <v>2248857630.1100001</v>
      </c>
      <c r="G31" s="758">
        <v>453083192.13999999</v>
      </c>
      <c r="H31" s="758">
        <v>12612421.119999995</v>
      </c>
      <c r="I31" s="758"/>
      <c r="J31" s="758">
        <v>1033611005.42</v>
      </c>
      <c r="K31" s="758">
        <v>67523731.150000006</v>
      </c>
      <c r="L31" s="562">
        <f t="shared" si="6"/>
        <v>4047345893.0500002</v>
      </c>
    </row>
    <row r="32" spans="1:14">
      <c r="A32" s="764">
        <f t="shared" si="7"/>
        <v>27</v>
      </c>
      <c r="B32" s="564" t="str">
        <f t="shared" si="8"/>
        <v>Apr</v>
      </c>
      <c r="C32" s="758">
        <v>308169295.48000002</v>
      </c>
      <c r="D32" s="758">
        <v>2196009757.9900002</v>
      </c>
      <c r="E32" s="758">
        <v>62659558.089999996</v>
      </c>
      <c r="F32" s="558">
        <f t="shared" si="5"/>
        <v>2258669316.0800004</v>
      </c>
      <c r="G32" s="758">
        <v>455117442.87</v>
      </c>
      <c r="H32" s="758">
        <v>12649515.219999995</v>
      </c>
      <c r="I32" s="758"/>
      <c r="J32" s="758">
        <v>1036432824.5</v>
      </c>
      <c r="K32" s="758">
        <v>68383802.530000001</v>
      </c>
      <c r="L32" s="562">
        <f t="shared" si="6"/>
        <v>4064113123.3700004</v>
      </c>
    </row>
    <row r="33" spans="1:15">
      <c r="A33" s="764">
        <f t="shared" si="7"/>
        <v>28</v>
      </c>
      <c r="B33" s="564" t="str">
        <f t="shared" si="8"/>
        <v>May</v>
      </c>
      <c r="C33" s="758">
        <v>309558576.03000003</v>
      </c>
      <c r="D33" s="758">
        <v>2200904560.6900001</v>
      </c>
      <c r="E33" s="758">
        <v>62830066.480000004</v>
      </c>
      <c r="F33" s="558">
        <f t="shared" si="5"/>
        <v>2263734627.1700001</v>
      </c>
      <c r="G33" s="758">
        <v>447210510.45999998</v>
      </c>
      <c r="H33" s="758">
        <v>12686609.319999995</v>
      </c>
      <c r="I33" s="758"/>
      <c r="J33" s="758">
        <v>1040054695.62</v>
      </c>
      <c r="K33" s="758">
        <v>69244356.600000009</v>
      </c>
      <c r="L33" s="562">
        <f t="shared" si="6"/>
        <v>4066972699.4000001</v>
      </c>
    </row>
    <row r="34" spans="1:15">
      <c r="A34" s="764">
        <f t="shared" si="7"/>
        <v>29</v>
      </c>
      <c r="B34" s="564" t="str">
        <f t="shared" si="8"/>
        <v>Jun</v>
      </c>
      <c r="C34" s="758">
        <v>310930917.03000003</v>
      </c>
      <c r="D34" s="758">
        <v>2208816618.1300001</v>
      </c>
      <c r="E34" s="758">
        <v>63000574.890000008</v>
      </c>
      <c r="F34" s="558">
        <f t="shared" si="5"/>
        <v>2271817193.02</v>
      </c>
      <c r="G34" s="758">
        <v>447712785.68999994</v>
      </c>
      <c r="H34" s="758">
        <v>12723703.419999994</v>
      </c>
      <c r="I34" s="758"/>
      <c r="J34" s="758">
        <v>1044683081.86</v>
      </c>
      <c r="K34" s="758">
        <v>70026116.719999999</v>
      </c>
      <c r="L34" s="562">
        <f t="shared" si="6"/>
        <v>4082169519.4300003</v>
      </c>
    </row>
    <row r="35" spans="1:15">
      <c r="A35" s="764">
        <f t="shared" si="7"/>
        <v>30</v>
      </c>
      <c r="B35" s="564" t="str">
        <f t="shared" si="8"/>
        <v>Jul</v>
      </c>
      <c r="C35" s="758">
        <v>312262726.48000002</v>
      </c>
      <c r="D35" s="758">
        <v>2215567004.9300003</v>
      </c>
      <c r="E35" s="758">
        <v>63171083.159999996</v>
      </c>
      <c r="F35" s="558">
        <f t="shared" si="5"/>
        <v>2278738088.0900002</v>
      </c>
      <c r="G35" s="758">
        <v>449688723.54999995</v>
      </c>
      <c r="H35" s="758">
        <v>12760797.519999994</v>
      </c>
      <c r="I35" s="758"/>
      <c r="J35" s="758">
        <v>1049145694.1600001</v>
      </c>
      <c r="K35" s="758">
        <v>72219197.049999997</v>
      </c>
      <c r="L35" s="562">
        <f t="shared" si="6"/>
        <v>4098883346.1700001</v>
      </c>
    </row>
    <row r="36" spans="1:15">
      <c r="A36" s="764">
        <f t="shared" si="7"/>
        <v>31</v>
      </c>
      <c r="B36" s="564" t="str">
        <f t="shared" si="8"/>
        <v>Aug</v>
      </c>
      <c r="C36" s="758">
        <v>313588460.24000001</v>
      </c>
      <c r="D36" s="758">
        <v>2223343268.3800001</v>
      </c>
      <c r="E36" s="758">
        <v>63341591.329999991</v>
      </c>
      <c r="F36" s="558">
        <f t="shared" si="5"/>
        <v>2286684859.71</v>
      </c>
      <c r="G36" s="758">
        <v>450286567.75999993</v>
      </c>
      <c r="H36" s="758">
        <v>12797891.619999994</v>
      </c>
      <c r="I36" s="758"/>
      <c r="J36" s="758">
        <v>1054104472.52</v>
      </c>
      <c r="K36" s="758">
        <v>73105230.790000007</v>
      </c>
      <c r="L36" s="562">
        <f t="shared" si="6"/>
        <v>4114427999.6899996</v>
      </c>
    </row>
    <row r="37" spans="1:15">
      <c r="A37" s="764">
        <f t="shared" si="7"/>
        <v>32</v>
      </c>
      <c r="B37" s="564" t="str">
        <f t="shared" si="8"/>
        <v>Sep</v>
      </c>
      <c r="C37" s="758">
        <v>314926910.43000001</v>
      </c>
      <c r="D37" s="758">
        <v>2228983763.6700001</v>
      </c>
      <c r="E37" s="758">
        <v>63512099.579999998</v>
      </c>
      <c r="F37" s="558">
        <f t="shared" si="5"/>
        <v>2292495863.25</v>
      </c>
      <c r="G37" s="758">
        <v>447716051.47999996</v>
      </c>
      <c r="H37" s="758">
        <v>12834985.719999993</v>
      </c>
      <c r="I37" s="758"/>
      <c r="J37" s="758">
        <v>1059006199.53</v>
      </c>
      <c r="K37" s="758">
        <v>73944210.939999998</v>
      </c>
      <c r="L37" s="562">
        <f t="shared" si="6"/>
        <v>4124577136.0499997</v>
      </c>
    </row>
    <row r="38" spans="1:15">
      <c r="A38" s="764">
        <f t="shared" si="7"/>
        <v>33</v>
      </c>
      <c r="B38" s="564" t="str">
        <f t="shared" si="8"/>
        <v>Oct</v>
      </c>
      <c r="C38" s="758">
        <v>316272291.08000004</v>
      </c>
      <c r="D38" s="758">
        <v>2230816322.25</v>
      </c>
      <c r="E38" s="758">
        <v>63682607.82</v>
      </c>
      <c r="F38" s="558">
        <f t="shared" si="5"/>
        <v>2294498930.0700002</v>
      </c>
      <c r="G38" s="758">
        <v>449196806.76999998</v>
      </c>
      <c r="H38" s="758">
        <v>12872079.819999993</v>
      </c>
      <c r="I38" s="758"/>
      <c r="J38" s="758">
        <v>1064079612.2600001</v>
      </c>
      <c r="K38" s="758">
        <v>74872977.699999988</v>
      </c>
      <c r="L38" s="562">
        <f t="shared" si="6"/>
        <v>4135238010.0599999</v>
      </c>
    </row>
    <row r="39" spans="1:15">
      <c r="A39" s="764">
        <f t="shared" si="7"/>
        <v>34</v>
      </c>
      <c r="B39" s="564" t="str">
        <f t="shared" si="8"/>
        <v>Nov</v>
      </c>
      <c r="C39" s="758">
        <v>317612762.34000003</v>
      </c>
      <c r="D39" s="758">
        <v>2237856029.46</v>
      </c>
      <c r="E39" s="758">
        <v>63853116.039999999</v>
      </c>
      <c r="F39" s="558">
        <f t="shared" si="5"/>
        <v>2301709145.5</v>
      </c>
      <c r="G39" s="758">
        <v>450896873.63</v>
      </c>
      <c r="H39" s="758">
        <v>12909173.919999992</v>
      </c>
      <c r="I39" s="758"/>
      <c r="J39" s="758">
        <v>1068961686.3099998</v>
      </c>
      <c r="K39" s="758">
        <v>75735637.629999995</v>
      </c>
      <c r="L39" s="562">
        <f t="shared" si="6"/>
        <v>4151062989.3700004</v>
      </c>
      <c r="M39" s="941"/>
    </row>
    <row r="40" spans="1:15">
      <c r="A40" s="764">
        <f t="shared" si="7"/>
        <v>35</v>
      </c>
      <c r="B40" s="564" t="str">
        <f t="shared" si="8"/>
        <v>Dec</v>
      </c>
      <c r="C40" s="758">
        <v>318944320.01000005</v>
      </c>
      <c r="D40" s="758">
        <v>2245958035.04</v>
      </c>
      <c r="E40" s="758">
        <v>64023624.229999997</v>
      </c>
      <c r="F40" s="558">
        <f t="shared" si="5"/>
        <v>2309981659.27</v>
      </c>
      <c r="G40" s="758">
        <v>451320245.48999995</v>
      </c>
      <c r="H40" s="758">
        <v>12946268.019999992</v>
      </c>
      <c r="I40" s="758"/>
      <c r="J40" s="758">
        <v>1074011863.1299999</v>
      </c>
      <c r="K40" s="758">
        <v>70516170.209999993</v>
      </c>
      <c r="L40" s="559">
        <f>+C40+D40+G40+J40+K40</f>
        <v>4160750633.8800001</v>
      </c>
      <c r="M40" s="1005"/>
      <c r="O40" s="882"/>
    </row>
    <row r="41" spans="1:15" s="561" customFormat="1">
      <c r="A41" s="764">
        <f t="shared" si="7"/>
        <v>36</v>
      </c>
      <c r="B41" s="566" t="s">
        <v>335</v>
      </c>
      <c r="C41" s="170" t="s">
        <v>999</v>
      </c>
      <c r="D41" s="170"/>
      <c r="E41" s="170"/>
      <c r="F41" s="170" t="s">
        <v>1007</v>
      </c>
      <c r="G41" s="1566" t="s">
        <v>1534</v>
      </c>
      <c r="H41" s="1566"/>
      <c r="I41" s="684"/>
      <c r="J41" s="170" t="s">
        <v>1000</v>
      </c>
      <c r="K41" s="170" t="s">
        <v>1001</v>
      </c>
      <c r="M41" s="1005"/>
      <c r="N41" s="552"/>
      <c r="O41" s="1006"/>
    </row>
    <row r="42" spans="1:15">
      <c r="A42" s="764">
        <f t="shared" si="7"/>
        <v>37</v>
      </c>
      <c r="B42" s="566" t="s">
        <v>865</v>
      </c>
      <c r="C42" s="1528">
        <f>SUM(C28:C40)/13</f>
        <v>310857978.32538462</v>
      </c>
      <c r="D42" s="1528">
        <f t="shared" ref="D42:L42" si="9">SUM(D28:D40)/13</f>
        <v>2207940227.0330768</v>
      </c>
      <c r="E42" s="1528">
        <f t="shared" si="9"/>
        <v>63050537.231538467</v>
      </c>
      <c r="F42" s="1528">
        <f t="shared" si="9"/>
        <v>2270990764.2646151</v>
      </c>
      <c r="G42" s="1528">
        <f t="shared" si="9"/>
        <v>450891603.1769231</v>
      </c>
      <c r="H42" s="1528">
        <f t="shared" si="9"/>
        <v>12723703.419999994</v>
      </c>
      <c r="I42" s="1528">
        <f t="shared" si="9"/>
        <v>0</v>
      </c>
      <c r="J42" s="1528">
        <f t="shared" si="9"/>
        <v>1048293630.2553846</v>
      </c>
      <c r="K42" s="1528">
        <f t="shared" si="9"/>
        <v>71754545.993076921</v>
      </c>
      <c r="L42" s="1528">
        <f t="shared" si="9"/>
        <v>4089737984.7838464</v>
      </c>
      <c r="M42" s="1005"/>
      <c r="O42" s="561"/>
    </row>
    <row r="43" spans="1:15">
      <c r="A43" s="765"/>
      <c r="D43" s="557"/>
      <c r="E43" s="557"/>
      <c r="M43" s="1007"/>
      <c r="O43" s="882"/>
    </row>
    <row r="44" spans="1:15">
      <c r="A44" s="552" t="s">
        <v>746</v>
      </c>
      <c r="D44" s="558"/>
      <c r="E44" s="558"/>
      <c r="M44" s="562"/>
    </row>
    <row r="45" spans="1:15" ht="26.45" customHeight="1">
      <c r="A45" s="1049" t="s">
        <v>367</v>
      </c>
      <c r="B45" s="1725" t="s">
        <v>1002</v>
      </c>
      <c r="C45" s="1725"/>
      <c r="D45" s="1725"/>
      <c r="E45" s="1725"/>
      <c r="F45" s="1725"/>
      <c r="G45" s="1725"/>
      <c r="H45" s="1725"/>
      <c r="I45" s="1725"/>
      <c r="J45" s="1725"/>
      <c r="K45" s="1725"/>
      <c r="L45" s="1725"/>
    </row>
    <row r="46" spans="1:15">
      <c r="D46" s="558"/>
      <c r="E46" s="558"/>
    </row>
    <row r="47" spans="1:15">
      <c r="E47" s="558"/>
    </row>
    <row r="48" spans="1:15">
      <c r="E48" s="558"/>
    </row>
    <row r="49" spans="4:5">
      <c r="E49" s="557"/>
    </row>
    <row r="50" spans="4:5">
      <c r="E50" s="557"/>
    </row>
    <row r="51" spans="4:5">
      <c r="D51" s="557"/>
      <c r="E51" s="557"/>
    </row>
    <row r="52" spans="4:5">
      <c r="D52" s="557"/>
      <c r="E52" s="557"/>
    </row>
  </sheetData>
  <mergeCells count="4">
    <mergeCell ref="B45:L45"/>
    <mergeCell ref="A2:L2"/>
    <mergeCell ref="A1:L1"/>
    <mergeCell ref="A3:L3"/>
  </mergeCells>
  <printOptions horizontalCentered="1"/>
  <pageMargins left="0.7" right="0.7" top="0.7" bottom="0.7" header="0.3" footer="0.5"/>
  <pageSetup scale="80" orientation="landscape" r:id="rId1"/>
  <headerFooter>
    <oddFooter>&amp;CPage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activeCell="C9" sqref="C9:C20"/>
    </sheetView>
  </sheetViews>
  <sheetFormatPr defaultColWidth="9.140625" defaultRowHeight="12.75"/>
  <cols>
    <col min="1" max="1" width="5.7109375" style="245" customWidth="1"/>
    <col min="2" max="2" width="9.85546875" style="245" customWidth="1"/>
    <col min="3" max="3" width="20.5703125" style="66" customWidth="1"/>
    <col min="4" max="4" width="20.140625" style="66" customWidth="1"/>
    <col min="5" max="5" width="13" style="66" bestFit="1" customWidth="1"/>
    <col min="6" max="16384" width="9.140625" style="66"/>
  </cols>
  <sheetData>
    <row r="1" spans="1:7" s="829" customFormat="1">
      <c r="A1" s="1728" t="str">
        <f>+'MISO Cover'!C6</f>
        <v>Entergy Arkansas, Inc.</v>
      </c>
      <c r="B1" s="1728"/>
      <c r="C1" s="1728"/>
      <c r="D1" s="1728"/>
      <c r="E1" s="644"/>
      <c r="F1" s="644"/>
      <c r="G1" s="644"/>
    </row>
    <row r="2" spans="1:7">
      <c r="A2" s="1726" t="s">
        <v>1152</v>
      </c>
      <c r="B2" s="1726"/>
      <c r="C2" s="1726"/>
      <c r="D2" s="1726"/>
    </row>
    <row r="3" spans="1:7" s="179" customFormat="1">
      <c r="A3" s="1729" t="str">
        <f>+'MISO Cover'!K4</f>
        <v>For  the 12 Months Ended 12/31/2014</v>
      </c>
      <c r="B3" s="1729"/>
      <c r="C3" s="1729"/>
      <c r="D3" s="1729"/>
      <c r="E3" s="226"/>
      <c r="F3" s="226"/>
      <c r="G3" s="226"/>
    </row>
    <row r="4" spans="1:7" s="179" customFormat="1">
      <c r="A4" s="815"/>
      <c r="B4" s="815"/>
      <c r="C4" s="815"/>
      <c r="D4" s="815"/>
      <c r="E4" s="226"/>
      <c r="F4" s="226"/>
      <c r="G4" s="226"/>
    </row>
    <row r="5" spans="1:7" ht="15" customHeight="1">
      <c r="A5" s="643"/>
      <c r="B5" s="643"/>
      <c r="C5" s="643"/>
      <c r="D5" s="643"/>
    </row>
    <row r="6" spans="1:7">
      <c r="A6" s="245" t="s">
        <v>663</v>
      </c>
      <c r="B6" s="245" t="s">
        <v>261</v>
      </c>
      <c r="C6" s="245" t="s">
        <v>309</v>
      </c>
      <c r="D6" s="247" t="s">
        <v>249</v>
      </c>
    </row>
    <row r="7" spans="1:7" ht="28.15" customHeight="1">
      <c r="A7" s="245">
        <v>1</v>
      </c>
      <c r="B7" s="66" t="s">
        <v>921</v>
      </c>
      <c r="C7" s="577" t="s">
        <v>1360</v>
      </c>
      <c r="D7" s="245" t="s">
        <v>646</v>
      </c>
    </row>
    <row r="8" spans="1:7">
      <c r="A8" s="245">
        <f>+A7+1</f>
        <v>2</v>
      </c>
      <c r="B8" s="246"/>
      <c r="C8" s="213"/>
      <c r="D8" s="248"/>
    </row>
    <row r="9" spans="1:7">
      <c r="A9" s="245">
        <f t="shared" ref="A9:A22" si="0">+A8+1</f>
        <v>3</v>
      </c>
      <c r="B9" s="66" t="s">
        <v>221</v>
      </c>
      <c r="C9" s="757">
        <v>9060951.5000000037</v>
      </c>
      <c r="D9" s="248">
        <f>+C9</f>
        <v>9060951.5000000037</v>
      </c>
      <c r="F9" s="756"/>
    </row>
    <row r="10" spans="1:7">
      <c r="A10" s="245">
        <f t="shared" si="0"/>
        <v>4</v>
      </c>
      <c r="B10" s="66" t="s">
        <v>222</v>
      </c>
      <c r="C10" s="757">
        <v>4298238.74</v>
      </c>
      <c r="D10" s="248">
        <f>+D9+C10</f>
        <v>13359190.240000004</v>
      </c>
    </row>
    <row r="11" spans="1:7">
      <c r="A11" s="245">
        <f t="shared" si="0"/>
        <v>5</v>
      </c>
      <c r="B11" s="66" t="s">
        <v>223</v>
      </c>
      <c r="C11" s="757">
        <v>-847172.68</v>
      </c>
      <c r="D11" s="248">
        <f t="shared" ref="D11:D20" si="1">+D10+C11</f>
        <v>12512017.560000004</v>
      </c>
    </row>
    <row r="12" spans="1:7">
      <c r="A12" s="245">
        <f t="shared" si="0"/>
        <v>6</v>
      </c>
      <c r="B12" s="66" t="s">
        <v>224</v>
      </c>
      <c r="C12" s="757">
        <v>25627781.190000024</v>
      </c>
      <c r="D12" s="248">
        <f t="shared" si="1"/>
        <v>38139798.75000003</v>
      </c>
    </row>
    <row r="13" spans="1:7">
      <c r="A13" s="245">
        <f t="shared" si="0"/>
        <v>7</v>
      </c>
      <c r="B13" s="66" t="s">
        <v>220</v>
      </c>
      <c r="C13" s="757">
        <v>-12474477.639999997</v>
      </c>
      <c r="D13" s="248">
        <f t="shared" si="1"/>
        <v>25665321.110000033</v>
      </c>
    </row>
    <row r="14" spans="1:7">
      <c r="A14" s="245">
        <f t="shared" si="0"/>
        <v>8</v>
      </c>
      <c r="B14" s="66" t="s">
        <v>225</v>
      </c>
      <c r="C14" s="757">
        <v>20002534.2235329</v>
      </c>
      <c r="D14" s="248">
        <f t="shared" si="1"/>
        <v>45667855.333532929</v>
      </c>
    </row>
    <row r="15" spans="1:7">
      <c r="A15" s="245">
        <f t="shared" si="0"/>
        <v>9</v>
      </c>
      <c r="B15" s="66" t="s">
        <v>226</v>
      </c>
      <c r="C15" s="757">
        <v>20002534.2235329</v>
      </c>
      <c r="D15" s="248">
        <f t="shared" si="1"/>
        <v>65670389.55706583</v>
      </c>
    </row>
    <row r="16" spans="1:7">
      <c r="A16" s="245">
        <f t="shared" si="0"/>
        <v>10</v>
      </c>
      <c r="B16" s="66" t="s">
        <v>227</v>
      </c>
      <c r="C16" s="757">
        <v>46835149.548658006</v>
      </c>
      <c r="D16" s="248">
        <f t="shared" si="1"/>
        <v>112505539.10572383</v>
      </c>
    </row>
    <row r="17" spans="1:4">
      <c r="A17" s="245">
        <f t="shared" si="0"/>
        <v>11</v>
      </c>
      <c r="B17" s="66" t="s">
        <v>228</v>
      </c>
      <c r="C17" s="757">
        <v>20181306.2570449</v>
      </c>
      <c r="D17" s="248">
        <f t="shared" si="1"/>
        <v>132686845.36276872</v>
      </c>
    </row>
    <row r="18" spans="1:4">
      <c r="A18" s="245">
        <f t="shared" si="0"/>
        <v>12</v>
      </c>
      <c r="B18" s="66" t="s">
        <v>229</v>
      </c>
      <c r="C18" s="757">
        <v>20181306.2570449</v>
      </c>
      <c r="D18" s="248">
        <f t="shared" si="1"/>
        <v>152868151.61981362</v>
      </c>
    </row>
    <row r="19" spans="1:4">
      <c r="A19" s="245">
        <f t="shared" si="0"/>
        <v>13</v>
      </c>
      <c r="B19" s="66" t="s">
        <v>230</v>
      </c>
      <c r="C19" s="757">
        <v>20181306.2570449</v>
      </c>
      <c r="D19" s="248">
        <f t="shared" si="1"/>
        <v>173049457.87685853</v>
      </c>
    </row>
    <row r="20" spans="1:4">
      <c r="A20" s="245">
        <f t="shared" si="0"/>
        <v>14</v>
      </c>
      <c r="B20" s="66" t="s">
        <v>231</v>
      </c>
      <c r="C20" s="1598">
        <v>20184314.782044902</v>
      </c>
      <c r="D20" s="942">
        <f t="shared" si="1"/>
        <v>193233772.65890342</v>
      </c>
    </row>
    <row r="21" spans="1:4">
      <c r="A21" s="245">
        <f t="shared" si="0"/>
        <v>15</v>
      </c>
      <c r="B21" s="66" t="s">
        <v>308</v>
      </c>
      <c r="C21" s="169">
        <f>SUM(C9:C20)</f>
        <v>193233772.65890342</v>
      </c>
    </row>
    <row r="22" spans="1:4">
      <c r="A22" s="245">
        <f t="shared" si="0"/>
        <v>16</v>
      </c>
      <c r="B22" s="66" t="s">
        <v>942</v>
      </c>
      <c r="C22" s="249"/>
      <c r="D22" s="248">
        <f>+SUM(D9:D20)/12</f>
        <v>81201607.556222245</v>
      </c>
    </row>
    <row r="23" spans="1:4" ht="13.5" customHeight="1">
      <c r="B23" s="66"/>
      <c r="C23" s="82"/>
      <c r="D23" s="246"/>
    </row>
    <row r="24" spans="1:4" s="282" customFormat="1">
      <c r="A24" s="168" t="s">
        <v>746</v>
      </c>
      <c r="C24" s="196"/>
    </row>
    <row r="25" spans="1:4" s="282" customFormat="1" ht="27.6" customHeight="1">
      <c r="A25" s="1718" t="s">
        <v>1026</v>
      </c>
      <c r="B25" s="1718"/>
      <c r="C25" s="1718"/>
      <c r="D25" s="1718"/>
    </row>
    <row r="26" spans="1:4" s="282" customFormat="1" ht="40.9" customHeight="1">
      <c r="A26" s="1709" t="s">
        <v>1356</v>
      </c>
      <c r="B26" s="1709"/>
      <c r="C26" s="1709"/>
      <c r="D26" s="1709"/>
    </row>
    <row r="27" spans="1:4" s="282" customFormat="1">
      <c r="A27" s="237"/>
      <c r="B27" s="237"/>
      <c r="D27" s="196"/>
    </row>
    <row r="28" spans="1:4" s="282" customFormat="1">
      <c r="A28" s="237"/>
      <c r="B28" s="237"/>
      <c r="D28" s="196"/>
    </row>
    <row r="29" spans="1:4" s="282" customFormat="1">
      <c r="A29" s="237"/>
      <c r="B29" s="237"/>
      <c r="D29" s="196"/>
    </row>
    <row r="30" spans="1:4" s="282" customFormat="1">
      <c r="A30" s="237"/>
      <c r="B30" s="237"/>
      <c r="D30" s="196"/>
    </row>
    <row r="31" spans="1:4" s="282" customFormat="1">
      <c r="A31" s="237"/>
      <c r="B31" s="237"/>
      <c r="D31" s="196"/>
    </row>
    <row r="32" spans="1:4" s="282" customFormat="1">
      <c r="A32" s="237"/>
      <c r="B32" s="237"/>
      <c r="D32" s="196"/>
    </row>
    <row r="33" spans="1:4" s="282" customFormat="1">
      <c r="A33" s="237"/>
      <c r="B33" s="237"/>
      <c r="D33" s="196"/>
    </row>
    <row r="34" spans="1:4" s="282" customFormat="1">
      <c r="A34" s="237"/>
      <c r="B34" s="237"/>
      <c r="D34" s="196"/>
    </row>
    <row r="35" spans="1:4" s="282" customFormat="1">
      <c r="A35" s="237"/>
      <c r="B35" s="237"/>
      <c r="D35" s="196"/>
    </row>
    <row r="36" spans="1:4" s="282" customFormat="1">
      <c r="A36" s="237"/>
      <c r="B36" s="237"/>
      <c r="D36" s="196"/>
    </row>
    <row r="37" spans="1:4" s="282" customFormat="1">
      <c r="A37" s="237"/>
      <c r="B37" s="237"/>
      <c r="D37" s="196"/>
    </row>
    <row r="38" spans="1:4" s="282" customFormat="1">
      <c r="A38" s="237"/>
      <c r="B38" s="237"/>
      <c r="D38" s="196"/>
    </row>
    <row r="39" spans="1:4" s="282" customFormat="1">
      <c r="A39" s="237"/>
      <c r="B39" s="237"/>
      <c r="D39" s="196"/>
    </row>
    <row r="40" spans="1:4" s="282" customFormat="1">
      <c r="A40" s="237"/>
      <c r="B40" s="237"/>
      <c r="D40" s="196"/>
    </row>
    <row r="41" spans="1:4" s="282" customFormat="1">
      <c r="A41" s="237"/>
      <c r="B41" s="237"/>
      <c r="D41" s="196"/>
    </row>
    <row r="42" spans="1:4" s="282" customFormat="1">
      <c r="A42" s="237"/>
      <c r="B42" s="237"/>
      <c r="D42" s="196"/>
    </row>
    <row r="43" spans="1:4" s="282" customFormat="1">
      <c r="A43" s="237"/>
      <c r="B43" s="237"/>
      <c r="D43" s="192"/>
    </row>
    <row r="44" spans="1:4" s="282" customFormat="1">
      <c r="A44" s="237"/>
      <c r="B44" s="237"/>
      <c r="D44" s="192"/>
    </row>
    <row r="45" spans="1:4" s="282" customFormat="1">
      <c r="A45" s="237"/>
      <c r="B45" s="237"/>
      <c r="D45" s="192"/>
    </row>
    <row r="46" spans="1:4" s="282" customFormat="1">
      <c r="A46" s="237"/>
      <c r="B46" s="237"/>
      <c r="D46" s="192"/>
    </row>
    <row r="47" spans="1:4" s="282" customFormat="1">
      <c r="A47" s="237"/>
      <c r="B47" s="237"/>
      <c r="D47" s="192"/>
    </row>
    <row r="48" spans="1:4" s="282" customFormat="1">
      <c r="A48" s="237"/>
      <c r="B48" s="237"/>
      <c r="D48" s="192"/>
    </row>
    <row r="49" spans="1:3" s="282" customFormat="1">
      <c r="A49" s="237"/>
      <c r="B49" s="237"/>
    </row>
    <row r="50" spans="1:3" s="282" customFormat="1">
      <c r="A50" s="237"/>
      <c r="B50" s="237"/>
    </row>
    <row r="51" spans="1:3" s="282" customFormat="1">
      <c r="A51" s="237"/>
      <c r="B51" s="237"/>
    </row>
    <row r="52" spans="1:3" s="282" customFormat="1">
      <c r="A52" s="237"/>
      <c r="B52" s="237"/>
      <c r="C52" s="237"/>
    </row>
    <row r="53" spans="1:3" s="282" customFormat="1">
      <c r="A53" s="237"/>
      <c r="B53" s="237"/>
    </row>
    <row r="54" spans="1:3" s="282" customFormat="1">
      <c r="A54" s="237"/>
      <c r="B54" s="237"/>
    </row>
    <row r="55" spans="1:3" s="282" customFormat="1">
      <c r="A55" s="237"/>
      <c r="B55" s="237"/>
    </row>
    <row r="56" spans="1:3" s="282" customFormat="1">
      <c r="A56" s="237"/>
      <c r="B56" s="237"/>
    </row>
    <row r="57" spans="1:3" s="282" customFormat="1">
      <c r="A57" s="237"/>
      <c r="B57" s="237"/>
    </row>
    <row r="58" spans="1:3" s="282" customFormat="1">
      <c r="A58" s="237"/>
      <c r="B58" s="237"/>
      <c r="C58" s="247"/>
    </row>
    <row r="59" spans="1:3" s="282" customFormat="1">
      <c r="A59" s="237"/>
      <c r="B59" s="237"/>
      <c r="C59" s="237"/>
    </row>
    <row r="60" spans="1:3" s="282" customFormat="1">
      <c r="A60" s="237"/>
      <c r="B60" s="237"/>
      <c r="C60" s="237"/>
    </row>
    <row r="61" spans="1:3" s="282" customFormat="1">
      <c r="A61" s="237"/>
      <c r="B61" s="237"/>
      <c r="C61" s="237"/>
    </row>
    <row r="62" spans="1:3" s="282" customFormat="1">
      <c r="A62" s="237"/>
      <c r="B62" s="237"/>
      <c r="C62" s="252"/>
    </row>
    <row r="63" spans="1:3" s="282" customFormat="1">
      <c r="A63" s="237"/>
      <c r="B63" s="237"/>
      <c r="C63" s="251"/>
    </row>
    <row r="64" spans="1:3" s="282" customFormat="1">
      <c r="A64" s="237"/>
      <c r="B64" s="237"/>
      <c r="C64" s="251"/>
    </row>
    <row r="65" spans="1:4" s="282" customFormat="1">
      <c r="A65" s="237"/>
      <c r="B65" s="237"/>
      <c r="C65" s="251"/>
    </row>
    <row r="66" spans="1:4" s="282" customFormat="1">
      <c r="A66" s="237"/>
      <c r="B66" s="237"/>
      <c r="C66" s="251"/>
    </row>
    <row r="67" spans="1:4" s="282" customFormat="1">
      <c r="A67" s="237"/>
      <c r="B67" s="237"/>
      <c r="C67" s="251"/>
    </row>
    <row r="68" spans="1:4" s="282" customFormat="1">
      <c r="A68" s="237"/>
      <c r="B68" s="237"/>
      <c r="C68" s="251"/>
    </row>
    <row r="69" spans="1:4" s="282" customFormat="1">
      <c r="A69" s="237"/>
      <c r="B69" s="237"/>
      <c r="C69" s="251"/>
    </row>
    <row r="70" spans="1:4" s="282" customFormat="1">
      <c r="A70" s="237"/>
      <c r="B70" s="237"/>
      <c r="C70" s="251"/>
    </row>
    <row r="71" spans="1:4" s="282" customFormat="1">
      <c r="A71" s="237"/>
      <c r="B71" s="237"/>
      <c r="C71" s="251"/>
    </row>
    <row r="72" spans="1:4" s="282" customFormat="1">
      <c r="A72" s="237"/>
      <c r="B72" s="237"/>
      <c r="C72" s="251"/>
    </row>
    <row r="73" spans="1:4" s="282" customFormat="1">
      <c r="A73" s="237"/>
      <c r="B73" s="237"/>
      <c r="C73" s="251"/>
    </row>
    <row r="74" spans="1:4" s="282" customFormat="1">
      <c r="A74" s="237"/>
      <c r="B74" s="237"/>
      <c r="C74" s="251"/>
    </row>
    <row r="75" spans="1:4" s="282" customFormat="1">
      <c r="A75" s="237"/>
      <c r="B75" s="237"/>
      <c r="C75" s="192"/>
      <c r="D75" s="192"/>
    </row>
    <row r="76" spans="1:4" s="282" customFormat="1">
      <c r="A76" s="237"/>
      <c r="B76" s="237"/>
    </row>
    <row r="77" spans="1:4" s="282" customFormat="1">
      <c r="B77" s="237"/>
    </row>
    <row r="78" spans="1:4" s="282" customFormat="1"/>
    <row r="79" spans="1:4" s="282" customFormat="1">
      <c r="A79" s="237"/>
      <c r="C79" s="237"/>
    </row>
    <row r="80" spans="1:4" s="282" customFormat="1">
      <c r="A80" s="237"/>
      <c r="B80" s="237"/>
      <c r="C80" s="237"/>
    </row>
    <row r="81" spans="1:34" s="282" customFormat="1">
      <c r="A81" s="237"/>
      <c r="B81" s="237"/>
      <c r="C81" s="237"/>
    </row>
    <row r="82" spans="1:34" s="282" customFormat="1">
      <c r="A82" s="237"/>
      <c r="B82" s="237"/>
      <c r="C82" s="237"/>
    </row>
    <row r="83" spans="1:34" s="282" customFormat="1">
      <c r="A83" s="237"/>
      <c r="B83" s="237"/>
    </row>
    <row r="84" spans="1:34" s="282" customFormat="1">
      <c r="A84" s="237"/>
      <c r="B84" s="213"/>
    </row>
    <row r="85" spans="1:34" s="282" customFormat="1">
      <c r="A85" s="237"/>
      <c r="B85" s="237"/>
      <c r="C85" s="250"/>
    </row>
    <row r="86" spans="1:34" s="282" customFormat="1">
      <c r="A86" s="237"/>
      <c r="B86" s="237"/>
    </row>
    <row r="87" spans="1:34" s="282" customFormat="1">
      <c r="A87" s="237"/>
      <c r="B87" s="237"/>
    </row>
    <row r="88" spans="1:34">
      <c r="A88" s="253"/>
      <c r="B88" s="237"/>
      <c r="C88" s="2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row>
    <row r="89" spans="1:34">
      <c r="A89" s="253"/>
      <c r="B89" s="253"/>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row>
    <row r="90" spans="1:34">
      <c r="A90" s="253"/>
      <c r="B90" s="253"/>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row>
    <row r="91" spans="1:34">
      <c r="A91" s="253"/>
      <c r="B91" s="253"/>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row>
    <row r="92" spans="1:34">
      <c r="A92" s="253"/>
      <c r="B92" s="253"/>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row>
    <row r="93" spans="1:34">
      <c r="A93" s="253"/>
      <c r="B93" s="253"/>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row>
    <row r="94" spans="1:34">
      <c r="A94" s="253"/>
      <c r="B94" s="253"/>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row>
    <row r="95" spans="1:34">
      <c r="A95" s="253"/>
      <c r="B95" s="253"/>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row>
    <row r="96" spans="1:34">
      <c r="A96" s="253"/>
      <c r="B96" s="253"/>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row>
    <row r="97" spans="1:34">
      <c r="A97" s="253"/>
      <c r="B97" s="253"/>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row>
    <row r="98" spans="1:34">
      <c r="A98" s="253"/>
      <c r="B98" s="253"/>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row>
    <row r="99" spans="1:34">
      <c r="A99" s="253"/>
      <c r="B99" s="253"/>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row>
    <row r="100" spans="1:34">
      <c r="A100" s="253"/>
      <c r="B100" s="253"/>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row>
    <row r="101" spans="1:34">
      <c r="A101" s="253"/>
      <c r="B101" s="253"/>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row>
    <row r="102" spans="1:34">
      <c r="A102" s="253"/>
      <c r="B102" s="253"/>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row>
    <row r="103" spans="1:34">
      <c r="A103" s="253"/>
      <c r="B103" s="253"/>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row>
    <row r="104" spans="1:34">
      <c r="A104" s="253"/>
      <c r="B104" s="253"/>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row>
    <row r="105" spans="1:34">
      <c r="A105" s="253"/>
      <c r="B105" s="253"/>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c r="A106" s="253"/>
      <c r="B106" s="253"/>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row>
    <row r="107" spans="1:34">
      <c r="A107" s="253"/>
      <c r="B107" s="253"/>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row>
    <row r="108" spans="1:34">
      <c r="A108" s="253"/>
      <c r="B108" s="253"/>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row>
    <row r="109" spans="1:34">
      <c r="A109" s="253"/>
      <c r="B109" s="253"/>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row>
    <row r="110" spans="1:34">
      <c r="A110" s="253"/>
      <c r="B110" s="253"/>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row>
    <row r="111" spans="1:34">
      <c r="A111" s="253"/>
      <c r="B111" s="253"/>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row>
    <row r="112" spans="1:34">
      <c r="A112" s="253"/>
      <c r="B112" s="253"/>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row>
    <row r="113" spans="1:34">
      <c r="A113" s="253"/>
      <c r="B113" s="253"/>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c r="A114" s="253"/>
      <c r="B114" s="253"/>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row>
    <row r="115" spans="1:34">
      <c r="A115" s="253"/>
      <c r="B115" s="253"/>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c r="A116" s="253"/>
      <c r="B116" s="253"/>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row>
    <row r="117" spans="1:34">
      <c r="A117" s="253"/>
      <c r="B117" s="253"/>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row>
    <row r="118" spans="1:34">
      <c r="A118" s="253"/>
      <c r="B118" s="253"/>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row>
    <row r="119" spans="1:34">
      <c r="A119" s="253"/>
      <c r="B119" s="253"/>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row>
    <row r="120" spans="1:34">
      <c r="A120" s="253"/>
      <c r="B120" s="253"/>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row>
    <row r="121" spans="1:34">
      <c r="A121" s="253"/>
      <c r="B121" s="253"/>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row>
    <row r="122" spans="1:34">
      <c r="A122" s="253"/>
      <c r="B122" s="253"/>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row>
    <row r="123" spans="1:34">
      <c r="A123" s="253"/>
      <c r="B123" s="253"/>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row>
    <row r="124" spans="1:34">
      <c r="A124" s="253"/>
      <c r="B124" s="253"/>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row>
    <row r="125" spans="1:34">
      <c r="A125" s="253"/>
      <c r="B125" s="253"/>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row>
    <row r="126" spans="1:34">
      <c r="A126" s="253"/>
      <c r="B126" s="253"/>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row>
    <row r="127" spans="1:34">
      <c r="A127" s="253"/>
      <c r="B127" s="253"/>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row>
    <row r="128" spans="1:34">
      <c r="A128" s="253"/>
      <c r="B128" s="253"/>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row>
    <row r="129" spans="1:34">
      <c r="A129" s="253"/>
      <c r="B129" s="253"/>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row>
    <row r="130" spans="1:34">
      <c r="A130" s="253"/>
      <c r="B130" s="253"/>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row>
    <row r="131" spans="1:34">
      <c r="A131" s="253"/>
      <c r="B131" s="253"/>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row>
    <row r="132" spans="1:34">
      <c r="A132" s="253"/>
      <c r="B132" s="253"/>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row>
    <row r="133" spans="1:34">
      <c r="A133" s="253"/>
      <c r="B133" s="253"/>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row>
    <row r="134" spans="1:34">
      <c r="A134" s="253"/>
      <c r="B134" s="253"/>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row>
    <row r="135" spans="1:34">
      <c r="A135" s="253"/>
      <c r="B135" s="253"/>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row>
    <row r="136" spans="1:34">
      <c r="A136" s="253"/>
      <c r="B136" s="253"/>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row>
    <row r="137" spans="1:34">
      <c r="A137" s="253"/>
      <c r="B137" s="253"/>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row>
    <row r="138" spans="1:34">
      <c r="A138" s="253"/>
      <c r="B138" s="253"/>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row>
    <row r="139" spans="1:34">
      <c r="A139" s="253"/>
      <c r="B139" s="253"/>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row>
    <row r="140" spans="1:34">
      <c r="A140" s="253"/>
      <c r="B140" s="253"/>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row>
    <row r="141" spans="1:34">
      <c r="A141" s="253"/>
      <c r="B141" s="253"/>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row>
    <row r="142" spans="1:34">
      <c r="A142" s="253"/>
      <c r="B142" s="253"/>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row>
    <row r="143" spans="1:34">
      <c r="A143" s="253"/>
      <c r="B143" s="253"/>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row>
    <row r="144" spans="1:34">
      <c r="A144" s="253"/>
      <c r="B144" s="253"/>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row>
    <row r="145" spans="1:34" s="245" customFormat="1">
      <c r="A145" s="253"/>
      <c r="B145" s="253"/>
      <c r="C145" s="82"/>
      <c r="D145" s="82"/>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row>
    <row r="146" spans="1:34">
      <c r="A146" s="253"/>
      <c r="B146" s="253"/>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row>
    <row r="147" spans="1:34">
      <c r="A147" s="237"/>
      <c r="B147" s="253"/>
      <c r="C147" s="82"/>
      <c r="D147" s="2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row>
    <row r="148" spans="1:34">
      <c r="A148" s="237"/>
      <c r="B148" s="237"/>
      <c r="C148" s="282"/>
      <c r="D148" s="2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row>
    <row r="149" spans="1:34">
      <c r="A149" s="237"/>
      <c r="B149" s="237"/>
      <c r="C149" s="282"/>
      <c r="D149" s="2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row>
    <row r="150" spans="1:34">
      <c r="A150" s="237"/>
      <c r="B150" s="237"/>
      <c r="C150" s="282"/>
      <c r="D150" s="2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row>
    <row r="151" spans="1:34">
      <c r="A151" s="237"/>
      <c r="B151" s="237"/>
      <c r="C151" s="282"/>
      <c r="D151" s="2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row>
    <row r="152" spans="1:34">
      <c r="A152" s="237"/>
      <c r="B152" s="237"/>
      <c r="C152" s="282"/>
      <c r="D152" s="2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row>
    <row r="153" spans="1:34">
      <c r="A153" s="237"/>
      <c r="B153" s="237"/>
      <c r="C153" s="282"/>
      <c r="D153" s="2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row>
    <row r="154" spans="1:34">
      <c r="A154" s="237"/>
      <c r="B154" s="237"/>
      <c r="C154" s="282"/>
      <c r="D154" s="2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row>
    <row r="155" spans="1:34">
      <c r="A155" s="237"/>
      <c r="B155" s="237"/>
      <c r="C155" s="282"/>
      <c r="D155" s="2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row>
    <row r="156" spans="1:34">
      <c r="A156" s="253"/>
      <c r="B156" s="237"/>
      <c r="C156" s="2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row>
    <row r="157" spans="1:34">
      <c r="A157" s="253"/>
      <c r="B157" s="253"/>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row>
    <row r="158" spans="1:34">
      <c r="A158" s="253"/>
      <c r="B158" s="253"/>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row>
    <row r="159" spans="1:34">
      <c r="A159" s="253"/>
      <c r="B159" s="253"/>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row>
    <row r="160" spans="1:34">
      <c r="A160" s="253"/>
      <c r="B160" s="253"/>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row>
    <row r="161" spans="1:34">
      <c r="A161" s="253"/>
      <c r="B161" s="253"/>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row>
    <row r="162" spans="1:34">
      <c r="A162" s="253"/>
      <c r="B162" s="253"/>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row>
    <row r="163" spans="1:34">
      <c r="A163" s="253"/>
      <c r="B163" s="253"/>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row>
    <row r="164" spans="1:34">
      <c r="A164" s="253"/>
      <c r="B164" s="253"/>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row>
    <row r="165" spans="1:34">
      <c r="A165" s="253"/>
      <c r="B165" s="253"/>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row>
  </sheetData>
  <mergeCells count="5">
    <mergeCell ref="A26:D26"/>
    <mergeCell ref="A1:D1"/>
    <mergeCell ref="A3:D3"/>
    <mergeCell ref="A2:D2"/>
    <mergeCell ref="A25:D25"/>
  </mergeCells>
  <printOptions horizontalCentered="1"/>
  <pageMargins left="0.7" right="0.7" top="0.7" bottom="0.7" header="0.3" footer="0.5"/>
  <pageSetup scale="95" orientation="portrait" r:id="rId1"/>
  <headerFooter>
    <oddFooter>&amp;CPage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29"/>
  <sheetViews>
    <sheetView zoomScaleNormal="100" workbookViewId="0">
      <selection activeCell="A7" sqref="A7:N228"/>
    </sheetView>
  </sheetViews>
  <sheetFormatPr defaultColWidth="9.140625" defaultRowHeight="12.75"/>
  <cols>
    <col min="1" max="1" width="5.7109375" style="787" customWidth="1"/>
    <col min="2" max="2" width="8.5703125" style="741" customWidth="1"/>
    <col min="3" max="3" width="30" style="741" customWidth="1"/>
    <col min="4" max="4" width="15.28515625" style="741" customWidth="1"/>
    <col min="5" max="5" width="15.42578125" style="44" customWidth="1"/>
    <col min="6" max="6" width="14" style="44" customWidth="1"/>
    <col min="7" max="7" width="14" style="43" customWidth="1"/>
    <col min="8" max="8" width="14.7109375" style="43" bestFit="1" customWidth="1"/>
    <col min="9" max="11" width="14" style="43" customWidth="1"/>
    <col min="12" max="12" width="14.7109375" style="43" bestFit="1" customWidth="1"/>
    <col min="13" max="13" width="14" style="43" customWidth="1"/>
    <col min="14" max="14" width="72.5703125" style="43" customWidth="1"/>
    <col min="15" max="17" width="9.140625" style="44"/>
    <col min="18" max="18" width="10.28515625" style="44" bestFit="1" customWidth="1"/>
    <col min="19" max="16384" width="9.140625" style="44"/>
  </cols>
  <sheetData>
    <row r="1" spans="1:17">
      <c r="A1" s="1739" t="str">
        <f>+'MISO Cover'!C6</f>
        <v>Entergy Arkansas, Inc.</v>
      </c>
      <c r="B1" s="1739"/>
      <c r="C1" s="1739"/>
      <c r="D1" s="1739"/>
      <c r="E1" s="1739"/>
      <c r="F1" s="1739"/>
      <c r="G1" s="1739"/>
      <c r="H1" s="1739"/>
      <c r="I1" s="1739"/>
      <c r="J1" s="1739"/>
      <c r="K1" s="1739"/>
      <c r="L1" s="1739"/>
      <c r="M1" s="1739"/>
      <c r="N1" s="1739"/>
    </row>
    <row r="2" spans="1:17" s="43" customFormat="1" ht="15" customHeight="1">
      <c r="A2" s="1740" t="s">
        <v>1179</v>
      </c>
      <c r="B2" s="1740"/>
      <c r="C2" s="1740"/>
      <c r="D2" s="1740"/>
      <c r="E2" s="1740"/>
      <c r="F2" s="1740"/>
      <c r="G2" s="1740"/>
      <c r="H2" s="1740"/>
      <c r="I2" s="1740"/>
      <c r="J2" s="1740"/>
      <c r="K2" s="1740"/>
      <c r="L2" s="1740"/>
      <c r="M2" s="1740"/>
      <c r="N2" s="1740"/>
    </row>
    <row r="3" spans="1:17">
      <c r="A3" s="1739" t="str">
        <f>+'MISO Cover'!K4</f>
        <v>For  the 12 Months Ended 12/31/2014</v>
      </c>
      <c r="B3" s="1739"/>
      <c r="C3" s="1739"/>
      <c r="D3" s="1739"/>
      <c r="E3" s="1739"/>
      <c r="F3" s="1739"/>
      <c r="G3" s="1739"/>
      <c r="H3" s="1739"/>
      <c r="I3" s="1739"/>
      <c r="J3" s="1739"/>
      <c r="K3" s="1739"/>
      <c r="L3" s="1739"/>
      <c r="M3" s="1739"/>
      <c r="N3" s="1739"/>
      <c r="O3" s="226"/>
      <c r="P3" s="226"/>
      <c r="Q3" s="226"/>
    </row>
    <row r="4" spans="1:17">
      <c r="A4" s="1742" t="s">
        <v>345</v>
      </c>
      <c r="B4" s="808"/>
      <c r="C4" s="808"/>
      <c r="D4" s="808"/>
      <c r="E4" s="195"/>
      <c r="F4" s="195"/>
      <c r="G4" s="184"/>
      <c r="H4" s="184"/>
      <c r="I4" s="184"/>
      <c r="J4" s="184"/>
      <c r="K4" s="184"/>
      <c r="L4" s="184"/>
      <c r="M4" s="184"/>
      <c r="N4" s="184"/>
      <c r="O4" s="226"/>
      <c r="P4" s="226"/>
      <c r="Q4" s="226"/>
    </row>
    <row r="5" spans="1:17" s="43" customFormat="1">
      <c r="A5" s="1742"/>
      <c r="B5" s="507" t="s">
        <v>261</v>
      </c>
      <c r="C5" s="507" t="s">
        <v>309</v>
      </c>
      <c r="D5" s="507" t="s">
        <v>249</v>
      </c>
      <c r="E5" s="507" t="s">
        <v>262</v>
      </c>
      <c r="F5" s="507" t="s">
        <v>260</v>
      </c>
      <c r="G5" s="507" t="s">
        <v>351</v>
      </c>
      <c r="H5" s="507" t="s">
        <v>263</v>
      </c>
      <c r="I5" s="507" t="s">
        <v>364</v>
      </c>
      <c r="J5" s="507" t="s">
        <v>866</v>
      </c>
      <c r="K5" s="507" t="s">
        <v>254</v>
      </c>
      <c r="L5" s="507" t="s">
        <v>265</v>
      </c>
      <c r="M5" s="507" t="s">
        <v>293</v>
      </c>
      <c r="N5" s="507" t="s">
        <v>294</v>
      </c>
    </row>
    <row r="6" spans="1:17" ht="15">
      <c r="A6" s="1054"/>
      <c r="B6" s="808"/>
      <c r="C6" s="808"/>
      <c r="D6" s="808"/>
      <c r="E6" s="194"/>
      <c r="F6" s="1732" t="s">
        <v>1669</v>
      </c>
      <c r="G6" s="1732"/>
      <c r="H6" s="1732"/>
      <c r="I6" s="1733"/>
      <c r="J6" s="1734" t="s">
        <v>874</v>
      </c>
      <c r="K6" s="1732"/>
      <c r="L6" s="1732"/>
      <c r="M6" s="1733"/>
      <c r="O6" s="510"/>
    </row>
    <row r="7" spans="1:17" ht="46.5" customHeight="1">
      <c r="A7" s="1054">
        <v>1</v>
      </c>
      <c r="B7" s="44"/>
      <c r="C7" s="220"/>
      <c r="D7" s="499" t="s">
        <v>360</v>
      </c>
      <c r="E7" s="667" t="s">
        <v>355</v>
      </c>
      <c r="F7" s="553" t="s">
        <v>872</v>
      </c>
      <c r="G7" s="553" t="s">
        <v>873</v>
      </c>
      <c r="H7" s="553" t="s">
        <v>341</v>
      </c>
      <c r="I7" s="667" t="s">
        <v>342</v>
      </c>
      <c r="J7" s="669" t="s">
        <v>872</v>
      </c>
      <c r="K7" s="553" t="s">
        <v>873</v>
      </c>
      <c r="L7" s="553" t="s">
        <v>341</v>
      </c>
      <c r="M7" s="667" t="s">
        <v>342</v>
      </c>
      <c r="N7" s="816" t="s">
        <v>876</v>
      </c>
    </row>
    <row r="8" spans="1:17" ht="15">
      <c r="A8" s="1054">
        <f>+A7+1</f>
        <v>2</v>
      </c>
      <c r="B8" s="500"/>
      <c r="C8" s="220"/>
      <c r="D8" s="220"/>
      <c r="E8" s="668"/>
      <c r="F8" s="1732" t="s">
        <v>889</v>
      </c>
      <c r="G8" s="1732"/>
      <c r="H8" s="1732"/>
      <c r="I8" s="1733"/>
      <c r="J8" s="1734" t="s">
        <v>1221</v>
      </c>
      <c r="K8" s="1732"/>
      <c r="L8" s="1732"/>
      <c r="M8" s="1733"/>
      <c r="N8" s="44"/>
    </row>
    <row r="9" spans="1:17">
      <c r="A9" s="1054">
        <f t="shared" ref="A9:A17" si="0">+A8+1</f>
        <v>3</v>
      </c>
      <c r="C9" s="220"/>
      <c r="D9" s="220"/>
      <c r="E9" s="1649" t="s">
        <v>332</v>
      </c>
      <c r="F9" s="80">
        <f t="shared" ref="F9:M9" si="1">+F104</f>
        <v>112072409.08500004</v>
      </c>
      <c r="G9" s="80">
        <f t="shared" si="1"/>
        <v>0</v>
      </c>
      <c r="H9" s="80">
        <f t="shared" si="1"/>
        <v>450375092.47500002</v>
      </c>
      <c r="I9" s="835">
        <f t="shared" si="1"/>
        <v>7154091.419999999</v>
      </c>
      <c r="J9" s="953">
        <f t="shared" si="1"/>
        <v>121951154.7499999</v>
      </c>
      <c r="K9" s="283">
        <f t="shared" si="1"/>
        <v>0</v>
      </c>
      <c r="L9" s="283">
        <f t="shared" si="1"/>
        <v>464078883.06999999</v>
      </c>
      <c r="M9" s="835">
        <f t="shared" si="1"/>
        <v>6265345.5999999996</v>
      </c>
      <c r="N9" s="283" t="str">
        <f>+"Ln "&amp;A104</f>
        <v>Ln 15</v>
      </c>
    </row>
    <row r="10" spans="1:17">
      <c r="A10" s="1054">
        <f t="shared" si="0"/>
        <v>4</v>
      </c>
      <c r="C10" s="220"/>
      <c r="D10" s="220"/>
      <c r="E10" s="1649" t="s">
        <v>556</v>
      </c>
      <c r="F10" s="80">
        <v>0</v>
      </c>
      <c r="G10" s="80">
        <v>0</v>
      </c>
      <c r="H10" s="80">
        <v>0</v>
      </c>
      <c r="I10" s="835">
        <v>0</v>
      </c>
      <c r="J10" s="953">
        <v>0</v>
      </c>
      <c r="K10" s="283">
        <v>0</v>
      </c>
      <c r="L10" s="283">
        <v>0</v>
      </c>
      <c r="M10" s="835">
        <v>0</v>
      </c>
      <c r="N10" s="43" t="s">
        <v>875</v>
      </c>
    </row>
    <row r="11" spans="1:17">
      <c r="A11" s="1054">
        <f t="shared" si="0"/>
        <v>5</v>
      </c>
      <c r="C11" s="220"/>
      <c r="D11" s="220"/>
      <c r="E11" s="1649" t="s">
        <v>333</v>
      </c>
      <c r="F11" s="80">
        <f>+F175</f>
        <v>-328015466.79499996</v>
      </c>
      <c r="G11" s="80">
        <f t="shared" ref="G11:M11" si="2">+G175</f>
        <v>-1370434.4200000002</v>
      </c>
      <c r="H11" s="80">
        <f t="shared" si="2"/>
        <v>-1243621259.0050001</v>
      </c>
      <c r="I11" s="835">
        <f t="shared" si="2"/>
        <v>-20938189.344999999</v>
      </c>
      <c r="J11" s="953">
        <f t="shared" si="2"/>
        <v>-325664511.53000003</v>
      </c>
      <c r="K11" s="283">
        <f t="shared" si="2"/>
        <v>-2740868.8400000003</v>
      </c>
      <c r="L11" s="283">
        <f t="shared" si="2"/>
        <v>-1270501637.8600001</v>
      </c>
      <c r="M11" s="835">
        <f t="shared" si="2"/>
        <v>-19517269.050000001</v>
      </c>
      <c r="N11" s="283" t="str">
        <f>+"Ln "&amp;A175</f>
        <v>Ln 21</v>
      </c>
    </row>
    <row r="12" spans="1:17" ht="15">
      <c r="A12" s="1054">
        <f t="shared" si="0"/>
        <v>6</v>
      </c>
      <c r="C12" s="220"/>
      <c r="D12" s="220"/>
      <c r="E12" s="1649" t="s">
        <v>334</v>
      </c>
      <c r="F12" s="498">
        <f>+F219</f>
        <v>-828769799.505</v>
      </c>
      <c r="G12" s="498">
        <f t="shared" ref="G12:M12" si="3">+G219</f>
        <v>-19020435.895</v>
      </c>
      <c r="H12" s="498">
        <f t="shared" si="3"/>
        <v>-13093753.350000001</v>
      </c>
      <c r="I12" s="504">
        <f t="shared" si="3"/>
        <v>0</v>
      </c>
      <c r="J12" s="1650">
        <f t="shared" si="3"/>
        <v>-881525868.63</v>
      </c>
      <c r="K12" s="501">
        <f t="shared" si="3"/>
        <v>-17879755.439999998</v>
      </c>
      <c r="L12" s="501">
        <f t="shared" si="3"/>
        <v>-12585338.959999999</v>
      </c>
      <c r="M12" s="504">
        <f t="shared" si="3"/>
        <v>0</v>
      </c>
      <c r="N12" s="283" t="str">
        <f>+"Ln "&amp;A219</f>
        <v>Ln 27</v>
      </c>
    </row>
    <row r="13" spans="1:17">
      <c r="A13" s="1054">
        <f t="shared" si="0"/>
        <v>7</v>
      </c>
      <c r="C13" s="220"/>
      <c r="D13" s="220"/>
      <c r="E13" s="1649" t="s">
        <v>871</v>
      </c>
      <c r="F13" s="240">
        <f t="shared" ref="F13:M13" si="4">+SUM(F9:F12)</f>
        <v>-1044712857.2149999</v>
      </c>
      <c r="G13" s="240">
        <f t="shared" si="4"/>
        <v>-20390870.315000001</v>
      </c>
      <c r="H13" s="240">
        <f t="shared" si="4"/>
        <v>-806339919.88000011</v>
      </c>
      <c r="I13" s="836">
        <f t="shared" si="4"/>
        <v>-13784097.925000001</v>
      </c>
      <c r="J13" s="1651">
        <f t="shared" si="4"/>
        <v>-1085239225.4100001</v>
      </c>
      <c r="K13" s="242">
        <f t="shared" si="4"/>
        <v>-20620624.279999997</v>
      </c>
      <c r="L13" s="242">
        <f t="shared" si="4"/>
        <v>-819008093.75000024</v>
      </c>
      <c r="M13" s="836">
        <f t="shared" si="4"/>
        <v>-13251923.450000001</v>
      </c>
      <c r="N13" s="242" t="str">
        <f>+"Sum of Ln "&amp;A9&amp;" + "&amp;A10&amp;" + "&amp;A11&amp;" + "&amp;A12</f>
        <v>Sum of Ln 3 + 4 + 5 + 6</v>
      </c>
    </row>
    <row r="14" spans="1:17">
      <c r="A14" s="1054">
        <f t="shared" si="0"/>
        <v>8</v>
      </c>
      <c r="B14" s="44"/>
      <c r="C14" s="220"/>
      <c r="D14" s="220"/>
      <c r="E14" s="1649"/>
      <c r="F14" s="240"/>
      <c r="G14" s="240"/>
      <c r="H14" s="240"/>
      <c r="I14" s="836"/>
      <c r="J14" s="1651"/>
      <c r="K14" s="242"/>
      <c r="L14" s="242"/>
      <c r="M14" s="836"/>
    </row>
    <row r="15" spans="1:17" ht="15">
      <c r="A15" s="1054">
        <f t="shared" si="0"/>
        <v>9</v>
      </c>
      <c r="B15" s="808"/>
      <c r="C15" s="808"/>
      <c r="D15" s="808"/>
      <c r="E15" s="194"/>
      <c r="F15" s="1732" t="s">
        <v>1669</v>
      </c>
      <c r="G15" s="1732"/>
      <c r="H15" s="1732"/>
      <c r="I15" s="1733"/>
      <c r="J15" s="1734" t="s">
        <v>874</v>
      </c>
      <c r="K15" s="1732"/>
      <c r="L15" s="1732"/>
      <c r="M15" s="1733"/>
    </row>
    <row r="16" spans="1:17" ht="30">
      <c r="A16" s="1054">
        <f t="shared" si="0"/>
        <v>10</v>
      </c>
      <c r="C16" s="220"/>
      <c r="D16" s="499" t="s">
        <v>360</v>
      </c>
      <c r="E16" s="667" t="s">
        <v>355</v>
      </c>
      <c r="F16" s="553" t="s">
        <v>872</v>
      </c>
      <c r="G16" s="553" t="s">
        <v>873</v>
      </c>
      <c r="H16" s="553" t="s">
        <v>341</v>
      </c>
      <c r="I16" s="667" t="s">
        <v>342</v>
      </c>
      <c r="J16" s="669" t="s">
        <v>872</v>
      </c>
      <c r="K16" s="553" t="s">
        <v>873</v>
      </c>
      <c r="L16" s="553" t="s">
        <v>341</v>
      </c>
      <c r="M16" s="667" t="s">
        <v>342</v>
      </c>
      <c r="N16" s="816" t="s">
        <v>243</v>
      </c>
    </row>
    <row r="17" spans="1:14" ht="15">
      <c r="A17" s="1054">
        <f t="shared" si="0"/>
        <v>11</v>
      </c>
      <c r="B17" s="500" t="s">
        <v>332</v>
      </c>
      <c r="C17" s="220"/>
      <c r="D17" s="220"/>
      <c r="E17" s="668"/>
      <c r="F17" s="1732" t="str">
        <f>F8</f>
        <v>Average of BOY/EOY (Col (C+D)/2)</v>
      </c>
      <c r="G17" s="1732"/>
      <c r="H17" s="1732"/>
      <c r="I17" s="1733"/>
      <c r="J17" s="1734" t="str">
        <f>J8</f>
        <v>EOY (Col D)</v>
      </c>
      <c r="K17" s="1732"/>
      <c r="L17" s="1732"/>
      <c r="M17" s="1733"/>
    </row>
    <row r="18" spans="1:14">
      <c r="A18" s="846">
        <f t="shared" ref="A18:A83" si="5">+A17+0.01</f>
        <v>11.01</v>
      </c>
      <c r="B18" s="184" t="s">
        <v>550</v>
      </c>
      <c r="C18" s="184" t="s">
        <v>1108</v>
      </c>
      <c r="D18" s="199">
        <v>61196.73</v>
      </c>
      <c r="E18" s="199">
        <v>61196.73</v>
      </c>
      <c r="F18" s="1327">
        <f>+SUM($D18:$E18)/2</f>
        <v>61196.73</v>
      </c>
      <c r="G18" s="187"/>
      <c r="H18" s="187"/>
      <c r="I18" s="502"/>
      <c r="J18" s="1327">
        <f t="shared" ref="J18:J27" si="6">+E18</f>
        <v>61196.73</v>
      </c>
      <c r="K18" s="187"/>
      <c r="L18" s="187"/>
      <c r="M18" s="502"/>
      <c r="N18" s="1441" t="s">
        <v>551</v>
      </c>
    </row>
    <row r="19" spans="1:14">
      <c r="A19" s="846">
        <f t="shared" si="5"/>
        <v>11.02</v>
      </c>
      <c r="B19" s="184" t="s">
        <v>552</v>
      </c>
      <c r="C19" s="184" t="s">
        <v>1109</v>
      </c>
      <c r="D19" s="199">
        <v>12155.2</v>
      </c>
      <c r="E19" s="199">
        <v>12155.2</v>
      </c>
      <c r="F19" s="1327">
        <f t="shared" ref="F19:F27" si="7">+SUM($D19:$E19)/2</f>
        <v>12155.2</v>
      </c>
      <c r="G19" s="187"/>
      <c r="H19" s="187"/>
      <c r="I19" s="502"/>
      <c r="J19" s="1327">
        <f t="shared" si="6"/>
        <v>12155.2</v>
      </c>
      <c r="K19" s="187"/>
      <c r="L19" s="187"/>
      <c r="M19" s="502"/>
      <c r="N19" s="1441" t="s">
        <v>551</v>
      </c>
    </row>
    <row r="20" spans="1:14">
      <c r="A20" s="846">
        <f t="shared" si="5"/>
        <v>11.03</v>
      </c>
      <c r="B20" s="184" t="s">
        <v>553</v>
      </c>
      <c r="C20" s="184" t="s">
        <v>554</v>
      </c>
      <c r="D20" s="199">
        <v>-372282.01</v>
      </c>
      <c r="E20" s="199">
        <v>-130285.39</v>
      </c>
      <c r="F20" s="1327">
        <f t="shared" si="7"/>
        <v>-251283.7</v>
      </c>
      <c r="G20" s="187"/>
      <c r="H20" s="187"/>
      <c r="I20" s="502"/>
      <c r="J20" s="1327">
        <f t="shared" si="6"/>
        <v>-130285.39</v>
      </c>
      <c r="K20" s="187"/>
      <c r="L20" s="187"/>
      <c r="M20" s="502"/>
      <c r="N20" s="1441" t="s">
        <v>399</v>
      </c>
    </row>
    <row r="21" spans="1:14">
      <c r="A21" s="846">
        <f t="shared" si="5"/>
        <v>11.04</v>
      </c>
      <c r="B21" s="184" t="s">
        <v>400</v>
      </c>
      <c r="C21" s="184" t="s">
        <v>401</v>
      </c>
      <c r="D21" s="199">
        <v>-73944.47</v>
      </c>
      <c r="E21" s="199">
        <v>-25877.919999999998</v>
      </c>
      <c r="F21" s="1327">
        <f t="shared" si="7"/>
        <v>-49911.195</v>
      </c>
      <c r="G21" s="187"/>
      <c r="H21" s="187"/>
      <c r="I21" s="502"/>
      <c r="J21" s="1327">
        <f t="shared" si="6"/>
        <v>-25877.919999999998</v>
      </c>
      <c r="K21" s="187"/>
      <c r="L21" s="187"/>
      <c r="M21" s="502"/>
      <c r="N21" s="1441" t="s">
        <v>399</v>
      </c>
    </row>
    <row r="22" spans="1:14">
      <c r="A22" s="846">
        <f t="shared" si="5"/>
        <v>11.049999999999999</v>
      </c>
      <c r="B22" s="184" t="s">
        <v>402</v>
      </c>
      <c r="C22" s="184" t="s">
        <v>403</v>
      </c>
      <c r="D22" s="199">
        <v>-7699448.7800000003</v>
      </c>
      <c r="E22" s="199">
        <v>-3647074.16</v>
      </c>
      <c r="F22" s="1327">
        <f t="shared" si="7"/>
        <v>-5673261.4700000007</v>
      </c>
      <c r="G22" s="187"/>
      <c r="H22" s="187"/>
      <c r="I22" s="502"/>
      <c r="J22" s="1327">
        <f t="shared" si="6"/>
        <v>-3647074.16</v>
      </c>
      <c r="K22" s="187"/>
      <c r="L22" s="187"/>
      <c r="M22" s="502"/>
      <c r="N22" s="1441" t="s">
        <v>399</v>
      </c>
    </row>
    <row r="23" spans="1:14">
      <c r="A23" s="846">
        <f t="shared" si="5"/>
        <v>11.059999999999999</v>
      </c>
      <c r="B23" s="184" t="s">
        <v>404</v>
      </c>
      <c r="C23" s="184" t="s">
        <v>405</v>
      </c>
      <c r="D23" s="199">
        <v>-1529302.27</v>
      </c>
      <c r="E23" s="199">
        <v>-724399.75</v>
      </c>
      <c r="F23" s="1327">
        <f t="shared" si="7"/>
        <v>-1126851.01</v>
      </c>
      <c r="G23" s="187"/>
      <c r="H23" s="187"/>
      <c r="I23" s="502"/>
      <c r="J23" s="1327">
        <f t="shared" si="6"/>
        <v>-724399.75</v>
      </c>
      <c r="K23" s="187"/>
      <c r="L23" s="187"/>
      <c r="M23" s="502"/>
      <c r="N23" s="1441" t="s">
        <v>399</v>
      </c>
    </row>
    <row r="24" spans="1:14">
      <c r="A24" s="846">
        <f t="shared" si="5"/>
        <v>11.069999999999999</v>
      </c>
      <c r="B24" s="184" t="s">
        <v>406</v>
      </c>
      <c r="C24" s="184" t="s">
        <v>407</v>
      </c>
      <c r="D24" s="199">
        <v>31556959.68</v>
      </c>
      <c r="E24" s="199">
        <v>10280415.32</v>
      </c>
      <c r="F24" s="1327">
        <f t="shared" si="7"/>
        <v>20918687.5</v>
      </c>
      <c r="G24" s="187"/>
      <c r="H24" s="187"/>
      <c r="I24" s="502"/>
      <c r="J24" s="1327">
        <f t="shared" si="6"/>
        <v>10280415.32</v>
      </c>
      <c r="K24" s="187"/>
      <c r="L24" s="187"/>
      <c r="M24" s="502"/>
      <c r="N24" s="1441" t="s">
        <v>555</v>
      </c>
    </row>
    <row r="25" spans="1:14">
      <c r="A25" s="846">
        <f t="shared" si="5"/>
        <v>11.079999999999998</v>
      </c>
      <c r="B25" s="184" t="s">
        <v>408</v>
      </c>
      <c r="C25" s="184" t="s">
        <v>409</v>
      </c>
      <c r="D25" s="199">
        <v>6267998.1100000003</v>
      </c>
      <c r="E25" s="199">
        <v>2041946.52</v>
      </c>
      <c r="F25" s="1327">
        <f t="shared" si="7"/>
        <v>4154972.3150000004</v>
      </c>
      <c r="G25" s="187"/>
      <c r="H25" s="187"/>
      <c r="I25" s="502"/>
      <c r="J25" s="1327">
        <f t="shared" si="6"/>
        <v>2041946.52</v>
      </c>
      <c r="K25" s="187"/>
      <c r="L25" s="187"/>
      <c r="M25" s="502"/>
      <c r="N25" s="1441" t="s">
        <v>555</v>
      </c>
    </row>
    <row r="26" spans="1:14">
      <c r="A26" s="846">
        <f t="shared" si="5"/>
        <v>11.089999999999998</v>
      </c>
      <c r="B26" s="184" t="s">
        <v>410</v>
      </c>
      <c r="C26" s="184" t="s">
        <v>411</v>
      </c>
      <c r="D26" s="199">
        <v>-11198621.98</v>
      </c>
      <c r="E26" s="199">
        <v>-18893912.289999999</v>
      </c>
      <c r="F26" s="1327">
        <f t="shared" si="7"/>
        <v>-15046267.135</v>
      </c>
      <c r="G26" s="187"/>
      <c r="H26" s="187"/>
      <c r="I26" s="502"/>
      <c r="J26" s="1327">
        <f t="shared" si="6"/>
        <v>-18893912.289999999</v>
      </c>
      <c r="K26" s="187"/>
      <c r="L26" s="187"/>
      <c r="M26" s="502"/>
      <c r="N26" s="1441" t="s">
        <v>412</v>
      </c>
    </row>
    <row r="27" spans="1:14">
      <c r="A27" s="846">
        <f t="shared" si="5"/>
        <v>11.099999999999998</v>
      </c>
      <c r="B27" s="184" t="s">
        <v>413</v>
      </c>
      <c r="C27" s="184" t="s">
        <v>414</v>
      </c>
      <c r="D27" s="199">
        <v>-2224325.23</v>
      </c>
      <c r="E27" s="199">
        <v>-3752801.53</v>
      </c>
      <c r="F27" s="1327">
        <f t="shared" si="7"/>
        <v>-2988563.38</v>
      </c>
      <c r="G27" s="187"/>
      <c r="H27" s="187"/>
      <c r="I27" s="502"/>
      <c r="J27" s="1327">
        <f t="shared" si="6"/>
        <v>-3752801.53</v>
      </c>
      <c r="K27" s="187"/>
      <c r="L27" s="187"/>
      <c r="M27" s="502"/>
      <c r="N27" s="1441" t="s">
        <v>412</v>
      </c>
    </row>
    <row r="28" spans="1:14">
      <c r="A28" s="846">
        <f t="shared" si="5"/>
        <v>11.109999999999998</v>
      </c>
      <c r="B28" s="184" t="s">
        <v>415</v>
      </c>
      <c r="C28" s="184" t="s">
        <v>416</v>
      </c>
      <c r="D28" s="199">
        <v>1098217.8</v>
      </c>
      <c r="E28" s="199">
        <v>985041.7</v>
      </c>
      <c r="F28" s="1327"/>
      <c r="G28" s="187"/>
      <c r="H28" s="187">
        <f t="shared" ref="H28:H29" si="8">+SUM($D28:$E28)/2</f>
        <v>1041629.75</v>
      </c>
      <c r="I28" s="502"/>
      <c r="J28" s="1327"/>
      <c r="K28" s="187"/>
      <c r="L28" s="187">
        <f>+E28</f>
        <v>985041.7</v>
      </c>
      <c r="M28" s="502"/>
      <c r="N28" s="1441" t="s">
        <v>417</v>
      </c>
    </row>
    <row r="29" spans="1:14">
      <c r="A29" s="846">
        <f t="shared" si="5"/>
        <v>11.119999999999997</v>
      </c>
      <c r="B29" s="184" t="s">
        <v>418</v>
      </c>
      <c r="C29" s="184" t="s">
        <v>419</v>
      </c>
      <c r="D29" s="199">
        <v>401493.5</v>
      </c>
      <c r="E29" s="199">
        <v>360754.4</v>
      </c>
      <c r="F29" s="1327"/>
      <c r="G29" s="187"/>
      <c r="H29" s="187">
        <f t="shared" si="8"/>
        <v>381123.95</v>
      </c>
      <c r="I29" s="502"/>
      <c r="J29" s="1327"/>
      <c r="K29" s="187"/>
      <c r="L29" s="187">
        <f>+E29</f>
        <v>360754.4</v>
      </c>
      <c r="M29" s="502"/>
      <c r="N29" s="1441" t="s">
        <v>417</v>
      </c>
    </row>
    <row r="30" spans="1:14">
      <c r="A30" s="846">
        <f t="shared" si="5"/>
        <v>11.129999999999997</v>
      </c>
      <c r="B30" s="184" t="s">
        <v>420</v>
      </c>
      <c r="C30" s="184" t="s">
        <v>421</v>
      </c>
      <c r="D30" s="199">
        <v>1472325.28</v>
      </c>
      <c r="E30" s="199">
        <v>1453794.93</v>
      </c>
      <c r="F30" s="1327"/>
      <c r="G30" s="187"/>
      <c r="H30" s="187"/>
      <c r="I30" s="502">
        <f t="shared" ref="I30:I31" si="9">+SUM($D30:$E30)/2</f>
        <v>1463060.105</v>
      </c>
      <c r="J30" s="1327"/>
      <c r="K30" s="187"/>
      <c r="L30" s="187"/>
      <c r="M30" s="502">
        <f>+E30</f>
        <v>1453794.93</v>
      </c>
      <c r="N30" s="1441" t="s">
        <v>422</v>
      </c>
    </row>
    <row r="31" spans="1:14">
      <c r="A31" s="846">
        <f t="shared" si="5"/>
        <v>11.139999999999997</v>
      </c>
      <c r="B31" s="184" t="s">
        <v>423</v>
      </c>
      <c r="C31" s="184" t="s">
        <v>424</v>
      </c>
      <c r="D31" s="199">
        <v>292440.46000000002</v>
      </c>
      <c r="E31" s="199">
        <v>288759.87</v>
      </c>
      <c r="F31" s="1327"/>
      <c r="G31" s="187"/>
      <c r="H31" s="187"/>
      <c r="I31" s="502">
        <f t="shared" si="9"/>
        <v>290600.16500000004</v>
      </c>
      <c r="J31" s="1327"/>
      <c r="K31" s="187"/>
      <c r="L31" s="187"/>
      <c r="M31" s="502">
        <f>+E31</f>
        <v>288759.87</v>
      </c>
      <c r="N31" s="1441" t="s">
        <v>422</v>
      </c>
    </row>
    <row r="32" spans="1:14">
      <c r="A32" s="846">
        <f t="shared" si="5"/>
        <v>11.149999999999997</v>
      </c>
      <c r="B32" s="184" t="s">
        <v>425</v>
      </c>
      <c r="C32" s="184" t="s">
        <v>426</v>
      </c>
      <c r="D32" s="199">
        <v>994002.3</v>
      </c>
      <c r="E32" s="199">
        <v>-0.01</v>
      </c>
      <c r="F32" s="1327">
        <f t="shared" ref="F32:F43" si="10">+SUM($D32:$E32)/2</f>
        <v>497001.14500000002</v>
      </c>
      <c r="G32" s="187"/>
      <c r="H32" s="187"/>
      <c r="I32" s="502"/>
      <c r="J32" s="1327">
        <f t="shared" ref="J32:J41" si="11">+E32</f>
        <v>-0.01</v>
      </c>
      <c r="K32" s="187"/>
      <c r="L32" s="187"/>
      <c r="M32" s="502"/>
      <c r="N32" s="1441" t="s">
        <v>427</v>
      </c>
    </row>
    <row r="33" spans="1:15">
      <c r="A33" s="846">
        <f t="shared" si="5"/>
        <v>11.159999999999997</v>
      </c>
      <c r="B33" s="184" t="s">
        <v>428</v>
      </c>
      <c r="C33" s="184" t="s">
        <v>657</v>
      </c>
      <c r="D33" s="199">
        <v>197433.60000000001</v>
      </c>
      <c r="E33" s="199">
        <v>-0.01</v>
      </c>
      <c r="F33" s="1327">
        <f t="shared" si="10"/>
        <v>98716.794999999998</v>
      </c>
      <c r="G33" s="187"/>
      <c r="H33" s="187"/>
      <c r="I33" s="502"/>
      <c r="J33" s="1327">
        <f t="shared" si="11"/>
        <v>-0.01</v>
      </c>
      <c r="K33" s="187"/>
      <c r="L33" s="187"/>
      <c r="M33" s="502"/>
      <c r="N33" s="1441" t="s">
        <v>427</v>
      </c>
    </row>
    <row r="34" spans="1:15">
      <c r="A34" s="846">
        <f t="shared" si="5"/>
        <v>11.169999999999996</v>
      </c>
      <c r="B34" s="184" t="s">
        <v>429</v>
      </c>
      <c r="C34" s="184" t="s">
        <v>430</v>
      </c>
      <c r="D34" s="199">
        <v>-66201692.590000004</v>
      </c>
      <c r="E34" s="199">
        <v>-78581086.569999993</v>
      </c>
      <c r="F34" s="1327">
        <f t="shared" si="10"/>
        <v>-72391389.579999998</v>
      </c>
      <c r="G34" s="187"/>
      <c r="H34" s="187"/>
      <c r="I34" s="502"/>
      <c r="J34" s="1327">
        <f t="shared" si="11"/>
        <v>-78581086.569999993</v>
      </c>
      <c r="K34" s="187"/>
      <c r="L34" s="187"/>
      <c r="M34" s="502"/>
      <c r="N34" s="1441" t="s">
        <v>431</v>
      </c>
      <c r="O34" s="510"/>
    </row>
    <row r="35" spans="1:15">
      <c r="A35" s="846">
        <f t="shared" si="5"/>
        <v>11.179999999999996</v>
      </c>
      <c r="B35" s="184" t="s">
        <v>432</v>
      </c>
      <c r="C35" s="184" t="s">
        <v>433</v>
      </c>
      <c r="D35" s="199">
        <v>-13149304.869999999</v>
      </c>
      <c r="E35" s="199">
        <v>-15608160.82</v>
      </c>
      <c r="F35" s="1327">
        <f t="shared" si="10"/>
        <v>-14378732.844999999</v>
      </c>
      <c r="G35" s="187"/>
      <c r="H35" s="187"/>
      <c r="I35" s="502"/>
      <c r="J35" s="1327">
        <f t="shared" si="11"/>
        <v>-15608160.82</v>
      </c>
      <c r="K35" s="187"/>
      <c r="L35" s="187"/>
      <c r="M35" s="502"/>
      <c r="N35" s="1441" t="s">
        <v>431</v>
      </c>
      <c r="O35" s="510"/>
    </row>
    <row r="36" spans="1:15">
      <c r="A36" s="846">
        <f t="shared" si="5"/>
        <v>11.189999999999996</v>
      </c>
      <c r="B36" s="184" t="s">
        <v>434</v>
      </c>
      <c r="C36" s="184" t="s">
        <v>435</v>
      </c>
      <c r="D36" s="199">
        <v>159143543.50999999</v>
      </c>
      <c r="E36" s="199">
        <v>264607425.25999999</v>
      </c>
      <c r="F36" s="1327">
        <f t="shared" si="10"/>
        <v>211875484.38499999</v>
      </c>
      <c r="G36" s="187"/>
      <c r="H36" s="187"/>
      <c r="I36" s="502"/>
      <c r="J36" s="1327">
        <f t="shared" si="11"/>
        <v>264607425.25999999</v>
      </c>
      <c r="K36" s="187"/>
      <c r="L36" s="187"/>
      <c r="M36" s="502"/>
      <c r="N36" s="1441" t="s">
        <v>431</v>
      </c>
    </row>
    <row r="37" spans="1:15">
      <c r="A37" s="846">
        <f t="shared" si="5"/>
        <v>11.199999999999996</v>
      </c>
      <c r="B37" s="184" t="s">
        <v>436</v>
      </c>
      <c r="C37" s="184" t="s">
        <v>437</v>
      </c>
      <c r="D37" s="199">
        <v>31609871.149999999</v>
      </c>
      <c r="E37" s="199">
        <v>52557624.590000004</v>
      </c>
      <c r="F37" s="1327">
        <f t="shared" si="10"/>
        <v>42083747.870000005</v>
      </c>
      <c r="G37" s="187"/>
      <c r="H37" s="187"/>
      <c r="I37" s="502"/>
      <c r="J37" s="1327">
        <f t="shared" si="11"/>
        <v>52557624.590000004</v>
      </c>
      <c r="K37" s="187"/>
      <c r="L37" s="187"/>
      <c r="M37" s="502"/>
      <c r="N37" s="1441" t="s">
        <v>431</v>
      </c>
    </row>
    <row r="38" spans="1:15">
      <c r="A38" s="846">
        <f t="shared" si="5"/>
        <v>11.209999999999996</v>
      </c>
      <c r="B38" s="184" t="s">
        <v>438</v>
      </c>
      <c r="C38" s="184" t="s">
        <v>439</v>
      </c>
      <c r="D38" s="199">
        <v>-198677.7</v>
      </c>
      <c r="E38" s="199">
        <v>696053.17</v>
      </c>
      <c r="F38" s="1327">
        <f t="shared" si="10"/>
        <v>248687.73500000002</v>
      </c>
      <c r="G38" s="187"/>
      <c r="H38" s="187"/>
      <c r="I38" s="502"/>
      <c r="J38" s="1327">
        <f t="shared" si="11"/>
        <v>696053.17</v>
      </c>
      <c r="K38" s="187"/>
      <c r="L38" s="187"/>
      <c r="M38" s="502"/>
      <c r="N38" s="1441" t="s">
        <v>431</v>
      </c>
    </row>
    <row r="39" spans="1:15">
      <c r="A39" s="846">
        <f t="shared" si="5"/>
        <v>11.219999999999995</v>
      </c>
      <c r="B39" s="184" t="s">
        <v>440</v>
      </c>
      <c r="C39" s="184" t="s">
        <v>441</v>
      </c>
      <c r="D39" s="199">
        <v>-39462.339999999997</v>
      </c>
      <c r="E39" s="199">
        <v>138253.5</v>
      </c>
      <c r="F39" s="1327">
        <f t="shared" si="10"/>
        <v>49395.58</v>
      </c>
      <c r="G39" s="187"/>
      <c r="H39" s="187"/>
      <c r="I39" s="502"/>
      <c r="J39" s="1327">
        <f t="shared" si="11"/>
        <v>138253.5</v>
      </c>
      <c r="K39" s="187"/>
      <c r="L39" s="187"/>
      <c r="M39" s="502"/>
      <c r="N39" s="1441" t="s">
        <v>431</v>
      </c>
    </row>
    <row r="40" spans="1:15">
      <c r="A40" s="846">
        <f t="shared" si="5"/>
        <v>11.229999999999995</v>
      </c>
      <c r="B40" s="184" t="s">
        <v>442</v>
      </c>
      <c r="C40" s="184" t="s">
        <v>1110</v>
      </c>
      <c r="D40" s="199">
        <v>-12536755.73</v>
      </c>
      <c r="E40" s="199">
        <v>-17162251.550000001</v>
      </c>
      <c r="F40" s="1327">
        <f t="shared" si="10"/>
        <v>-14849503.640000001</v>
      </c>
      <c r="G40" s="187"/>
      <c r="H40" s="187"/>
      <c r="I40" s="502"/>
      <c r="J40" s="1327">
        <f t="shared" si="11"/>
        <v>-17162251.550000001</v>
      </c>
      <c r="K40" s="187"/>
      <c r="L40" s="187"/>
      <c r="M40" s="502"/>
      <c r="N40" s="1441" t="s">
        <v>431</v>
      </c>
    </row>
    <row r="41" spans="1:15">
      <c r="A41" s="846">
        <f t="shared" si="5"/>
        <v>11.239999999999995</v>
      </c>
      <c r="B41" s="184" t="s">
        <v>443</v>
      </c>
      <c r="C41" s="184" t="s">
        <v>1111</v>
      </c>
      <c r="D41" s="199">
        <v>-2490100.62</v>
      </c>
      <c r="E41" s="199">
        <v>-3408850.55</v>
      </c>
      <c r="F41" s="1327">
        <f t="shared" si="10"/>
        <v>-2949475.585</v>
      </c>
      <c r="G41" s="187"/>
      <c r="H41" s="187"/>
      <c r="I41" s="502"/>
      <c r="J41" s="1327">
        <f t="shared" si="11"/>
        <v>-3408850.55</v>
      </c>
      <c r="K41" s="187"/>
      <c r="L41" s="187"/>
      <c r="M41" s="502"/>
      <c r="N41" s="1441" t="s">
        <v>431</v>
      </c>
    </row>
    <row r="42" spans="1:15">
      <c r="A42" s="846">
        <f t="shared" si="5"/>
        <v>11.249999999999995</v>
      </c>
      <c r="B42" s="184" t="s">
        <v>444</v>
      </c>
      <c r="C42" s="184" t="s">
        <v>445</v>
      </c>
      <c r="D42" s="199">
        <v>-22480890.690000001</v>
      </c>
      <c r="E42" s="199">
        <v>-68453759.120000005</v>
      </c>
      <c r="F42" s="1327">
        <f t="shared" si="10"/>
        <v>-45467324.905000001</v>
      </c>
      <c r="G42" s="187"/>
      <c r="H42" s="187"/>
      <c r="I42" s="502"/>
      <c r="J42" s="1327">
        <f>+E42</f>
        <v>-68453759.120000005</v>
      </c>
      <c r="K42" s="187"/>
      <c r="L42" s="187"/>
      <c r="M42" s="502"/>
      <c r="N42" s="1441" t="s">
        <v>446</v>
      </c>
    </row>
    <row r="43" spans="1:15">
      <c r="A43" s="846">
        <f t="shared" si="5"/>
        <v>11.259999999999994</v>
      </c>
      <c r="B43" s="184" t="s">
        <v>447</v>
      </c>
      <c r="C43" s="184" t="s">
        <v>448</v>
      </c>
      <c r="D43" s="199">
        <v>-4465264.7699999996</v>
      </c>
      <c r="E43" s="199">
        <v>-13596621.369999999</v>
      </c>
      <c r="F43" s="1327">
        <f t="shared" si="10"/>
        <v>-9030943.0700000003</v>
      </c>
      <c r="G43" s="187"/>
      <c r="H43" s="187"/>
      <c r="I43" s="502"/>
      <c r="J43" s="1327">
        <f>+E43</f>
        <v>-13596621.369999999</v>
      </c>
      <c r="K43" s="187"/>
      <c r="L43" s="187"/>
      <c r="M43" s="502"/>
      <c r="N43" s="1441" t="s">
        <v>446</v>
      </c>
    </row>
    <row r="44" spans="1:15">
      <c r="A44" s="846">
        <f t="shared" si="5"/>
        <v>11.269999999999994</v>
      </c>
      <c r="B44" s="184" t="s">
        <v>449</v>
      </c>
      <c r="C44" s="184" t="s">
        <v>450</v>
      </c>
      <c r="D44" s="199">
        <v>13983759.140000001</v>
      </c>
      <c r="E44" s="199">
        <v>1971150.25</v>
      </c>
      <c r="F44" s="1327"/>
      <c r="G44" s="187"/>
      <c r="H44" s="187">
        <f t="shared" ref="H44:H45" si="12">+SUM($D44:$E44)/2</f>
        <v>7977454.6950000003</v>
      </c>
      <c r="I44" s="502"/>
      <c r="J44" s="1327"/>
      <c r="K44" s="187"/>
      <c r="L44" s="187">
        <f>+E44</f>
        <v>1971150.25</v>
      </c>
      <c r="M44" s="502"/>
      <c r="N44" s="1441" t="s">
        <v>451</v>
      </c>
    </row>
    <row r="45" spans="1:15">
      <c r="A45" s="846">
        <f t="shared" si="5"/>
        <v>11.279999999999994</v>
      </c>
      <c r="B45" s="184" t="s">
        <v>452</v>
      </c>
      <c r="C45" s="184" t="s">
        <v>453</v>
      </c>
      <c r="D45" s="199">
        <v>2762423.33</v>
      </c>
      <c r="E45" s="199">
        <v>376676.72</v>
      </c>
      <c r="F45" s="1327"/>
      <c r="G45" s="187"/>
      <c r="H45" s="187">
        <f t="shared" si="12"/>
        <v>1569550.0249999999</v>
      </c>
      <c r="I45" s="502"/>
      <c r="J45" s="1327"/>
      <c r="K45" s="187"/>
      <c r="L45" s="187">
        <f>+E45</f>
        <v>376676.72</v>
      </c>
      <c r="M45" s="502"/>
      <c r="N45" s="1441" t="s">
        <v>451</v>
      </c>
    </row>
    <row r="46" spans="1:15">
      <c r="A46" s="846">
        <f t="shared" si="5"/>
        <v>11.289999999999994</v>
      </c>
      <c r="B46" s="184" t="s">
        <v>454</v>
      </c>
      <c r="C46" s="184" t="s">
        <v>455</v>
      </c>
      <c r="D46" s="199">
        <v>0</v>
      </c>
      <c r="E46" s="199">
        <v>0</v>
      </c>
      <c r="F46" s="1327">
        <f t="shared" ref="F46:F47" si="13">+SUM($D46:$E46)/2</f>
        <v>0</v>
      </c>
      <c r="G46" s="187"/>
      <c r="H46" s="187"/>
      <c r="I46" s="502"/>
      <c r="J46" s="1327">
        <f>+E46</f>
        <v>0</v>
      </c>
      <c r="K46" s="187"/>
      <c r="L46" s="187"/>
      <c r="M46" s="502"/>
      <c r="N46" s="1441" t="s">
        <v>399</v>
      </c>
    </row>
    <row r="47" spans="1:15">
      <c r="A47" s="846">
        <f t="shared" si="5"/>
        <v>11.299999999999994</v>
      </c>
      <c r="B47" s="184" t="s">
        <v>456</v>
      </c>
      <c r="C47" s="184" t="s">
        <v>457</v>
      </c>
      <c r="D47" s="199">
        <v>0</v>
      </c>
      <c r="E47" s="199">
        <v>0</v>
      </c>
      <c r="F47" s="1327">
        <f t="shared" si="13"/>
        <v>0</v>
      </c>
      <c r="G47" s="187"/>
      <c r="H47" s="187"/>
      <c r="I47" s="502"/>
      <c r="J47" s="1327">
        <f>+E47</f>
        <v>0</v>
      </c>
      <c r="K47" s="187"/>
      <c r="L47" s="187"/>
      <c r="M47" s="502"/>
      <c r="N47" s="1441" t="s">
        <v>399</v>
      </c>
    </row>
    <row r="48" spans="1:15">
      <c r="A48" s="846">
        <f>+A47+0.01</f>
        <v>11.309999999999993</v>
      </c>
      <c r="B48" s="184" t="s">
        <v>1424</v>
      </c>
      <c r="C48" s="184" t="s">
        <v>1425</v>
      </c>
      <c r="D48" s="199">
        <v>0</v>
      </c>
      <c r="E48" s="199">
        <v>139081.25</v>
      </c>
      <c r="F48" s="1327"/>
      <c r="G48" s="187"/>
      <c r="H48" s="187"/>
      <c r="I48" s="502">
        <f>+SUM($D48:$E48)/2</f>
        <v>69540.625</v>
      </c>
      <c r="J48" s="1327"/>
      <c r="K48" s="187"/>
      <c r="L48" s="187"/>
      <c r="M48" s="502">
        <f>+E48</f>
        <v>139081.25</v>
      </c>
      <c r="N48" s="1441" t="s">
        <v>1426</v>
      </c>
      <c r="O48" s="44" t="s">
        <v>1683</v>
      </c>
    </row>
    <row r="49" spans="1:15">
      <c r="A49" s="846">
        <f>+A48+0.01</f>
        <v>11.319999999999993</v>
      </c>
      <c r="B49" s="184" t="s">
        <v>1427</v>
      </c>
      <c r="C49" s="184" t="s">
        <v>1428</v>
      </c>
      <c r="D49" s="199">
        <v>0</v>
      </c>
      <c r="E49" s="199">
        <v>27625</v>
      </c>
      <c r="F49" s="1327"/>
      <c r="G49" s="187"/>
      <c r="H49" s="187"/>
      <c r="I49" s="502">
        <f>+SUM($D49:$E49)/2</f>
        <v>13812.5</v>
      </c>
      <c r="J49" s="1327"/>
      <c r="K49" s="187"/>
      <c r="L49" s="187"/>
      <c r="M49" s="502">
        <f>+E49</f>
        <v>27625</v>
      </c>
      <c r="N49" s="1441" t="s">
        <v>1426</v>
      </c>
      <c r="O49" s="44" t="s">
        <v>1683</v>
      </c>
    </row>
    <row r="50" spans="1:15">
      <c r="A50" s="846">
        <f>+A49+0.01</f>
        <v>11.329999999999993</v>
      </c>
      <c r="B50" s="184" t="s">
        <v>458</v>
      </c>
      <c r="C50" s="184" t="s">
        <v>459</v>
      </c>
      <c r="D50" s="199">
        <v>2415491.16</v>
      </c>
      <c r="E50" s="199">
        <v>2534090.16</v>
      </c>
      <c r="F50" s="1327"/>
      <c r="G50" s="187"/>
      <c r="H50" s="187"/>
      <c r="I50" s="502">
        <f t="shared" ref="I50:I51" si="14">+SUM($D50:$E50)/2</f>
        <v>2474790.66</v>
      </c>
      <c r="J50" s="1327"/>
      <c r="K50" s="187"/>
      <c r="L50" s="187"/>
      <c r="M50" s="502">
        <f>+E50</f>
        <v>2534090.16</v>
      </c>
      <c r="N50" s="1441" t="s">
        <v>431</v>
      </c>
    </row>
    <row r="51" spans="1:15">
      <c r="A51" s="846">
        <f t="shared" si="5"/>
        <v>11.339999999999993</v>
      </c>
      <c r="B51" s="184" t="s">
        <v>460</v>
      </c>
      <c r="C51" s="184" t="s">
        <v>461</v>
      </c>
      <c r="D51" s="199">
        <v>479776.7</v>
      </c>
      <c r="E51" s="199">
        <v>503333.41</v>
      </c>
      <c r="F51" s="1327"/>
      <c r="G51" s="187"/>
      <c r="H51" s="187"/>
      <c r="I51" s="502">
        <f t="shared" si="14"/>
        <v>491555.05499999999</v>
      </c>
      <c r="J51" s="1327"/>
      <c r="K51" s="187"/>
      <c r="L51" s="187"/>
      <c r="M51" s="502">
        <f>+E51</f>
        <v>503333.41</v>
      </c>
      <c r="N51" s="1441" t="s">
        <v>431</v>
      </c>
    </row>
    <row r="52" spans="1:15">
      <c r="A52" s="846">
        <f t="shared" si="5"/>
        <v>11.349999999999993</v>
      </c>
      <c r="B52" s="184" t="s">
        <v>462</v>
      </c>
      <c r="C52" s="184" t="s">
        <v>463</v>
      </c>
      <c r="D52" s="199">
        <v>4970313.62</v>
      </c>
      <c r="E52" s="199">
        <v>5668481.2400000002</v>
      </c>
      <c r="F52" s="1327">
        <f t="shared" ref="F52:F59" si="15">+SUM($D52:$E52)/2</f>
        <v>5319397.43</v>
      </c>
      <c r="G52" s="187"/>
      <c r="H52" s="187"/>
      <c r="I52" s="502"/>
      <c r="J52" s="1327">
        <f t="shared" ref="J52:J59" si="16">+E52</f>
        <v>5668481.2400000002</v>
      </c>
      <c r="K52" s="187"/>
      <c r="L52" s="187"/>
      <c r="M52" s="502"/>
      <c r="N52" s="1441" t="s">
        <v>464</v>
      </c>
    </row>
    <row r="53" spans="1:15">
      <c r="A53" s="846">
        <f t="shared" si="5"/>
        <v>11.359999999999992</v>
      </c>
      <c r="B53" s="184" t="s">
        <v>465</v>
      </c>
      <c r="C53" s="184" t="s">
        <v>466</v>
      </c>
      <c r="D53" s="199">
        <v>987228.06</v>
      </c>
      <c r="E53" s="199">
        <v>1125901.54</v>
      </c>
      <c r="F53" s="1327">
        <f t="shared" si="15"/>
        <v>1056564.8</v>
      </c>
      <c r="G53" s="187"/>
      <c r="H53" s="187"/>
      <c r="I53" s="502"/>
      <c r="J53" s="1327">
        <f t="shared" si="16"/>
        <v>1125901.54</v>
      </c>
      <c r="K53" s="187"/>
      <c r="L53" s="187"/>
      <c r="M53" s="502"/>
      <c r="N53" s="1441" t="s">
        <v>464</v>
      </c>
    </row>
    <row r="54" spans="1:15">
      <c r="A54" s="846">
        <f t="shared" si="5"/>
        <v>11.369999999999992</v>
      </c>
      <c r="B54" s="184" t="s">
        <v>467</v>
      </c>
      <c r="C54" s="184" t="s">
        <v>468</v>
      </c>
      <c r="D54" s="199">
        <v>0</v>
      </c>
      <c r="E54" s="199">
        <v>0</v>
      </c>
      <c r="F54" s="1327">
        <f t="shared" si="15"/>
        <v>0</v>
      </c>
      <c r="G54" s="187"/>
      <c r="H54" s="187"/>
      <c r="I54" s="502"/>
      <c r="J54" s="1327">
        <f t="shared" si="16"/>
        <v>0</v>
      </c>
      <c r="K54" s="187"/>
      <c r="L54" s="187"/>
      <c r="M54" s="502"/>
      <c r="N54" s="1441" t="s">
        <v>469</v>
      </c>
    </row>
    <row r="55" spans="1:15">
      <c r="A55" s="846">
        <f t="shared" si="5"/>
        <v>11.379999999999992</v>
      </c>
      <c r="B55" s="184" t="s">
        <v>470</v>
      </c>
      <c r="C55" s="184" t="s">
        <v>471</v>
      </c>
      <c r="D55" s="199">
        <v>0.01</v>
      </c>
      <c r="E55" s="199">
        <v>0</v>
      </c>
      <c r="F55" s="1327">
        <f t="shared" si="15"/>
        <v>5.0000000000000001E-3</v>
      </c>
      <c r="G55" s="187"/>
      <c r="H55" s="187"/>
      <c r="I55" s="502"/>
      <c r="J55" s="1327">
        <f t="shared" si="16"/>
        <v>0</v>
      </c>
      <c r="K55" s="187"/>
      <c r="L55" s="187"/>
      <c r="M55" s="502"/>
      <c r="N55" s="1441" t="s">
        <v>469</v>
      </c>
    </row>
    <row r="56" spans="1:15">
      <c r="A56" s="846">
        <f t="shared" si="5"/>
        <v>11.389999999999992</v>
      </c>
      <c r="B56" s="184" t="s">
        <v>472</v>
      </c>
      <c r="C56" s="184" t="s">
        <v>473</v>
      </c>
      <c r="D56" s="199">
        <v>0</v>
      </c>
      <c r="E56" s="199">
        <v>0</v>
      </c>
      <c r="F56" s="1327">
        <f t="shared" si="15"/>
        <v>0</v>
      </c>
      <c r="G56" s="187"/>
      <c r="H56" s="187"/>
      <c r="I56" s="502"/>
      <c r="J56" s="1327">
        <f t="shared" si="16"/>
        <v>0</v>
      </c>
      <c r="K56" s="187"/>
      <c r="L56" s="187"/>
      <c r="M56" s="502"/>
      <c r="N56" s="1441" t="s">
        <v>474</v>
      </c>
    </row>
    <row r="57" spans="1:15">
      <c r="A57" s="846">
        <f t="shared" si="5"/>
        <v>11.399999999999991</v>
      </c>
      <c r="B57" s="184" t="s">
        <v>475</v>
      </c>
      <c r="C57" s="184" t="s">
        <v>476</v>
      </c>
      <c r="D57" s="199">
        <v>-0.01</v>
      </c>
      <c r="E57" s="199">
        <v>0</v>
      </c>
      <c r="F57" s="1327">
        <f t="shared" si="15"/>
        <v>-5.0000000000000001E-3</v>
      </c>
      <c r="G57" s="187"/>
      <c r="H57" s="187"/>
      <c r="I57" s="502"/>
      <c r="J57" s="1327">
        <f t="shared" si="16"/>
        <v>0</v>
      </c>
      <c r="K57" s="187"/>
      <c r="L57" s="187"/>
      <c r="M57" s="502"/>
      <c r="N57" s="1441" t="s">
        <v>474</v>
      </c>
    </row>
    <row r="58" spans="1:15">
      <c r="A58" s="846">
        <f t="shared" si="5"/>
        <v>11.409999999999991</v>
      </c>
      <c r="B58" s="184" t="s">
        <v>477</v>
      </c>
      <c r="C58" s="184" t="s">
        <v>478</v>
      </c>
      <c r="D58" s="199">
        <v>548.05999999999995</v>
      </c>
      <c r="E58" s="199">
        <v>548.05999999999995</v>
      </c>
      <c r="F58" s="1327">
        <f t="shared" si="15"/>
        <v>548.05999999999995</v>
      </c>
      <c r="G58" s="187"/>
      <c r="H58" s="187"/>
      <c r="I58" s="502"/>
      <c r="J58" s="1327">
        <f t="shared" si="16"/>
        <v>548.05999999999995</v>
      </c>
      <c r="K58" s="187"/>
      <c r="L58" s="187"/>
      <c r="M58" s="502"/>
      <c r="N58" s="1441" t="s">
        <v>479</v>
      </c>
    </row>
    <row r="59" spans="1:15">
      <c r="A59" s="846">
        <f t="shared" si="5"/>
        <v>11.419999999999991</v>
      </c>
      <c r="B59" s="184" t="s">
        <v>480</v>
      </c>
      <c r="C59" s="184" t="s">
        <v>481</v>
      </c>
      <c r="D59" s="199">
        <v>108.85</v>
      </c>
      <c r="E59" s="199">
        <v>108.85</v>
      </c>
      <c r="F59" s="1327">
        <f t="shared" si="15"/>
        <v>108.85</v>
      </c>
      <c r="G59" s="187"/>
      <c r="H59" s="187"/>
      <c r="I59" s="502"/>
      <c r="J59" s="1327">
        <f t="shared" si="16"/>
        <v>108.85</v>
      </c>
      <c r="K59" s="187"/>
      <c r="L59" s="187"/>
      <c r="M59" s="502"/>
      <c r="N59" s="1441" t="s">
        <v>479</v>
      </c>
    </row>
    <row r="60" spans="1:15">
      <c r="A60" s="846">
        <f t="shared" si="5"/>
        <v>11.429999999999991</v>
      </c>
      <c r="B60" s="184" t="s">
        <v>482</v>
      </c>
      <c r="C60" s="184" t="s">
        <v>483</v>
      </c>
      <c r="D60" s="199">
        <v>408080.58</v>
      </c>
      <c r="E60" s="199">
        <v>408080.45</v>
      </c>
      <c r="F60" s="1327"/>
      <c r="G60" s="187"/>
      <c r="H60" s="187">
        <f t="shared" ref="H60:H61" si="17">+SUM($D60:$E60)/2</f>
        <v>408080.51500000001</v>
      </c>
      <c r="I60" s="502"/>
      <c r="J60" s="1327"/>
      <c r="K60" s="187"/>
      <c r="L60" s="187">
        <f>+E60</f>
        <v>408080.45</v>
      </c>
      <c r="M60" s="502"/>
      <c r="N60" s="1441" t="s">
        <v>484</v>
      </c>
    </row>
    <row r="61" spans="1:15">
      <c r="A61" s="846">
        <f t="shared" si="5"/>
        <v>11.439999999999991</v>
      </c>
      <c r="B61" s="184" t="s">
        <v>485</v>
      </c>
      <c r="C61" s="184" t="s">
        <v>486</v>
      </c>
      <c r="D61" s="199">
        <v>81054.960000000006</v>
      </c>
      <c r="E61" s="199">
        <v>81054.929999999993</v>
      </c>
      <c r="F61" s="1327"/>
      <c r="G61" s="187"/>
      <c r="H61" s="187">
        <f t="shared" si="17"/>
        <v>81054.945000000007</v>
      </c>
      <c r="I61" s="502"/>
      <c r="J61" s="1327"/>
      <c r="K61" s="187"/>
      <c r="L61" s="187">
        <f>+E61</f>
        <v>81054.929999999993</v>
      </c>
      <c r="M61" s="502"/>
      <c r="N61" s="1441" t="s">
        <v>484</v>
      </c>
    </row>
    <row r="62" spans="1:15">
      <c r="A62" s="846">
        <f t="shared" si="5"/>
        <v>11.44999999999999</v>
      </c>
      <c r="B62" s="184" t="s">
        <v>487</v>
      </c>
      <c r="C62" s="184" t="s">
        <v>488</v>
      </c>
      <c r="D62" s="199">
        <v>3675310.37</v>
      </c>
      <c r="E62" s="199">
        <v>277371.84999999998</v>
      </c>
      <c r="F62" s="1327">
        <f t="shared" ref="F62:F81" si="18">+SUM($D62:$E62)/2</f>
        <v>1976341.11</v>
      </c>
      <c r="G62" s="187"/>
      <c r="H62" s="187"/>
      <c r="I62" s="502"/>
      <c r="J62" s="1327">
        <f t="shared" ref="J62:J81" si="19">+E62</f>
        <v>277371.84999999998</v>
      </c>
      <c r="K62" s="187"/>
      <c r="L62" s="187"/>
      <c r="M62" s="502"/>
      <c r="N62" s="1441" t="s">
        <v>431</v>
      </c>
    </row>
    <row r="63" spans="1:15">
      <c r="A63" s="846">
        <f t="shared" si="5"/>
        <v>11.45999999999999</v>
      </c>
      <c r="B63" s="184" t="s">
        <v>489</v>
      </c>
      <c r="C63" s="184" t="s">
        <v>490</v>
      </c>
      <c r="D63" s="199">
        <v>730008.16</v>
      </c>
      <c r="E63" s="199">
        <v>55092.959999999999</v>
      </c>
      <c r="F63" s="1327">
        <f t="shared" si="18"/>
        <v>392550.56</v>
      </c>
      <c r="G63" s="187"/>
      <c r="H63" s="187"/>
      <c r="I63" s="502"/>
      <c r="J63" s="1327">
        <f t="shared" si="19"/>
        <v>55092.959999999999</v>
      </c>
      <c r="K63" s="187"/>
      <c r="L63" s="187"/>
      <c r="M63" s="502"/>
      <c r="N63" s="1441" t="s">
        <v>431</v>
      </c>
    </row>
    <row r="64" spans="1:15">
      <c r="A64" s="846">
        <f t="shared" si="5"/>
        <v>11.46999999999999</v>
      </c>
      <c r="B64" s="184" t="s">
        <v>491</v>
      </c>
      <c r="C64" s="184" t="s">
        <v>1112</v>
      </c>
      <c r="D64" s="199">
        <v>64887.54</v>
      </c>
      <c r="E64" s="199">
        <v>38037.269999999997</v>
      </c>
      <c r="F64" s="1327">
        <f t="shared" si="18"/>
        <v>51462.404999999999</v>
      </c>
      <c r="G64" s="187"/>
      <c r="H64" s="187"/>
      <c r="I64" s="502"/>
      <c r="J64" s="1327">
        <f t="shared" si="19"/>
        <v>38037.269999999997</v>
      </c>
      <c r="K64" s="187"/>
      <c r="L64" s="187"/>
      <c r="M64" s="502"/>
      <c r="N64" s="1441" t="s">
        <v>446</v>
      </c>
    </row>
    <row r="65" spans="1:15">
      <c r="A65" s="846">
        <f t="shared" si="5"/>
        <v>11.47999999999999</v>
      </c>
      <c r="B65" s="184" t="s">
        <v>492</v>
      </c>
      <c r="C65" s="184" t="s">
        <v>1113</v>
      </c>
      <c r="D65" s="199">
        <v>12888.3</v>
      </c>
      <c r="E65" s="199">
        <v>7555.17</v>
      </c>
      <c r="F65" s="1327">
        <f t="shared" si="18"/>
        <v>10221.735000000001</v>
      </c>
      <c r="G65" s="187"/>
      <c r="H65" s="187"/>
      <c r="I65" s="502"/>
      <c r="J65" s="1327">
        <f t="shared" si="19"/>
        <v>7555.17</v>
      </c>
      <c r="K65" s="187"/>
      <c r="L65" s="187"/>
      <c r="M65" s="502"/>
      <c r="N65" s="1441" t="s">
        <v>446</v>
      </c>
    </row>
    <row r="66" spans="1:15">
      <c r="A66" s="846">
        <f t="shared" si="5"/>
        <v>11.48999999999999</v>
      </c>
      <c r="B66" s="184" t="s">
        <v>493</v>
      </c>
      <c r="C66" s="184" t="s">
        <v>494</v>
      </c>
      <c r="D66" s="199">
        <v>0</v>
      </c>
      <c r="E66" s="199">
        <v>0</v>
      </c>
      <c r="F66" s="1327">
        <f t="shared" si="18"/>
        <v>0</v>
      </c>
      <c r="G66" s="187"/>
      <c r="H66" s="187"/>
      <c r="I66" s="502"/>
      <c r="J66" s="1327">
        <f t="shared" si="19"/>
        <v>0</v>
      </c>
      <c r="K66" s="187"/>
      <c r="L66" s="187"/>
      <c r="M66" s="502"/>
      <c r="N66" s="1441" t="s">
        <v>431</v>
      </c>
    </row>
    <row r="67" spans="1:15">
      <c r="A67" s="846">
        <f t="shared" si="5"/>
        <v>11.499999999999989</v>
      </c>
      <c r="B67" s="184" t="s">
        <v>495</v>
      </c>
      <c r="C67" s="184" t="s">
        <v>496</v>
      </c>
      <c r="D67" s="199">
        <v>0</v>
      </c>
      <c r="E67" s="199">
        <v>0</v>
      </c>
      <c r="F67" s="1327">
        <f t="shared" si="18"/>
        <v>0</v>
      </c>
      <c r="G67" s="187"/>
      <c r="H67" s="187"/>
      <c r="I67" s="502"/>
      <c r="J67" s="1327">
        <f t="shared" si="19"/>
        <v>0</v>
      </c>
      <c r="K67" s="187"/>
      <c r="L67" s="187"/>
      <c r="M67" s="502"/>
      <c r="N67" s="1441" t="s">
        <v>431</v>
      </c>
    </row>
    <row r="68" spans="1:15">
      <c r="A68" s="846">
        <f t="shared" si="5"/>
        <v>11.509999999999989</v>
      </c>
      <c r="B68" s="184" t="s">
        <v>497</v>
      </c>
      <c r="C68" s="184" t="s">
        <v>498</v>
      </c>
      <c r="D68" s="199">
        <v>35508.26</v>
      </c>
      <c r="E68" s="199">
        <v>76126.86</v>
      </c>
      <c r="F68" s="1327">
        <f t="shared" si="18"/>
        <v>55817.56</v>
      </c>
      <c r="G68" s="187"/>
      <c r="H68" s="187"/>
      <c r="I68" s="502"/>
      <c r="J68" s="1327">
        <f t="shared" si="19"/>
        <v>76126.86</v>
      </c>
      <c r="K68" s="187"/>
      <c r="L68" s="187"/>
      <c r="M68" s="502"/>
      <c r="N68" s="1441" t="s">
        <v>431</v>
      </c>
    </row>
    <row r="69" spans="1:15">
      <c r="A69" s="846">
        <f t="shared" si="5"/>
        <v>11.519999999999989</v>
      </c>
      <c r="B69" s="184" t="s">
        <v>499</v>
      </c>
      <c r="C69" s="184" t="s">
        <v>500</v>
      </c>
      <c r="D69" s="199">
        <v>7052.83</v>
      </c>
      <c r="E69" s="199">
        <v>15120.7</v>
      </c>
      <c r="F69" s="1327">
        <f t="shared" si="18"/>
        <v>11086.764999999999</v>
      </c>
      <c r="G69" s="187"/>
      <c r="H69" s="187"/>
      <c r="I69" s="502"/>
      <c r="J69" s="1327">
        <f t="shared" si="19"/>
        <v>15120.7</v>
      </c>
      <c r="K69" s="187"/>
      <c r="L69" s="187"/>
      <c r="M69" s="502"/>
      <c r="N69" s="1441" t="s">
        <v>431</v>
      </c>
    </row>
    <row r="70" spans="1:15">
      <c r="A70" s="846">
        <f t="shared" si="5"/>
        <v>11.529999999999989</v>
      </c>
      <c r="B70" s="184" t="s">
        <v>501</v>
      </c>
      <c r="C70" s="184" t="s">
        <v>502</v>
      </c>
      <c r="D70" s="199">
        <v>522773.01</v>
      </c>
      <c r="E70" s="199">
        <v>444120.21</v>
      </c>
      <c r="F70" s="1327">
        <f t="shared" si="18"/>
        <v>483446.61</v>
      </c>
      <c r="G70" s="187"/>
      <c r="H70" s="187"/>
      <c r="I70" s="502"/>
      <c r="J70" s="1327">
        <f t="shared" si="19"/>
        <v>444120.21</v>
      </c>
      <c r="K70" s="187"/>
      <c r="L70" s="187"/>
      <c r="M70" s="502"/>
      <c r="N70" s="1441" t="s">
        <v>431</v>
      </c>
    </row>
    <row r="71" spans="1:15">
      <c r="A71" s="846">
        <f t="shared" si="5"/>
        <v>11.539999999999988</v>
      </c>
      <c r="B71" s="184" t="s">
        <v>503</v>
      </c>
      <c r="C71" s="184" t="s">
        <v>504</v>
      </c>
      <c r="D71" s="199">
        <v>103835.75</v>
      </c>
      <c r="E71" s="199">
        <v>88213.35</v>
      </c>
      <c r="F71" s="1327">
        <f t="shared" si="18"/>
        <v>96024.55</v>
      </c>
      <c r="G71" s="187"/>
      <c r="H71" s="187"/>
      <c r="I71" s="502"/>
      <c r="J71" s="1327">
        <f t="shared" si="19"/>
        <v>88213.35</v>
      </c>
      <c r="K71" s="187"/>
      <c r="L71" s="187"/>
      <c r="M71" s="502"/>
      <c r="N71" s="1441" t="s">
        <v>431</v>
      </c>
    </row>
    <row r="72" spans="1:15">
      <c r="A72" s="846">
        <f t="shared" si="5"/>
        <v>11.549999999999988</v>
      </c>
      <c r="B72" s="184" t="s">
        <v>505</v>
      </c>
      <c r="C72" s="184" t="s">
        <v>506</v>
      </c>
      <c r="D72" s="199">
        <v>627317.31000000006</v>
      </c>
      <c r="E72" s="199">
        <v>627317.31000000006</v>
      </c>
      <c r="F72" s="1327">
        <f t="shared" si="18"/>
        <v>627317.31000000006</v>
      </c>
      <c r="G72" s="187"/>
      <c r="H72" s="187"/>
      <c r="I72" s="502"/>
      <c r="J72" s="1327">
        <f t="shared" si="19"/>
        <v>627317.31000000006</v>
      </c>
      <c r="K72" s="187"/>
      <c r="L72" s="187"/>
      <c r="M72" s="502"/>
      <c r="N72" s="1441" t="s">
        <v>431</v>
      </c>
    </row>
    <row r="73" spans="1:15">
      <c r="A73" s="846">
        <f t="shared" si="5"/>
        <v>11.559999999999988</v>
      </c>
      <c r="B73" s="184" t="s">
        <v>507</v>
      </c>
      <c r="C73" s="184" t="s">
        <v>1114</v>
      </c>
      <c r="D73" s="199">
        <v>124600.85</v>
      </c>
      <c r="E73" s="199">
        <v>124600.85</v>
      </c>
      <c r="F73" s="1327">
        <f t="shared" si="18"/>
        <v>124600.85</v>
      </c>
      <c r="G73" s="187"/>
      <c r="H73" s="187"/>
      <c r="I73" s="502"/>
      <c r="J73" s="1327">
        <f t="shared" si="19"/>
        <v>124600.85</v>
      </c>
      <c r="K73" s="187"/>
      <c r="L73" s="187"/>
      <c r="M73" s="502"/>
      <c r="N73" s="1441" t="s">
        <v>431</v>
      </c>
    </row>
    <row r="74" spans="1:15">
      <c r="A74" s="846">
        <f t="shared" si="5"/>
        <v>11.569999999999988</v>
      </c>
      <c r="B74" s="184" t="s">
        <v>508</v>
      </c>
      <c r="C74" s="184" t="s">
        <v>509</v>
      </c>
      <c r="D74" s="199">
        <v>197310.78</v>
      </c>
      <c r="E74" s="199">
        <v>313164.13</v>
      </c>
      <c r="F74" s="1327">
        <f t="shared" si="18"/>
        <v>255237.45500000002</v>
      </c>
      <c r="G74" s="187"/>
      <c r="H74" s="187"/>
      <c r="I74" s="502"/>
      <c r="J74" s="1327">
        <f t="shared" si="19"/>
        <v>313164.13</v>
      </c>
      <c r="K74" s="187"/>
      <c r="L74" s="187"/>
      <c r="M74" s="502"/>
      <c r="N74" s="1441" t="s">
        <v>431</v>
      </c>
    </row>
    <row r="75" spans="1:15">
      <c r="A75" s="846">
        <f t="shared" si="5"/>
        <v>11.579999999999988</v>
      </c>
      <c r="B75" s="184" t="s">
        <v>510</v>
      </c>
      <c r="C75" s="184" t="s">
        <v>511</v>
      </c>
      <c r="D75" s="199">
        <v>39190.83</v>
      </c>
      <c r="E75" s="199">
        <v>62202.19</v>
      </c>
      <c r="F75" s="1327">
        <f t="shared" si="18"/>
        <v>50696.51</v>
      </c>
      <c r="G75" s="187"/>
      <c r="H75" s="187"/>
      <c r="I75" s="502"/>
      <c r="J75" s="1327">
        <f t="shared" si="19"/>
        <v>62202.19</v>
      </c>
      <c r="K75" s="187"/>
      <c r="L75" s="187"/>
      <c r="M75" s="502"/>
      <c r="N75" s="1441" t="s">
        <v>431</v>
      </c>
    </row>
    <row r="76" spans="1:15">
      <c r="A76" s="846">
        <f t="shared" si="5"/>
        <v>11.589999999999987</v>
      </c>
      <c r="B76" s="184" t="s">
        <v>512</v>
      </c>
      <c r="C76" s="184" t="s">
        <v>658</v>
      </c>
      <c r="D76" s="199">
        <v>181.99</v>
      </c>
      <c r="E76" s="199">
        <v>265.35000000000002</v>
      </c>
      <c r="F76" s="1327"/>
      <c r="G76" s="187"/>
      <c r="H76" s="187"/>
      <c r="I76" s="502">
        <f t="shared" ref="I76:I77" si="20">+SUM($D76:$E76)/2</f>
        <v>223.67000000000002</v>
      </c>
      <c r="J76" s="1327"/>
      <c r="K76" s="187"/>
      <c r="L76" s="187"/>
      <c r="M76" s="502">
        <f>+E76</f>
        <v>265.35000000000002</v>
      </c>
      <c r="N76" s="1594" t="s">
        <v>513</v>
      </c>
      <c r="O76" s="44" t="s">
        <v>1685</v>
      </c>
    </row>
    <row r="77" spans="1:15">
      <c r="A77" s="846">
        <f t="shared" si="5"/>
        <v>11.599999999999987</v>
      </c>
      <c r="B77" s="184" t="s">
        <v>514</v>
      </c>
      <c r="C77" s="184" t="s">
        <v>659</v>
      </c>
      <c r="D77" s="199">
        <v>36.15</v>
      </c>
      <c r="E77" s="199">
        <v>52.71</v>
      </c>
      <c r="F77" s="1327"/>
      <c r="G77" s="187"/>
      <c r="H77" s="187"/>
      <c r="I77" s="502">
        <f t="shared" si="20"/>
        <v>44.43</v>
      </c>
      <c r="J77" s="1327"/>
      <c r="K77" s="187"/>
      <c r="L77" s="187"/>
      <c r="M77" s="502">
        <f>+E77</f>
        <v>52.71</v>
      </c>
      <c r="N77" s="1594" t="s">
        <v>513</v>
      </c>
    </row>
    <row r="78" spans="1:15">
      <c r="A78" s="846">
        <f t="shared" si="5"/>
        <v>11.609999999999987</v>
      </c>
      <c r="B78" s="184" t="s">
        <v>515</v>
      </c>
      <c r="C78" s="184" t="s">
        <v>516</v>
      </c>
      <c r="D78" s="199">
        <v>579858.18999999994</v>
      </c>
      <c r="E78" s="199">
        <v>112431</v>
      </c>
      <c r="F78" s="1327">
        <f t="shared" si="18"/>
        <v>346144.59499999997</v>
      </c>
      <c r="G78" s="187"/>
      <c r="H78" s="187"/>
      <c r="I78" s="502"/>
      <c r="J78" s="1327">
        <f t="shared" si="19"/>
        <v>112431</v>
      </c>
      <c r="K78" s="187"/>
      <c r="L78" s="187"/>
      <c r="M78" s="502"/>
      <c r="N78" s="1441" t="s">
        <v>517</v>
      </c>
    </row>
    <row r="79" spans="1:15">
      <c r="A79" s="846">
        <f t="shared" si="5"/>
        <v>11.619999999999987</v>
      </c>
      <c r="B79" s="184" t="s">
        <v>518</v>
      </c>
      <c r="C79" s="184" t="s">
        <v>519</v>
      </c>
      <c r="D79" s="199">
        <v>115174.28</v>
      </c>
      <c r="E79" s="199">
        <v>22331.599999999999</v>
      </c>
      <c r="F79" s="1327">
        <f t="shared" si="18"/>
        <v>68752.94</v>
      </c>
      <c r="G79" s="187"/>
      <c r="H79" s="187"/>
      <c r="I79" s="502"/>
      <c r="J79" s="1327">
        <f t="shared" si="19"/>
        <v>22331.599999999999</v>
      </c>
      <c r="K79" s="187"/>
      <c r="L79" s="187"/>
      <c r="M79" s="502"/>
      <c r="N79" s="1441" t="s">
        <v>517</v>
      </c>
    </row>
    <row r="80" spans="1:15">
      <c r="A80" s="846">
        <f t="shared" si="5"/>
        <v>11.629999999999987</v>
      </c>
      <c r="B80" s="184" t="s">
        <v>520</v>
      </c>
      <c r="C80" s="184" t="s">
        <v>1115</v>
      </c>
      <c r="D80" s="199">
        <v>-9777.56</v>
      </c>
      <c r="E80" s="199">
        <v>-10243.040000000001</v>
      </c>
      <c r="F80" s="1327">
        <f t="shared" si="18"/>
        <v>-10010.299999999999</v>
      </c>
      <c r="G80" s="187"/>
      <c r="H80" s="187"/>
      <c r="I80" s="502"/>
      <c r="J80" s="1327">
        <f t="shared" si="19"/>
        <v>-10243.040000000001</v>
      </c>
      <c r="K80" s="187"/>
      <c r="L80" s="187"/>
      <c r="M80" s="502"/>
      <c r="N80" s="1441" t="s">
        <v>446</v>
      </c>
    </row>
    <row r="81" spans="1:15">
      <c r="A81" s="846">
        <f t="shared" si="5"/>
        <v>11.639999999999986</v>
      </c>
      <c r="B81" s="184" t="s">
        <v>521</v>
      </c>
      <c r="C81" s="184" t="s">
        <v>1116</v>
      </c>
      <c r="D81" s="199">
        <v>-1942.07</v>
      </c>
      <c r="E81" s="199">
        <v>-2034.53</v>
      </c>
      <c r="F81" s="1327">
        <f t="shared" si="18"/>
        <v>-1988.3</v>
      </c>
      <c r="G81" s="187"/>
      <c r="H81" s="187"/>
      <c r="I81" s="502"/>
      <c r="J81" s="1327">
        <f t="shared" si="19"/>
        <v>-2034.53</v>
      </c>
      <c r="K81" s="187"/>
      <c r="L81" s="187"/>
      <c r="M81" s="502"/>
      <c r="N81" s="1441" t="s">
        <v>446</v>
      </c>
    </row>
    <row r="82" spans="1:15">
      <c r="A82" s="846">
        <f t="shared" si="5"/>
        <v>11.649999999999986</v>
      </c>
      <c r="B82" s="1634">
        <v>190613</v>
      </c>
      <c r="C82" s="184" t="s">
        <v>693</v>
      </c>
      <c r="D82" s="199">
        <v>890512.53</v>
      </c>
      <c r="E82" s="199">
        <v>1148.75</v>
      </c>
      <c r="F82" s="1327"/>
      <c r="G82" s="187"/>
      <c r="H82" s="187"/>
      <c r="I82" s="502">
        <f t="shared" ref="I82:I83" si="21">+SUM($D82:$E82)/2</f>
        <v>445830.64</v>
      </c>
      <c r="J82" s="1327"/>
      <c r="K82" s="187"/>
      <c r="L82" s="187"/>
      <c r="M82" s="502">
        <f>+E82</f>
        <v>1148.75</v>
      </c>
      <c r="N82" s="1441" t="s">
        <v>734</v>
      </c>
      <c r="O82" s="44" t="s">
        <v>1682</v>
      </c>
    </row>
    <row r="83" spans="1:15">
      <c r="A83" s="846">
        <f t="shared" si="5"/>
        <v>11.659999999999986</v>
      </c>
      <c r="B83" s="1386">
        <v>190614</v>
      </c>
      <c r="C83" s="184" t="s">
        <v>694</v>
      </c>
      <c r="D83" s="199">
        <v>176877.97</v>
      </c>
      <c r="E83" s="199">
        <v>228.17</v>
      </c>
      <c r="F83" s="1327"/>
      <c r="G83" s="187"/>
      <c r="H83" s="187"/>
      <c r="I83" s="502">
        <f t="shared" si="21"/>
        <v>88553.07</v>
      </c>
      <c r="J83" s="1327"/>
      <c r="K83" s="187"/>
      <c r="L83" s="187"/>
      <c r="M83" s="502">
        <f>+E83</f>
        <v>228.17</v>
      </c>
      <c r="N83" s="1441" t="s">
        <v>734</v>
      </c>
      <c r="O83" s="44" t="s">
        <v>1682</v>
      </c>
    </row>
    <row r="84" spans="1:15">
      <c r="A84" s="846">
        <f t="shared" ref="A84:A97" si="22">+A83+0.01</f>
        <v>11.669999999999986</v>
      </c>
      <c r="B84" s="1386" t="s">
        <v>522</v>
      </c>
      <c r="C84" s="184" t="s">
        <v>735</v>
      </c>
      <c r="D84" s="199">
        <v>3360836.03</v>
      </c>
      <c r="E84" s="199">
        <v>5198700.13</v>
      </c>
      <c r="F84" s="1327">
        <f t="shared" ref="F84:F87" si="23">+SUM($D84:$E84)/2</f>
        <v>4279768.08</v>
      </c>
      <c r="G84" s="187"/>
      <c r="H84" s="187"/>
      <c r="I84" s="502"/>
      <c r="J84" s="1327">
        <f>+E84</f>
        <v>5198700.13</v>
      </c>
      <c r="K84" s="187"/>
      <c r="L84" s="187"/>
      <c r="M84" s="502"/>
      <c r="N84" s="1441" t="s">
        <v>523</v>
      </c>
    </row>
    <row r="85" spans="1:15">
      <c r="A85" s="846">
        <f t="shared" si="22"/>
        <v>11.679999999999986</v>
      </c>
      <c r="B85" s="184" t="s">
        <v>524</v>
      </c>
      <c r="C85" s="184" t="s">
        <v>736</v>
      </c>
      <c r="D85" s="199">
        <v>667545.74</v>
      </c>
      <c r="E85" s="199">
        <v>1032591.32</v>
      </c>
      <c r="F85" s="1327">
        <f t="shared" si="23"/>
        <v>850068.53</v>
      </c>
      <c r="G85" s="187"/>
      <c r="H85" s="187"/>
      <c r="I85" s="502"/>
      <c r="J85" s="1327">
        <f>+E85</f>
        <v>1032591.32</v>
      </c>
      <c r="K85" s="187"/>
      <c r="L85" s="187"/>
      <c r="M85" s="502"/>
      <c r="N85" s="1441" t="s">
        <v>523</v>
      </c>
    </row>
    <row r="86" spans="1:15">
      <c r="A86" s="846">
        <f t="shared" si="22"/>
        <v>11.689999999999985</v>
      </c>
      <c r="B86" s="184" t="s">
        <v>525</v>
      </c>
      <c r="C86" s="184" t="s">
        <v>526</v>
      </c>
      <c r="D86" s="199">
        <v>29014266.050000001</v>
      </c>
      <c r="E86" s="199">
        <v>28340806.27</v>
      </c>
      <c r="F86" s="1327">
        <f t="shared" si="23"/>
        <v>28677536.16</v>
      </c>
      <c r="G86" s="187"/>
      <c r="H86" s="187"/>
      <c r="I86" s="502"/>
      <c r="J86" s="1327">
        <f>+E86</f>
        <v>28340806.27</v>
      </c>
      <c r="K86" s="187"/>
      <c r="L86" s="187"/>
      <c r="M86" s="502"/>
      <c r="N86" s="1441" t="s">
        <v>527</v>
      </c>
    </row>
    <row r="87" spans="1:15">
      <c r="A87" s="846">
        <f t="shared" si="22"/>
        <v>11.699999999999985</v>
      </c>
      <c r="B87" s="184" t="s">
        <v>528</v>
      </c>
      <c r="C87" s="184" t="s">
        <v>529</v>
      </c>
      <c r="D87" s="199">
        <v>5762955.8300000001</v>
      </c>
      <c r="E87" s="199">
        <v>5629189.8700000001</v>
      </c>
      <c r="F87" s="1327">
        <f t="shared" si="23"/>
        <v>5696072.8499999996</v>
      </c>
      <c r="G87" s="187"/>
      <c r="H87" s="187"/>
      <c r="I87" s="502"/>
      <c r="J87" s="1327">
        <f>+E87</f>
        <v>5629189.8700000001</v>
      </c>
      <c r="K87" s="187"/>
      <c r="L87" s="187"/>
      <c r="M87" s="502"/>
      <c r="N87" s="1441" t="s">
        <v>527</v>
      </c>
    </row>
    <row r="88" spans="1:15">
      <c r="A88" s="846">
        <f t="shared" si="22"/>
        <v>11.709999999999985</v>
      </c>
      <c r="B88" s="184" t="s">
        <v>530</v>
      </c>
      <c r="C88" s="184" t="s">
        <v>531</v>
      </c>
      <c r="D88" s="199">
        <v>129900750.15000001</v>
      </c>
      <c r="E88" s="199">
        <v>130794999.98</v>
      </c>
      <c r="F88" s="1327"/>
      <c r="G88" s="187"/>
      <c r="H88" s="187">
        <f t="shared" ref="H88:H89" si="24">+SUM($D88:$E88)/2</f>
        <v>130347875.065</v>
      </c>
      <c r="I88" s="502"/>
      <c r="J88" s="1327"/>
      <c r="K88" s="187"/>
      <c r="L88" s="187">
        <f>+E88</f>
        <v>130794999.98</v>
      </c>
      <c r="M88" s="502"/>
      <c r="N88" s="1441" t="s">
        <v>869</v>
      </c>
    </row>
    <row r="89" spans="1:15">
      <c r="A89" s="846">
        <f t="shared" si="22"/>
        <v>11.719999999999985</v>
      </c>
      <c r="B89" s="184" t="s">
        <v>532</v>
      </c>
      <c r="C89" s="184" t="s">
        <v>533</v>
      </c>
      <c r="D89" s="199">
        <v>0</v>
      </c>
      <c r="E89" s="199">
        <v>13916729.08</v>
      </c>
      <c r="F89" s="1327"/>
      <c r="G89" s="187"/>
      <c r="H89" s="187">
        <f t="shared" si="24"/>
        <v>6958364.54</v>
      </c>
      <c r="I89" s="502"/>
      <c r="J89" s="1327"/>
      <c r="K89" s="187"/>
      <c r="L89" s="187">
        <f>+E89</f>
        <v>13916729.08</v>
      </c>
      <c r="M89" s="502"/>
      <c r="N89" s="766" t="s">
        <v>870</v>
      </c>
    </row>
    <row r="90" spans="1:15">
      <c r="A90" s="846">
        <f t="shared" si="22"/>
        <v>11.729999999999984</v>
      </c>
      <c r="B90" s="184" t="s">
        <v>534</v>
      </c>
      <c r="C90" s="184" t="s">
        <v>535</v>
      </c>
      <c r="D90" s="199">
        <v>0</v>
      </c>
      <c r="E90" s="199">
        <v>0</v>
      </c>
      <c r="F90" s="1327">
        <f>+SUM($D90:$E90)/2</f>
        <v>0</v>
      </c>
      <c r="G90" s="187"/>
      <c r="H90" s="187"/>
      <c r="I90" s="502"/>
      <c r="J90" s="1327">
        <f>+E90</f>
        <v>0</v>
      </c>
      <c r="K90" s="187"/>
      <c r="L90" s="187"/>
      <c r="M90" s="502"/>
      <c r="N90" s="766" t="s">
        <v>536</v>
      </c>
    </row>
    <row r="91" spans="1:15">
      <c r="A91" s="846">
        <f t="shared" si="22"/>
        <v>11.739999999999984</v>
      </c>
      <c r="B91" s="184" t="s">
        <v>537</v>
      </c>
      <c r="C91" s="184" t="s">
        <v>538</v>
      </c>
      <c r="D91" s="199">
        <v>2315195</v>
      </c>
      <c r="E91" s="199">
        <v>1316966</v>
      </c>
      <c r="F91" s="1327"/>
      <c r="G91" s="187"/>
      <c r="H91" s="187"/>
      <c r="I91" s="502">
        <f>+SUM($D91:$E91)/2</f>
        <v>1816080.5</v>
      </c>
      <c r="J91" s="1327"/>
      <c r="K91" s="187"/>
      <c r="L91" s="187"/>
      <c r="M91" s="502">
        <f>+E91</f>
        <v>1316966</v>
      </c>
      <c r="N91" s="1441" t="s">
        <v>660</v>
      </c>
    </row>
    <row r="92" spans="1:15">
      <c r="A92" s="846">
        <f t="shared" si="22"/>
        <v>11.749999999999984</v>
      </c>
      <c r="B92" s="184" t="s">
        <v>0</v>
      </c>
      <c r="C92" s="184" t="s">
        <v>1</v>
      </c>
      <c r="D92" s="199">
        <v>0</v>
      </c>
      <c r="E92" s="199">
        <v>0</v>
      </c>
      <c r="F92" s="1327"/>
      <c r="G92" s="187"/>
      <c r="H92" s="187">
        <f t="shared" ref="H92:H95" si="25">+SUM($D92:$E92)/2</f>
        <v>0</v>
      </c>
      <c r="I92" s="502"/>
      <c r="J92" s="1327"/>
      <c r="K92" s="187"/>
      <c r="L92" s="187">
        <f>+E92</f>
        <v>0</v>
      </c>
      <c r="M92" s="502"/>
      <c r="N92" s="1441" t="s">
        <v>868</v>
      </c>
    </row>
    <row r="93" spans="1:15">
      <c r="A93" s="846">
        <f t="shared" si="22"/>
        <v>11.759999999999984</v>
      </c>
      <c r="B93" s="184" t="s">
        <v>2</v>
      </c>
      <c r="C93" s="184" t="s">
        <v>3</v>
      </c>
      <c r="D93" s="199">
        <v>-5455577.75</v>
      </c>
      <c r="E93" s="199">
        <v>-2202374.1800000002</v>
      </c>
      <c r="F93" s="1327"/>
      <c r="G93" s="187"/>
      <c r="H93" s="187">
        <f t="shared" si="25"/>
        <v>-3828975.9649999999</v>
      </c>
      <c r="I93" s="502"/>
      <c r="J93" s="1327"/>
      <c r="K93" s="187"/>
      <c r="L93" s="187">
        <f>+E93</f>
        <v>-2202374.1800000002</v>
      </c>
      <c r="M93" s="502"/>
      <c r="N93" s="1441" t="s">
        <v>661</v>
      </c>
    </row>
    <row r="94" spans="1:15">
      <c r="A94" s="846">
        <f>+A93+0.01</f>
        <v>11.769999999999984</v>
      </c>
      <c r="B94" s="597" t="s">
        <v>1429</v>
      </c>
      <c r="C94" s="1635" t="s">
        <v>1430</v>
      </c>
      <c r="D94" s="199">
        <v>0</v>
      </c>
      <c r="E94" s="199">
        <v>-2690680.27</v>
      </c>
      <c r="F94" s="1327"/>
      <c r="G94" s="187"/>
      <c r="H94" s="187">
        <f>+SUM($D94:$E94)/2</f>
        <v>-1345340.135</v>
      </c>
      <c r="I94" s="502"/>
      <c r="J94" s="1327"/>
      <c r="K94" s="187"/>
      <c r="L94" s="187">
        <f>+E94</f>
        <v>-2690680.27</v>
      </c>
      <c r="M94" s="502"/>
      <c r="N94" s="1635" t="s">
        <v>661</v>
      </c>
      <c r="O94" s="44" t="s">
        <v>1683</v>
      </c>
    </row>
    <row r="95" spans="1:15">
      <c r="A95" s="846">
        <f>+A94+0.01</f>
        <v>11.779999999999983</v>
      </c>
      <c r="B95" s="197" t="s">
        <v>4</v>
      </c>
      <c r="C95" s="197" t="s">
        <v>5</v>
      </c>
      <c r="D95" s="199">
        <v>293491100.17000002</v>
      </c>
      <c r="E95" s="199">
        <v>320077450.00999999</v>
      </c>
      <c r="F95" s="1327"/>
      <c r="G95" s="187"/>
      <c r="H95" s="187">
        <f t="shared" si="25"/>
        <v>306784275.09000003</v>
      </c>
      <c r="I95" s="502"/>
      <c r="J95" s="1327"/>
      <c r="K95" s="187"/>
      <c r="L95" s="187">
        <f>+E95</f>
        <v>320077450.00999999</v>
      </c>
      <c r="M95" s="502"/>
      <c r="N95" s="766" t="s">
        <v>869</v>
      </c>
    </row>
    <row r="96" spans="1:15">
      <c r="A96" s="846">
        <f t="shared" si="22"/>
        <v>11.789999999999983</v>
      </c>
      <c r="B96" s="197" t="s">
        <v>6</v>
      </c>
      <c r="C96" s="197" t="s">
        <v>7</v>
      </c>
      <c r="D96" s="199">
        <v>0</v>
      </c>
      <c r="E96" s="199">
        <v>63426.48</v>
      </c>
      <c r="F96" s="1327">
        <f t="shared" ref="F96:F97" si="26">+SUM($D96:$E96)/2</f>
        <v>31713.24</v>
      </c>
      <c r="G96" s="187"/>
      <c r="H96" s="187"/>
      <c r="I96" s="502"/>
      <c r="J96" s="1327">
        <f>+E96</f>
        <v>63426.48</v>
      </c>
      <c r="K96" s="187"/>
      <c r="L96" s="187"/>
      <c r="M96" s="502"/>
      <c r="N96" s="766" t="s">
        <v>536</v>
      </c>
    </row>
    <row r="97" spans="1:14">
      <c r="A97" s="846">
        <f t="shared" si="22"/>
        <v>11.799999999999983</v>
      </c>
      <c r="B97" s="197" t="s">
        <v>8</v>
      </c>
      <c r="C97" s="197" t="s">
        <v>9</v>
      </c>
      <c r="D97" s="199">
        <v>200000</v>
      </c>
      <c r="E97" s="199">
        <v>200000</v>
      </c>
      <c r="F97" s="1327">
        <f t="shared" si="26"/>
        <v>200000</v>
      </c>
      <c r="G97" s="197"/>
      <c r="H97" s="197"/>
      <c r="I97" s="503"/>
      <c r="J97" s="1327">
        <f>+E97</f>
        <v>200000</v>
      </c>
      <c r="K97" s="197"/>
      <c r="L97" s="197"/>
      <c r="M97" s="503"/>
      <c r="N97" s="766" t="s">
        <v>10</v>
      </c>
    </row>
    <row r="98" spans="1:14">
      <c r="A98" s="1415">
        <f>+A97+0.01</f>
        <v>11.809999999999983</v>
      </c>
      <c r="B98" s="201"/>
      <c r="C98" s="201" t="s">
        <v>1507</v>
      </c>
      <c r="D98" s="199">
        <v>0</v>
      </c>
      <c r="E98" s="199">
        <v>0</v>
      </c>
      <c r="F98" s="1387"/>
      <c r="G98" s="200"/>
      <c r="H98" s="200"/>
      <c r="I98" s="508"/>
      <c r="J98" s="1387"/>
      <c r="K98" s="200"/>
      <c r="L98" s="200"/>
      <c r="M98" s="508"/>
      <c r="N98" s="203"/>
    </row>
    <row r="99" spans="1:14">
      <c r="A99" s="1416" t="s">
        <v>1498</v>
      </c>
      <c r="B99" s="201"/>
      <c r="C99" s="201" t="s">
        <v>1507</v>
      </c>
      <c r="D99" s="199">
        <v>0</v>
      </c>
      <c r="E99" s="199">
        <v>0</v>
      </c>
      <c r="F99" s="1387"/>
      <c r="G99" s="200"/>
      <c r="H99" s="200"/>
      <c r="I99" s="508"/>
      <c r="J99" s="1387"/>
      <c r="K99" s="200"/>
      <c r="L99" s="200"/>
      <c r="M99" s="508"/>
      <c r="N99" s="203"/>
    </row>
    <row r="100" spans="1:14">
      <c r="A100" s="1415" t="str">
        <f>+A17&amp;".xx"</f>
        <v>11.xx</v>
      </c>
      <c r="B100" s="201"/>
      <c r="C100" s="201" t="s">
        <v>1507</v>
      </c>
      <c r="D100" s="204">
        <v>0</v>
      </c>
      <c r="E100" s="204">
        <v>0</v>
      </c>
      <c r="F100" s="1388"/>
      <c r="G100" s="1389"/>
      <c r="H100" s="1389"/>
      <c r="I100" s="1390"/>
      <c r="J100" s="1388"/>
      <c r="K100" s="1389"/>
      <c r="L100" s="1389"/>
      <c r="M100" s="1390"/>
      <c r="N100" s="203"/>
    </row>
    <row r="101" spans="1:14" ht="13.5" thickBot="1">
      <c r="A101" s="845">
        <f>+A17+1</f>
        <v>12</v>
      </c>
      <c r="B101" s="817"/>
      <c r="C101" s="817"/>
      <c r="D101" s="242"/>
      <c r="E101" s="242"/>
      <c r="F101" s="837"/>
      <c r="G101" s="838"/>
      <c r="H101" s="838"/>
      <c r="I101" s="839"/>
      <c r="J101" s="837"/>
      <c r="K101" s="838"/>
      <c r="L101" s="838"/>
      <c r="M101" s="839"/>
      <c r="N101" s="766"/>
    </row>
    <row r="102" spans="1:14" s="43" customFormat="1" ht="13.5" thickBot="1">
      <c r="A102" s="845">
        <f>+A101+1</f>
        <v>13</v>
      </c>
      <c r="B102" s="505" t="s">
        <v>989</v>
      </c>
      <c r="C102" s="506"/>
      <c r="D102" s="840">
        <f t="shared" ref="D102:I102" si="27">SUM(D18:D100)</f>
        <v>581685024.42000008</v>
      </c>
      <c r="E102" s="840">
        <f t="shared" si="27"/>
        <v>626265379.55999994</v>
      </c>
      <c r="F102" s="841">
        <f t="shared" si="27"/>
        <v>146446018.09500003</v>
      </c>
      <c r="G102" s="283">
        <f t="shared" si="27"/>
        <v>0</v>
      </c>
      <c r="H102" s="283">
        <f t="shared" si="27"/>
        <v>450375092.47500002</v>
      </c>
      <c r="I102" s="835">
        <f t="shared" si="27"/>
        <v>7154091.419999999</v>
      </c>
      <c r="J102" s="841">
        <f>SUM(J18:J101)</f>
        <v>155921150.8899999</v>
      </c>
      <c r="K102" s="283">
        <f>SUM(K18:K101)</f>
        <v>0</v>
      </c>
      <c r="L102" s="283">
        <f>SUM(L18:L101)</f>
        <v>464078883.06999999</v>
      </c>
      <c r="M102" s="835">
        <f>SUM(M18:M101)</f>
        <v>6265345.5999999996</v>
      </c>
      <c r="N102" s="766" t="str">
        <f>+"Sum by Column of Line "&amp;A17&amp;" Subparts"</f>
        <v>Sum by Column of Line 11 Subparts</v>
      </c>
    </row>
    <row r="103" spans="1:14" ht="15">
      <c r="A103" s="845">
        <f>+A102+1</f>
        <v>14</v>
      </c>
      <c r="B103" s="1735" t="s">
        <v>1035</v>
      </c>
      <c r="C103" s="1735"/>
      <c r="D103" s="501">
        <f t="shared" ref="D103:M103" si="28">+D86+D87</f>
        <v>34777221.880000003</v>
      </c>
      <c r="E103" s="501">
        <f t="shared" si="28"/>
        <v>33969996.140000001</v>
      </c>
      <c r="F103" s="509">
        <f t="shared" si="28"/>
        <v>34373609.009999998</v>
      </c>
      <c r="G103" s="501">
        <f t="shared" si="28"/>
        <v>0</v>
      </c>
      <c r="H103" s="501">
        <f t="shared" si="28"/>
        <v>0</v>
      </c>
      <c r="I103" s="504">
        <f t="shared" si="28"/>
        <v>0</v>
      </c>
      <c r="J103" s="509">
        <f t="shared" si="28"/>
        <v>33969996.140000001</v>
      </c>
      <c r="K103" s="501">
        <f t="shared" si="28"/>
        <v>0</v>
      </c>
      <c r="L103" s="501">
        <f t="shared" si="28"/>
        <v>0</v>
      </c>
      <c r="M103" s="504">
        <f t="shared" si="28"/>
        <v>0</v>
      </c>
      <c r="N103" s="1583"/>
    </row>
    <row r="104" spans="1:14">
      <c r="A104" s="845">
        <f>+A103+1</f>
        <v>15</v>
      </c>
      <c r="B104" s="75" t="s">
        <v>987</v>
      </c>
      <c r="C104" s="172"/>
      <c r="D104" s="283">
        <f>+D102-D103</f>
        <v>546907802.54000008</v>
      </c>
      <c r="E104" s="283">
        <f>+E102-E103</f>
        <v>592295383.41999996</v>
      </c>
      <c r="F104" s="841">
        <f>+F102-F103</f>
        <v>112072409.08500004</v>
      </c>
      <c r="G104" s="283">
        <f t="shared" ref="G104:M104" si="29">+G102-G103</f>
        <v>0</v>
      </c>
      <c r="H104" s="283">
        <f t="shared" si="29"/>
        <v>450375092.47500002</v>
      </c>
      <c r="I104" s="835">
        <f t="shared" si="29"/>
        <v>7154091.419999999</v>
      </c>
      <c r="J104" s="841">
        <f t="shared" si="29"/>
        <v>121951154.7499999</v>
      </c>
      <c r="K104" s="283">
        <f t="shared" si="29"/>
        <v>0</v>
      </c>
      <c r="L104" s="283">
        <f t="shared" si="29"/>
        <v>464078883.06999999</v>
      </c>
      <c r="M104" s="835">
        <f t="shared" si="29"/>
        <v>6265345.5999999996</v>
      </c>
      <c r="N104" s="45" t="str">
        <f>+"Ln "&amp;A102&amp;" Less Ln "&amp;A103</f>
        <v>Ln 13 Less Ln 14</v>
      </c>
    </row>
    <row r="105" spans="1:14">
      <c r="A105" s="845">
        <f>+A104+1</f>
        <v>16</v>
      </c>
      <c r="B105" s="842"/>
      <c r="C105" s="842"/>
      <c r="D105" s="842"/>
      <c r="E105" s="171"/>
      <c r="F105" s="511"/>
      <c r="G105" s="511"/>
      <c r="H105" s="511"/>
      <c r="I105" s="511"/>
      <c r="J105" s="242"/>
      <c r="K105" s="45"/>
      <c r="L105" s="843"/>
      <c r="M105" s="511"/>
      <c r="N105" s="766"/>
    </row>
    <row r="106" spans="1:14" ht="15">
      <c r="A106" s="845">
        <f>+A105+1</f>
        <v>17</v>
      </c>
      <c r="B106" s="75" t="s">
        <v>1262</v>
      </c>
      <c r="C106" s="220"/>
      <c r="D106" s="220"/>
      <c r="E106" s="165"/>
      <c r="F106" s="1741" t="str">
        <f>F8</f>
        <v>Average of BOY/EOY (Col (C+D)/2)</v>
      </c>
      <c r="G106" s="1741"/>
      <c r="H106" s="1741"/>
      <c r="I106" s="1741"/>
      <c r="J106" s="1741" t="str">
        <f>J8</f>
        <v>EOY (Col D)</v>
      </c>
      <c r="K106" s="1741"/>
      <c r="L106" s="1741"/>
      <c r="M106" s="1741"/>
      <c r="N106" s="816" t="s">
        <v>243</v>
      </c>
    </row>
    <row r="107" spans="1:14">
      <c r="A107" s="846">
        <f>+A106+0.01</f>
        <v>17.010000000000002</v>
      </c>
      <c r="B107" s="184" t="s">
        <v>11</v>
      </c>
      <c r="C107" s="184" t="s">
        <v>12</v>
      </c>
      <c r="D107" s="199">
        <v>-706529515.39999998</v>
      </c>
      <c r="E107" s="508">
        <v>-713656888.69000006</v>
      </c>
      <c r="F107" s="184"/>
      <c r="G107" s="184"/>
      <c r="H107" s="185">
        <f t="shared" ref="H107:H110" si="30">+SUM($D107:$E107)/2</f>
        <v>-710093202.04500008</v>
      </c>
      <c r="I107" s="503"/>
      <c r="J107" s="184"/>
      <c r="K107" s="184"/>
      <c r="L107" s="185">
        <f>+E107</f>
        <v>-713656888.69000006</v>
      </c>
      <c r="M107" s="503"/>
      <c r="N107" s="1441" t="s">
        <v>13</v>
      </c>
    </row>
    <row r="108" spans="1:14">
      <c r="A108" s="846">
        <f>+A107+0.01</f>
        <v>17.020000000000003</v>
      </c>
      <c r="B108" s="184" t="s">
        <v>14</v>
      </c>
      <c r="C108" s="184" t="s">
        <v>15</v>
      </c>
      <c r="D108" s="199">
        <v>-91767904.859999999</v>
      </c>
      <c r="E108" s="508">
        <v>-89194506.040000007</v>
      </c>
      <c r="F108" s="184"/>
      <c r="G108" s="185"/>
      <c r="H108" s="185">
        <f t="shared" si="30"/>
        <v>-90481205.450000003</v>
      </c>
      <c r="I108" s="502"/>
      <c r="J108" s="184"/>
      <c r="K108" s="185"/>
      <c r="L108" s="185">
        <f>+E108</f>
        <v>-89194506.040000007</v>
      </c>
      <c r="M108" s="502"/>
      <c r="N108" s="1441" t="s">
        <v>13</v>
      </c>
    </row>
    <row r="109" spans="1:14">
      <c r="A109" s="846">
        <f t="shared" ref="A109:A169" si="31">+A108+0.01</f>
        <v>17.030000000000005</v>
      </c>
      <c r="B109" s="184" t="s">
        <v>16</v>
      </c>
      <c r="C109" s="184" t="s">
        <v>17</v>
      </c>
      <c r="D109" s="199">
        <v>7394154.8499999996</v>
      </c>
      <c r="E109" s="508">
        <v>6043870.2999999998</v>
      </c>
      <c r="F109" s="184"/>
      <c r="G109" s="185"/>
      <c r="H109" s="185">
        <f t="shared" si="30"/>
        <v>6719012.5749999993</v>
      </c>
      <c r="I109" s="502"/>
      <c r="J109" s="184"/>
      <c r="K109" s="185"/>
      <c r="L109" s="185">
        <f>+E109</f>
        <v>6043870.2999999998</v>
      </c>
      <c r="M109" s="502"/>
      <c r="N109" s="1441" t="s">
        <v>13</v>
      </c>
    </row>
    <row r="110" spans="1:14">
      <c r="A110" s="846">
        <f t="shared" si="31"/>
        <v>17.040000000000006</v>
      </c>
      <c r="B110" s="184" t="s">
        <v>18</v>
      </c>
      <c r="C110" s="184" t="s">
        <v>19</v>
      </c>
      <c r="D110" s="199">
        <v>1468663.31</v>
      </c>
      <c r="E110" s="508">
        <v>1200463.1599999999</v>
      </c>
      <c r="F110" s="184"/>
      <c r="G110" s="185"/>
      <c r="H110" s="185">
        <f t="shared" si="30"/>
        <v>1334563.2349999999</v>
      </c>
      <c r="I110" s="502"/>
      <c r="J110" s="184"/>
      <c r="K110" s="185"/>
      <c r="L110" s="185">
        <f>+E110</f>
        <v>1200463.1599999999</v>
      </c>
      <c r="M110" s="502"/>
      <c r="N110" s="1441" t="s">
        <v>13</v>
      </c>
    </row>
    <row r="111" spans="1:14">
      <c r="A111" s="846">
        <f t="shared" si="31"/>
        <v>17.050000000000008</v>
      </c>
      <c r="B111" s="184" t="s">
        <v>20</v>
      </c>
      <c r="C111" s="184" t="s">
        <v>21</v>
      </c>
      <c r="D111" s="199">
        <v>751571.62</v>
      </c>
      <c r="E111" s="508">
        <v>725424.86</v>
      </c>
      <c r="F111" s="185">
        <f t="shared" ref="F111:F114" si="32">+SUM($D111:$E111)/2</f>
        <v>738498.24</v>
      </c>
      <c r="G111" s="185"/>
      <c r="H111" s="185"/>
      <c r="I111" s="502"/>
      <c r="J111" s="185">
        <f>+E111</f>
        <v>725424.86</v>
      </c>
      <c r="K111" s="185"/>
      <c r="L111" s="185"/>
      <c r="M111" s="502"/>
      <c r="N111" s="1441" t="s">
        <v>446</v>
      </c>
    </row>
    <row r="112" spans="1:14">
      <c r="A112" s="846">
        <f t="shared" si="31"/>
        <v>17.060000000000009</v>
      </c>
      <c r="B112" s="184" t="s">
        <v>22</v>
      </c>
      <c r="C112" s="184" t="s">
        <v>23</v>
      </c>
      <c r="D112" s="199">
        <v>153671.46</v>
      </c>
      <c r="E112" s="508">
        <v>148325.31</v>
      </c>
      <c r="F112" s="185">
        <f t="shared" si="32"/>
        <v>150998.38500000001</v>
      </c>
      <c r="G112" s="185"/>
      <c r="H112" s="185"/>
      <c r="I112" s="502"/>
      <c r="J112" s="185">
        <f>+E112</f>
        <v>148325.31</v>
      </c>
      <c r="K112" s="185"/>
      <c r="L112" s="185"/>
      <c r="M112" s="502"/>
      <c r="N112" s="1441" t="s">
        <v>446</v>
      </c>
    </row>
    <row r="113" spans="1:14">
      <c r="A113" s="846">
        <f t="shared" si="31"/>
        <v>17.070000000000011</v>
      </c>
      <c r="B113" s="184" t="s">
        <v>24</v>
      </c>
      <c r="C113" s="184" t="s">
        <v>25</v>
      </c>
      <c r="D113" s="199">
        <v>-545193.80000000005</v>
      </c>
      <c r="E113" s="508">
        <v>-547663.35999999999</v>
      </c>
      <c r="F113" s="185">
        <f t="shared" si="32"/>
        <v>-546428.58000000007</v>
      </c>
      <c r="G113" s="185"/>
      <c r="H113" s="185"/>
      <c r="I113" s="502"/>
      <c r="J113" s="185">
        <f>+E113</f>
        <v>-547663.35999999999</v>
      </c>
      <c r="K113" s="185"/>
      <c r="L113" s="185"/>
      <c r="M113" s="502"/>
      <c r="N113" s="1441" t="s">
        <v>446</v>
      </c>
    </row>
    <row r="114" spans="1:14">
      <c r="A114" s="846">
        <f t="shared" si="31"/>
        <v>17.080000000000013</v>
      </c>
      <c r="B114" s="184" t="s">
        <v>26</v>
      </c>
      <c r="C114" s="184" t="s">
        <v>27</v>
      </c>
      <c r="D114" s="199">
        <v>-101278.44</v>
      </c>
      <c r="E114" s="508">
        <v>-101737.21</v>
      </c>
      <c r="F114" s="185">
        <f t="shared" si="32"/>
        <v>-101507.82500000001</v>
      </c>
      <c r="G114" s="185"/>
      <c r="H114" s="185"/>
      <c r="I114" s="502"/>
      <c r="J114" s="185">
        <f>+E114</f>
        <v>-101737.21</v>
      </c>
      <c r="K114" s="185"/>
      <c r="L114" s="185"/>
      <c r="M114" s="502"/>
      <c r="N114" s="1441" t="s">
        <v>446</v>
      </c>
    </row>
    <row r="115" spans="1:14">
      <c r="A115" s="846">
        <f t="shared" si="31"/>
        <v>17.090000000000014</v>
      </c>
      <c r="B115" s="184" t="s">
        <v>28</v>
      </c>
      <c r="C115" s="184" t="s">
        <v>29</v>
      </c>
      <c r="D115" s="199">
        <v>838654.72</v>
      </c>
      <c r="E115" s="508">
        <v>334948.31</v>
      </c>
      <c r="F115" s="185"/>
      <c r="G115" s="185"/>
      <c r="H115" s="185">
        <f t="shared" ref="H115:H118" si="33">+SUM($D115:$E115)/2</f>
        <v>586801.51500000001</v>
      </c>
      <c r="I115" s="502"/>
      <c r="J115" s="185"/>
      <c r="K115" s="185"/>
      <c r="L115" s="185">
        <f>+E115</f>
        <v>334948.31</v>
      </c>
      <c r="M115" s="502"/>
      <c r="N115" s="1441" t="s">
        <v>30</v>
      </c>
    </row>
    <row r="116" spans="1:14">
      <c r="A116" s="846">
        <f t="shared" si="31"/>
        <v>17.100000000000016</v>
      </c>
      <c r="B116" s="184" t="s">
        <v>31</v>
      </c>
      <c r="C116" s="184" t="s">
        <v>32</v>
      </c>
      <c r="D116" s="199">
        <v>66308.899999999994</v>
      </c>
      <c r="E116" s="508">
        <v>26323.01</v>
      </c>
      <c r="F116" s="185"/>
      <c r="G116" s="185"/>
      <c r="H116" s="185">
        <f t="shared" si="33"/>
        <v>46315.954999999994</v>
      </c>
      <c r="I116" s="502"/>
      <c r="J116" s="185"/>
      <c r="K116" s="185"/>
      <c r="L116" s="185">
        <f>+E116</f>
        <v>26323.01</v>
      </c>
      <c r="M116" s="502"/>
      <c r="N116" s="1441" t="s">
        <v>30</v>
      </c>
    </row>
    <row r="117" spans="1:14">
      <c r="A117" s="846">
        <f t="shared" si="31"/>
        <v>17.110000000000017</v>
      </c>
      <c r="B117" s="184" t="s">
        <v>33</v>
      </c>
      <c r="C117" s="184" t="s">
        <v>34</v>
      </c>
      <c r="D117" s="199">
        <v>-26996721.190000001</v>
      </c>
      <c r="E117" s="508">
        <v>-27310693.199999999</v>
      </c>
      <c r="F117" s="185"/>
      <c r="G117" s="185"/>
      <c r="H117" s="185">
        <f t="shared" si="33"/>
        <v>-27153707.195</v>
      </c>
      <c r="I117" s="502"/>
      <c r="J117" s="185"/>
      <c r="K117" s="185"/>
      <c r="L117" s="185">
        <f>+E117</f>
        <v>-27310693.199999999</v>
      </c>
      <c r="M117" s="502"/>
      <c r="N117" s="1441" t="s">
        <v>30</v>
      </c>
    </row>
    <row r="118" spans="1:14">
      <c r="A118" s="846">
        <f t="shared" si="31"/>
        <v>17.120000000000019</v>
      </c>
      <c r="B118" s="184" t="s">
        <v>35</v>
      </c>
      <c r="C118" s="184" t="s">
        <v>36</v>
      </c>
      <c r="D118" s="199">
        <v>-5385780.6600000001</v>
      </c>
      <c r="E118" s="508">
        <v>-5447388.79</v>
      </c>
      <c r="F118" s="185"/>
      <c r="G118" s="185"/>
      <c r="H118" s="185">
        <f t="shared" si="33"/>
        <v>-5416584.7249999996</v>
      </c>
      <c r="I118" s="502"/>
      <c r="J118" s="185"/>
      <c r="K118" s="185"/>
      <c r="L118" s="185">
        <f>+E118</f>
        <v>-5447388.79</v>
      </c>
      <c r="M118" s="502"/>
      <c r="N118" s="1441" t="s">
        <v>30</v>
      </c>
    </row>
    <row r="119" spans="1:14">
      <c r="A119" s="846">
        <f t="shared" si="31"/>
        <v>17.13000000000002</v>
      </c>
      <c r="B119" s="184" t="s">
        <v>37</v>
      </c>
      <c r="C119" s="184" t="s">
        <v>38</v>
      </c>
      <c r="D119" s="199">
        <v>-36637799.909999996</v>
      </c>
      <c r="E119" s="508">
        <v>-46423188.289999999</v>
      </c>
      <c r="F119" s="185">
        <f t="shared" ref="F119:F122" si="34">+SUM($D119:$E119)/2</f>
        <v>-41530494.099999994</v>
      </c>
      <c r="G119" s="185"/>
      <c r="H119" s="185"/>
      <c r="I119" s="502"/>
      <c r="J119" s="185">
        <f>+E119</f>
        <v>-46423188.289999999</v>
      </c>
      <c r="K119" s="185"/>
      <c r="L119" s="185"/>
      <c r="M119" s="502"/>
      <c r="N119" s="1441" t="s">
        <v>446</v>
      </c>
    </row>
    <row r="120" spans="1:14">
      <c r="A120" s="846">
        <f t="shared" si="31"/>
        <v>17.140000000000022</v>
      </c>
      <c r="B120" s="184" t="s">
        <v>39</v>
      </c>
      <c r="C120" s="184" t="s">
        <v>40</v>
      </c>
      <c r="D120" s="199">
        <v>-3237523.67</v>
      </c>
      <c r="E120" s="508">
        <v>-3198455.79</v>
      </c>
      <c r="F120" s="185">
        <f t="shared" si="34"/>
        <v>-3217989.73</v>
      </c>
      <c r="G120" s="185"/>
      <c r="H120" s="185"/>
      <c r="I120" s="502"/>
      <c r="J120" s="185">
        <f>+E120</f>
        <v>-3198455.79</v>
      </c>
      <c r="K120" s="185"/>
      <c r="L120" s="185"/>
      <c r="M120" s="502"/>
      <c r="N120" s="1441" t="s">
        <v>446</v>
      </c>
    </row>
    <row r="121" spans="1:14">
      <c r="A121" s="846">
        <f t="shared" si="31"/>
        <v>17.150000000000023</v>
      </c>
      <c r="B121" s="184" t="s">
        <v>41</v>
      </c>
      <c r="C121" s="184" t="s">
        <v>42</v>
      </c>
      <c r="D121" s="199">
        <v>-5445584.1299999999</v>
      </c>
      <c r="E121" s="508">
        <v>-4138205.84</v>
      </c>
      <c r="F121" s="185">
        <f t="shared" si="34"/>
        <v>-4791894.9849999994</v>
      </c>
      <c r="G121" s="185"/>
      <c r="H121" s="185"/>
      <c r="I121" s="502"/>
      <c r="J121" s="185">
        <f>+E121</f>
        <v>-4138205.84</v>
      </c>
      <c r="K121" s="185"/>
      <c r="L121" s="185"/>
      <c r="M121" s="502"/>
      <c r="N121" s="1441" t="s">
        <v>446</v>
      </c>
    </row>
    <row r="122" spans="1:14">
      <c r="A122" s="846">
        <f t="shared" si="31"/>
        <v>17.160000000000025</v>
      </c>
      <c r="B122" s="184" t="s">
        <v>43</v>
      </c>
      <c r="C122" s="184" t="s">
        <v>44</v>
      </c>
      <c r="D122" s="199">
        <v>-1081628.6299999999</v>
      </c>
      <c r="E122" s="508">
        <v>-821950.75</v>
      </c>
      <c r="F122" s="185">
        <f t="shared" si="34"/>
        <v>-951789.69</v>
      </c>
      <c r="G122" s="185"/>
      <c r="H122" s="185"/>
      <c r="I122" s="502"/>
      <c r="J122" s="185">
        <f>+E122</f>
        <v>-821950.75</v>
      </c>
      <c r="K122" s="185"/>
      <c r="L122" s="185"/>
      <c r="M122" s="502"/>
      <c r="N122" s="1441" t="s">
        <v>446</v>
      </c>
    </row>
    <row r="123" spans="1:14">
      <c r="A123" s="846">
        <f t="shared" si="31"/>
        <v>17.170000000000027</v>
      </c>
      <c r="B123" s="184" t="s">
        <v>45</v>
      </c>
      <c r="C123" s="184" t="s">
        <v>46</v>
      </c>
      <c r="D123" s="199">
        <v>-223683.84</v>
      </c>
      <c r="E123" s="508">
        <v>-176780.96</v>
      </c>
      <c r="F123" s="185"/>
      <c r="G123" s="185"/>
      <c r="H123" s="185"/>
      <c r="I123" s="502">
        <f t="shared" ref="I123:I124" si="35">+SUM($D123:$E123)/2</f>
        <v>-200232.4</v>
      </c>
      <c r="J123" s="185"/>
      <c r="K123" s="185"/>
      <c r="L123" s="185"/>
      <c r="M123" s="502">
        <f t="shared" ref="M123:M124" si="36">+E123</f>
        <v>-176780.96</v>
      </c>
      <c r="N123" s="1441" t="s">
        <v>1431</v>
      </c>
    </row>
    <row r="124" spans="1:14">
      <c r="A124" s="846">
        <f t="shared" si="31"/>
        <v>17.180000000000028</v>
      </c>
      <c r="B124" s="184" t="s">
        <v>47</v>
      </c>
      <c r="C124" s="184" t="s">
        <v>48</v>
      </c>
      <c r="D124" s="199">
        <v>-44429.16</v>
      </c>
      <c r="E124" s="508">
        <v>-35113.089999999997</v>
      </c>
      <c r="F124" s="185"/>
      <c r="G124" s="185"/>
      <c r="H124" s="185"/>
      <c r="I124" s="502">
        <f t="shared" si="35"/>
        <v>-39771.125</v>
      </c>
      <c r="J124" s="185"/>
      <c r="K124" s="185"/>
      <c r="L124" s="185"/>
      <c r="M124" s="502">
        <f t="shared" si="36"/>
        <v>-35113.089999999997</v>
      </c>
      <c r="N124" s="1441" t="s">
        <v>1431</v>
      </c>
    </row>
    <row r="125" spans="1:14">
      <c r="A125" s="846">
        <f t="shared" si="31"/>
        <v>17.19000000000003</v>
      </c>
      <c r="B125" s="184" t="s">
        <v>49</v>
      </c>
      <c r="C125" s="184" t="s">
        <v>50</v>
      </c>
      <c r="D125" s="199">
        <v>-27769027.690000001</v>
      </c>
      <c r="E125" s="508">
        <v>-26334692.600000001</v>
      </c>
      <c r="F125" s="185"/>
      <c r="G125" s="185"/>
      <c r="H125" s="185">
        <f t="shared" ref="H125:H126" si="37">+SUM($D125:$E125)/2</f>
        <v>-27051860.145000003</v>
      </c>
      <c r="I125" s="502"/>
      <c r="J125" s="185"/>
      <c r="K125" s="185"/>
      <c r="L125" s="185">
        <f>+E125</f>
        <v>-26334692.600000001</v>
      </c>
      <c r="M125" s="502"/>
      <c r="N125" s="1441" t="s">
        <v>30</v>
      </c>
    </row>
    <row r="126" spans="1:14">
      <c r="A126" s="846">
        <f t="shared" si="31"/>
        <v>17.200000000000031</v>
      </c>
      <c r="B126" s="184" t="s">
        <v>51</v>
      </c>
      <c r="C126" s="184" t="s">
        <v>52</v>
      </c>
      <c r="D126" s="199">
        <v>-5537776</v>
      </c>
      <c r="E126" s="508">
        <v>-5250909.09</v>
      </c>
      <c r="F126" s="185"/>
      <c r="G126" s="185"/>
      <c r="H126" s="185">
        <f t="shared" si="37"/>
        <v>-5394342.5449999999</v>
      </c>
      <c r="I126" s="502"/>
      <c r="J126" s="185"/>
      <c r="K126" s="185"/>
      <c r="L126" s="185">
        <f>+E126</f>
        <v>-5250909.09</v>
      </c>
      <c r="M126" s="502"/>
      <c r="N126" s="1441" t="s">
        <v>30</v>
      </c>
    </row>
    <row r="127" spans="1:14">
      <c r="A127" s="846">
        <f t="shared" si="31"/>
        <v>17.210000000000033</v>
      </c>
      <c r="B127" s="184" t="s">
        <v>53</v>
      </c>
      <c r="C127" s="184" t="s">
        <v>54</v>
      </c>
      <c r="D127" s="199">
        <v>-7519916.6399999997</v>
      </c>
      <c r="E127" s="508">
        <v>-7651017.8899999997</v>
      </c>
      <c r="F127" s="185">
        <f t="shared" ref="F127:F128" si="38">+SUM($D127:$E127)/2</f>
        <v>-7585467.2649999997</v>
      </c>
      <c r="G127" s="185"/>
      <c r="H127" s="185"/>
      <c r="I127" s="502"/>
      <c r="J127" s="185">
        <f>+E127</f>
        <v>-7651017.8899999997</v>
      </c>
      <c r="K127" s="185"/>
      <c r="L127" s="185"/>
      <c r="M127" s="502"/>
      <c r="N127" s="1441" t="s">
        <v>399</v>
      </c>
    </row>
    <row r="128" spans="1:14">
      <c r="A128" s="846">
        <f t="shared" si="31"/>
        <v>17.220000000000034</v>
      </c>
      <c r="B128" s="184" t="s">
        <v>55</v>
      </c>
      <c r="C128" s="184" t="s">
        <v>56</v>
      </c>
      <c r="D128" s="199">
        <v>-1493642.65</v>
      </c>
      <c r="E128" s="508">
        <v>-1505746.43</v>
      </c>
      <c r="F128" s="185">
        <f t="shared" si="38"/>
        <v>-1499694.54</v>
      </c>
      <c r="G128" s="185"/>
      <c r="H128" s="185"/>
      <c r="I128" s="502"/>
      <c r="J128" s="185">
        <f>+E128</f>
        <v>-1505746.43</v>
      </c>
      <c r="K128" s="185"/>
      <c r="L128" s="185"/>
      <c r="M128" s="502"/>
      <c r="N128" s="1441" t="s">
        <v>399</v>
      </c>
    </row>
    <row r="129" spans="1:14">
      <c r="A129" s="846">
        <f t="shared" si="31"/>
        <v>17.230000000000036</v>
      </c>
      <c r="B129" s="184" t="s">
        <v>57</v>
      </c>
      <c r="C129" s="184" t="s">
        <v>58</v>
      </c>
      <c r="D129" s="199">
        <v>-2002661.71</v>
      </c>
      <c r="E129" s="508">
        <v>-1305932.94</v>
      </c>
      <c r="F129" s="185"/>
      <c r="G129" s="185"/>
      <c r="H129" s="185">
        <f t="shared" ref="H129:H130" si="39">+SUM($D129:$E129)/2</f>
        <v>-1654297.325</v>
      </c>
      <c r="I129" s="502"/>
      <c r="J129" s="185"/>
      <c r="K129" s="185"/>
      <c r="L129" s="185">
        <f>+E129</f>
        <v>-1305932.94</v>
      </c>
      <c r="M129" s="502"/>
      <c r="N129" s="1441" t="s">
        <v>30</v>
      </c>
    </row>
    <row r="130" spans="1:14">
      <c r="A130" s="846">
        <f t="shared" si="31"/>
        <v>17.240000000000038</v>
      </c>
      <c r="B130" s="184" t="s">
        <v>59</v>
      </c>
      <c r="C130" s="184" t="s">
        <v>60</v>
      </c>
      <c r="D130" s="199">
        <v>-398643.28</v>
      </c>
      <c r="E130" s="508">
        <v>-265180.38</v>
      </c>
      <c r="F130" s="185"/>
      <c r="G130" s="185"/>
      <c r="H130" s="185">
        <f t="shared" si="39"/>
        <v>-331911.83</v>
      </c>
      <c r="I130" s="502"/>
      <c r="J130" s="185"/>
      <c r="K130" s="185"/>
      <c r="L130" s="185">
        <f>+E130</f>
        <v>-265180.38</v>
      </c>
      <c r="M130" s="502"/>
      <c r="N130" s="1441" t="s">
        <v>30</v>
      </c>
    </row>
    <row r="131" spans="1:14">
      <c r="A131" s="846">
        <f t="shared" si="31"/>
        <v>17.250000000000039</v>
      </c>
      <c r="B131" s="184" t="s">
        <v>61</v>
      </c>
      <c r="C131" s="184" t="s">
        <v>62</v>
      </c>
      <c r="D131" s="199">
        <v>0</v>
      </c>
      <c r="E131" s="508">
        <v>0</v>
      </c>
      <c r="F131" s="185">
        <f t="shared" ref="F131:F132" si="40">+SUM($D131:$E131)/2</f>
        <v>0</v>
      </c>
      <c r="G131" s="185"/>
      <c r="H131" s="185"/>
      <c r="I131" s="502"/>
      <c r="J131" s="185">
        <f>+E131</f>
        <v>0</v>
      </c>
      <c r="K131" s="185"/>
      <c r="L131" s="185"/>
      <c r="M131" s="502"/>
      <c r="N131" s="1441" t="s">
        <v>446</v>
      </c>
    </row>
    <row r="132" spans="1:14">
      <c r="A132" s="846">
        <f t="shared" si="31"/>
        <v>17.260000000000041</v>
      </c>
      <c r="B132" s="184" t="s">
        <v>63</v>
      </c>
      <c r="C132" s="184" t="s">
        <v>64</v>
      </c>
      <c r="D132" s="199">
        <v>0</v>
      </c>
      <c r="E132" s="508">
        <v>0</v>
      </c>
      <c r="F132" s="185">
        <f t="shared" si="40"/>
        <v>0</v>
      </c>
      <c r="G132" s="185"/>
      <c r="H132" s="185"/>
      <c r="I132" s="502"/>
      <c r="J132" s="185">
        <f>+E132</f>
        <v>0</v>
      </c>
      <c r="K132" s="185"/>
      <c r="L132" s="185"/>
      <c r="M132" s="502"/>
      <c r="N132" s="1441" t="s">
        <v>446</v>
      </c>
    </row>
    <row r="133" spans="1:14">
      <c r="A133" s="846">
        <f t="shared" si="31"/>
        <v>17.270000000000042</v>
      </c>
      <c r="B133" s="184" t="s">
        <v>65</v>
      </c>
      <c r="C133" s="184" t="s">
        <v>66</v>
      </c>
      <c r="D133" s="199">
        <v>-156633.47</v>
      </c>
      <c r="E133" s="508">
        <v>-151888.5</v>
      </c>
      <c r="F133" s="185"/>
      <c r="G133" s="185"/>
      <c r="H133" s="185"/>
      <c r="I133" s="502">
        <f t="shared" ref="I133:I134" si="41">+SUM($D133:$E133)/2</f>
        <v>-154260.98499999999</v>
      </c>
      <c r="J133" s="185"/>
      <c r="K133" s="185"/>
      <c r="L133" s="185"/>
      <c r="M133" s="502">
        <f>+E133</f>
        <v>-151888.5</v>
      </c>
      <c r="N133" s="1441" t="s">
        <v>67</v>
      </c>
    </row>
    <row r="134" spans="1:14">
      <c r="A134" s="846">
        <f t="shared" si="31"/>
        <v>17.280000000000044</v>
      </c>
      <c r="B134" s="184" t="s">
        <v>68</v>
      </c>
      <c r="C134" s="184" t="s">
        <v>69</v>
      </c>
      <c r="D134" s="199">
        <v>-31111.39</v>
      </c>
      <c r="E134" s="508">
        <v>-30168.91</v>
      </c>
      <c r="F134" s="185"/>
      <c r="G134" s="185"/>
      <c r="H134" s="185"/>
      <c r="I134" s="502">
        <f t="shared" si="41"/>
        <v>-30640.15</v>
      </c>
      <c r="J134" s="185"/>
      <c r="K134" s="185"/>
      <c r="L134" s="185"/>
      <c r="M134" s="502">
        <f>+E134</f>
        <v>-30168.91</v>
      </c>
      <c r="N134" s="1441" t="s">
        <v>67</v>
      </c>
    </row>
    <row r="135" spans="1:14">
      <c r="A135" s="846">
        <f t="shared" si="31"/>
        <v>17.290000000000045</v>
      </c>
      <c r="B135" s="184" t="s">
        <v>70</v>
      </c>
      <c r="C135" s="184" t="s">
        <v>71</v>
      </c>
      <c r="D135" s="199">
        <v>-277836.25</v>
      </c>
      <c r="E135" s="508">
        <v>-272570.81</v>
      </c>
      <c r="F135" s="185">
        <f t="shared" ref="F135:F136" si="42">+SUM($D135:$E135)/2</f>
        <v>-275203.53000000003</v>
      </c>
      <c r="G135" s="185"/>
      <c r="H135" s="185"/>
      <c r="I135" s="502"/>
      <c r="J135" s="185">
        <f>+E135</f>
        <v>-272570.81</v>
      </c>
      <c r="K135" s="185"/>
      <c r="L135" s="185"/>
      <c r="M135" s="502"/>
      <c r="N135" s="1441" t="s">
        <v>446</v>
      </c>
    </row>
    <row r="136" spans="1:14">
      <c r="A136" s="846">
        <f t="shared" si="31"/>
        <v>17.300000000000047</v>
      </c>
      <c r="B136" s="184" t="s">
        <v>72</v>
      </c>
      <c r="C136" s="184" t="s">
        <v>73</v>
      </c>
      <c r="D136" s="199">
        <v>-51719.16</v>
      </c>
      <c r="E136" s="508">
        <v>-50739.01</v>
      </c>
      <c r="F136" s="185">
        <f t="shared" si="42"/>
        <v>-51229.085000000006</v>
      </c>
      <c r="G136" s="185"/>
      <c r="H136" s="185"/>
      <c r="I136" s="502"/>
      <c r="J136" s="185">
        <f>+E136</f>
        <v>-50739.01</v>
      </c>
      <c r="K136" s="185"/>
      <c r="L136" s="185"/>
      <c r="M136" s="502"/>
      <c r="N136" s="1441" t="s">
        <v>446</v>
      </c>
    </row>
    <row r="137" spans="1:14">
      <c r="A137" s="846">
        <f t="shared" si="31"/>
        <v>17.310000000000048</v>
      </c>
      <c r="B137" s="184" t="s">
        <v>74</v>
      </c>
      <c r="C137" s="184" t="s">
        <v>75</v>
      </c>
      <c r="D137" s="199">
        <v>9658665.1400000006</v>
      </c>
      <c r="E137" s="508">
        <v>9891978.8699999992</v>
      </c>
      <c r="F137" s="185"/>
      <c r="G137" s="185"/>
      <c r="H137" s="185">
        <f t="shared" ref="H137:H140" si="43">+SUM($D137:$E137)/2</f>
        <v>9775322.004999999</v>
      </c>
      <c r="I137" s="502"/>
      <c r="J137" s="185"/>
      <c r="K137" s="185"/>
      <c r="L137" s="185">
        <f>+E137</f>
        <v>9891978.8699999992</v>
      </c>
      <c r="M137" s="502"/>
      <c r="N137" s="1441" t="s">
        <v>30</v>
      </c>
    </row>
    <row r="138" spans="1:14">
      <c r="A138" s="846">
        <f t="shared" si="31"/>
        <v>17.32000000000005</v>
      </c>
      <c r="B138" s="184" t="s">
        <v>76</v>
      </c>
      <c r="C138" s="184" t="s">
        <v>77</v>
      </c>
      <c r="D138" s="199">
        <v>2246209.27</v>
      </c>
      <c r="E138" s="508">
        <v>2283397.8199999998</v>
      </c>
      <c r="F138" s="185"/>
      <c r="G138" s="185"/>
      <c r="H138" s="185">
        <f t="shared" si="43"/>
        <v>2264803.5449999999</v>
      </c>
      <c r="I138" s="502"/>
      <c r="J138" s="185"/>
      <c r="K138" s="185"/>
      <c r="L138" s="185">
        <f>+E138</f>
        <v>2283397.8199999998</v>
      </c>
      <c r="M138" s="502"/>
      <c r="N138" s="1441" t="s">
        <v>30</v>
      </c>
    </row>
    <row r="139" spans="1:14">
      <c r="A139" s="846">
        <f t="shared" si="31"/>
        <v>17.330000000000052</v>
      </c>
      <c r="B139" s="184" t="s">
        <v>78</v>
      </c>
      <c r="C139" s="184" t="s">
        <v>79</v>
      </c>
      <c r="D139" s="199">
        <v>12200278.279999999</v>
      </c>
      <c r="E139" s="508">
        <v>12845213.210000001</v>
      </c>
      <c r="F139" s="185"/>
      <c r="G139" s="185"/>
      <c r="H139" s="185">
        <f t="shared" si="43"/>
        <v>12522745.745000001</v>
      </c>
      <c r="I139" s="502"/>
      <c r="J139" s="185"/>
      <c r="K139" s="185"/>
      <c r="L139" s="185">
        <f>+E139</f>
        <v>12845213.210000001</v>
      </c>
      <c r="M139" s="502"/>
      <c r="N139" s="1441" t="s">
        <v>30</v>
      </c>
    </row>
    <row r="140" spans="1:14">
      <c r="A140" s="846">
        <f t="shared" si="31"/>
        <v>17.340000000000053</v>
      </c>
      <c r="B140" s="184" t="s">
        <v>80</v>
      </c>
      <c r="C140" s="184" t="s">
        <v>81</v>
      </c>
      <c r="D140" s="199">
        <v>3498485.99</v>
      </c>
      <c r="E140" s="508">
        <v>3882170.28</v>
      </c>
      <c r="F140" s="185"/>
      <c r="G140" s="185"/>
      <c r="H140" s="185">
        <f t="shared" si="43"/>
        <v>3690328.1349999998</v>
      </c>
      <c r="I140" s="502"/>
      <c r="J140" s="185"/>
      <c r="K140" s="185"/>
      <c r="L140" s="185">
        <f>+E140</f>
        <v>3882170.28</v>
      </c>
      <c r="M140" s="502"/>
      <c r="N140" s="1441" t="s">
        <v>30</v>
      </c>
    </row>
    <row r="141" spans="1:14">
      <c r="A141" s="846">
        <f t="shared" si="31"/>
        <v>17.350000000000055</v>
      </c>
      <c r="B141" s="184" t="s">
        <v>82</v>
      </c>
      <c r="C141" s="184" t="s">
        <v>83</v>
      </c>
      <c r="D141" s="199">
        <v>-7208.57</v>
      </c>
      <c r="E141" s="508">
        <v>-4522.5600000000004</v>
      </c>
      <c r="F141" s="185">
        <f t="shared" ref="F141:F146" si="44">+SUM($D141:$E141)/2</f>
        <v>-5865.5650000000005</v>
      </c>
      <c r="G141" s="185"/>
      <c r="H141" s="185"/>
      <c r="I141" s="502"/>
      <c r="J141" s="185">
        <f t="shared" ref="J141:J146" si="45">+E141</f>
        <v>-4522.5600000000004</v>
      </c>
      <c r="K141" s="185"/>
      <c r="L141" s="185"/>
      <c r="M141" s="502"/>
      <c r="N141" s="1441" t="s">
        <v>446</v>
      </c>
    </row>
    <row r="142" spans="1:14">
      <c r="A142" s="846">
        <f t="shared" si="31"/>
        <v>17.360000000000056</v>
      </c>
      <c r="B142" s="184" t="s">
        <v>84</v>
      </c>
      <c r="C142" s="184" t="s">
        <v>85</v>
      </c>
      <c r="D142" s="199">
        <v>-1330.98</v>
      </c>
      <c r="E142" s="508">
        <v>-835.03</v>
      </c>
      <c r="F142" s="185">
        <f t="shared" si="44"/>
        <v>-1083.0050000000001</v>
      </c>
      <c r="G142" s="185"/>
      <c r="H142" s="185"/>
      <c r="I142" s="502"/>
      <c r="J142" s="185">
        <f t="shared" si="45"/>
        <v>-835.03</v>
      </c>
      <c r="K142" s="185"/>
      <c r="L142" s="185"/>
      <c r="M142" s="502"/>
      <c r="N142" s="1441" t="s">
        <v>446</v>
      </c>
    </row>
    <row r="143" spans="1:14">
      <c r="A143" s="846">
        <f t="shared" si="31"/>
        <v>17.370000000000058</v>
      </c>
      <c r="B143" s="184" t="s">
        <v>86</v>
      </c>
      <c r="C143" s="184" t="s">
        <v>87</v>
      </c>
      <c r="D143" s="199">
        <v>-178944.63</v>
      </c>
      <c r="E143" s="508">
        <v>-181703.12</v>
      </c>
      <c r="F143" s="185">
        <f t="shared" si="44"/>
        <v>-180323.875</v>
      </c>
      <c r="G143" s="185"/>
      <c r="H143" s="185"/>
      <c r="I143" s="502"/>
      <c r="J143" s="185">
        <f t="shared" si="45"/>
        <v>-181703.12</v>
      </c>
      <c r="K143" s="185"/>
      <c r="L143" s="185"/>
      <c r="M143" s="502"/>
      <c r="N143" s="1441" t="s">
        <v>446</v>
      </c>
    </row>
    <row r="144" spans="1:14">
      <c r="A144" s="846">
        <f t="shared" si="31"/>
        <v>17.380000000000059</v>
      </c>
      <c r="B144" s="184" t="s">
        <v>88</v>
      </c>
      <c r="C144" s="184" t="s">
        <v>89</v>
      </c>
      <c r="D144" s="199">
        <v>-31689.119999999999</v>
      </c>
      <c r="E144" s="508">
        <v>-32177.62</v>
      </c>
      <c r="F144" s="185">
        <f t="shared" si="44"/>
        <v>-31933.37</v>
      </c>
      <c r="G144" s="185"/>
      <c r="H144" s="185"/>
      <c r="I144" s="502"/>
      <c r="J144" s="185">
        <f t="shared" si="45"/>
        <v>-32177.62</v>
      </c>
      <c r="K144" s="185"/>
      <c r="L144" s="185"/>
      <c r="M144" s="502"/>
      <c r="N144" s="1441" t="s">
        <v>446</v>
      </c>
    </row>
    <row r="145" spans="1:15">
      <c r="A145" s="846">
        <f t="shared" si="31"/>
        <v>17.390000000000061</v>
      </c>
      <c r="B145" s="184" t="s">
        <v>1432</v>
      </c>
      <c r="C145" s="184" t="s">
        <v>737</v>
      </c>
      <c r="D145" s="199">
        <v>-255314.95</v>
      </c>
      <c r="E145" s="508">
        <v>-583100.29</v>
      </c>
      <c r="F145" s="185">
        <f t="shared" si="44"/>
        <v>-419207.62</v>
      </c>
      <c r="G145" s="185"/>
      <c r="H145" s="185"/>
      <c r="I145" s="502"/>
      <c r="J145" s="185">
        <f t="shared" si="45"/>
        <v>-583100.29</v>
      </c>
      <c r="K145" s="185"/>
      <c r="L145" s="185"/>
      <c r="M145" s="502"/>
      <c r="N145" s="1441" t="s">
        <v>30</v>
      </c>
      <c r="O145" s="44" t="s">
        <v>1682</v>
      </c>
    </row>
    <row r="146" spans="1:15">
      <c r="A146" s="846">
        <f t="shared" si="31"/>
        <v>17.400000000000063</v>
      </c>
      <c r="B146" s="184" t="s">
        <v>1433</v>
      </c>
      <c r="C146" s="184" t="s">
        <v>738</v>
      </c>
      <c r="D146" s="199">
        <v>-50711.9</v>
      </c>
      <c r="E146" s="508">
        <v>-115818.23</v>
      </c>
      <c r="F146" s="185">
        <f t="shared" si="44"/>
        <v>-83265.065000000002</v>
      </c>
      <c r="G146" s="185"/>
      <c r="H146" s="185"/>
      <c r="I146" s="502"/>
      <c r="J146" s="185">
        <f t="shared" si="45"/>
        <v>-115818.23</v>
      </c>
      <c r="K146" s="185"/>
      <c r="L146" s="185"/>
      <c r="M146" s="502"/>
      <c r="N146" s="1441" t="s">
        <v>30</v>
      </c>
      <c r="O146" s="44" t="s">
        <v>1682</v>
      </c>
    </row>
    <row r="147" spans="1:15">
      <c r="A147" s="846">
        <f t="shared" si="31"/>
        <v>17.410000000000064</v>
      </c>
      <c r="B147" s="184" t="s">
        <v>90</v>
      </c>
      <c r="C147" s="184" t="s">
        <v>91</v>
      </c>
      <c r="D147" s="199">
        <v>-18268248.379999999</v>
      </c>
      <c r="E147" s="508">
        <v>-15952624.66</v>
      </c>
      <c r="F147" s="185"/>
      <c r="G147" s="185"/>
      <c r="H147" s="185"/>
      <c r="I147" s="502">
        <f t="shared" ref="I147:I148" si="46">+SUM($D147:$E147)/2</f>
        <v>-17110436.52</v>
      </c>
      <c r="J147" s="185"/>
      <c r="K147" s="185"/>
      <c r="L147" s="185"/>
      <c r="M147" s="502">
        <f>+E147</f>
        <v>-15952624.66</v>
      </c>
      <c r="N147" s="1441" t="s">
        <v>67</v>
      </c>
    </row>
    <row r="148" spans="1:15">
      <c r="A148" s="846">
        <f t="shared" si="31"/>
        <v>17.420000000000066</v>
      </c>
      <c r="B148" s="184" t="s">
        <v>92</v>
      </c>
      <c r="C148" s="184" t="s">
        <v>93</v>
      </c>
      <c r="D148" s="199">
        <v>-3635003.4</v>
      </c>
      <c r="E148" s="508">
        <v>-3170692.93</v>
      </c>
      <c r="F148" s="185"/>
      <c r="G148" s="185"/>
      <c r="H148" s="185"/>
      <c r="I148" s="502">
        <f t="shared" si="46"/>
        <v>-3402848.165</v>
      </c>
      <c r="J148" s="185"/>
      <c r="K148" s="185"/>
      <c r="L148" s="185"/>
      <c r="M148" s="502">
        <f>+E148</f>
        <v>-3170692.93</v>
      </c>
      <c r="N148" s="1441" t="s">
        <v>67</v>
      </c>
    </row>
    <row r="149" spans="1:15">
      <c r="A149" s="846">
        <f t="shared" si="31"/>
        <v>17.430000000000067</v>
      </c>
      <c r="B149" s="184" t="s">
        <v>94</v>
      </c>
      <c r="C149" s="184" t="s">
        <v>95</v>
      </c>
      <c r="D149" s="199">
        <v>0.04</v>
      </c>
      <c r="E149" s="508">
        <v>0</v>
      </c>
      <c r="F149" s="185">
        <f t="shared" ref="F149:F154" si="47">+SUM($D149:$E149)/2</f>
        <v>0.02</v>
      </c>
      <c r="G149" s="185"/>
      <c r="H149" s="185"/>
      <c r="I149" s="502"/>
      <c r="J149" s="185">
        <f t="shared" ref="J149:J154" si="48">+E149</f>
        <v>0</v>
      </c>
      <c r="K149" s="185"/>
      <c r="L149" s="185"/>
      <c r="M149" s="502"/>
      <c r="N149" s="1441" t="s">
        <v>446</v>
      </c>
    </row>
    <row r="150" spans="1:15">
      <c r="A150" s="846">
        <f t="shared" si="31"/>
        <v>17.440000000000069</v>
      </c>
      <c r="B150" s="184" t="s">
        <v>96</v>
      </c>
      <c r="C150" s="184" t="s">
        <v>97</v>
      </c>
      <c r="D150" s="199">
        <v>0.01</v>
      </c>
      <c r="E150" s="508">
        <v>0</v>
      </c>
      <c r="F150" s="185">
        <f t="shared" si="47"/>
        <v>5.0000000000000001E-3</v>
      </c>
      <c r="G150" s="185"/>
      <c r="H150" s="185"/>
      <c r="I150" s="502"/>
      <c r="J150" s="185">
        <f t="shared" si="48"/>
        <v>0</v>
      </c>
      <c r="K150" s="185"/>
      <c r="L150" s="185"/>
      <c r="M150" s="502"/>
      <c r="N150" s="1441" t="s">
        <v>446</v>
      </c>
    </row>
    <row r="151" spans="1:15">
      <c r="A151" s="846">
        <f t="shared" si="31"/>
        <v>17.45000000000007</v>
      </c>
      <c r="B151" s="184" t="s">
        <v>98</v>
      </c>
      <c r="C151" s="184" t="s">
        <v>99</v>
      </c>
      <c r="D151" s="199">
        <v>12147838.32</v>
      </c>
      <c r="E151" s="508">
        <v>11819555.02</v>
      </c>
      <c r="F151" s="185">
        <f t="shared" si="47"/>
        <v>11983696.67</v>
      </c>
      <c r="G151" s="185"/>
      <c r="H151" s="185"/>
      <c r="I151" s="502"/>
      <c r="J151" s="185">
        <f t="shared" si="48"/>
        <v>11819555.02</v>
      </c>
      <c r="K151" s="185"/>
      <c r="L151" s="185"/>
      <c r="M151" s="502"/>
      <c r="N151" s="1441" t="s">
        <v>100</v>
      </c>
    </row>
    <row r="152" spans="1:15">
      <c r="A152" s="846">
        <f t="shared" si="31"/>
        <v>17.460000000000072</v>
      </c>
      <c r="B152" s="184" t="s">
        <v>101</v>
      </c>
      <c r="C152" s="184" t="s">
        <v>102</v>
      </c>
      <c r="D152" s="199">
        <v>2412863.23</v>
      </c>
      <c r="E152" s="508">
        <v>2347657.9900000002</v>
      </c>
      <c r="F152" s="185">
        <f t="shared" si="47"/>
        <v>2380260.6100000003</v>
      </c>
      <c r="G152" s="185"/>
      <c r="H152" s="185"/>
      <c r="I152" s="502"/>
      <c r="J152" s="185">
        <f t="shared" si="48"/>
        <v>2347657.9900000002</v>
      </c>
      <c r="K152" s="185"/>
      <c r="L152" s="185"/>
      <c r="M152" s="502"/>
      <c r="N152" s="1441" t="s">
        <v>100</v>
      </c>
    </row>
    <row r="153" spans="1:15">
      <c r="A153" s="846">
        <f t="shared" si="31"/>
        <v>17.470000000000073</v>
      </c>
      <c r="B153" s="184" t="s">
        <v>103</v>
      </c>
      <c r="C153" s="184" t="s">
        <v>104</v>
      </c>
      <c r="D153" s="199">
        <v>-1808028.04</v>
      </c>
      <c r="E153" s="508">
        <v>-1569124.67</v>
      </c>
      <c r="F153" s="185">
        <f t="shared" si="47"/>
        <v>-1688576.355</v>
      </c>
      <c r="G153" s="185"/>
      <c r="H153" s="185"/>
      <c r="I153" s="502"/>
      <c r="J153" s="185">
        <f t="shared" si="48"/>
        <v>-1569124.67</v>
      </c>
      <c r="K153" s="185"/>
      <c r="L153" s="185"/>
      <c r="M153" s="502"/>
      <c r="N153" s="1441" t="s">
        <v>446</v>
      </c>
    </row>
    <row r="154" spans="1:15">
      <c r="A154" s="846">
        <f t="shared" si="31"/>
        <v>17.480000000000075</v>
      </c>
      <c r="B154" s="184" t="s">
        <v>105</v>
      </c>
      <c r="C154" s="184" t="s">
        <v>106</v>
      </c>
      <c r="D154" s="199">
        <v>-377563.83</v>
      </c>
      <c r="E154" s="508">
        <v>-327674.51</v>
      </c>
      <c r="F154" s="185">
        <f t="shared" si="47"/>
        <v>-352619.17000000004</v>
      </c>
      <c r="G154" s="185"/>
      <c r="H154" s="185"/>
      <c r="I154" s="502"/>
      <c r="J154" s="185">
        <f t="shared" si="48"/>
        <v>-327674.51</v>
      </c>
      <c r="K154" s="185"/>
      <c r="L154" s="185"/>
      <c r="M154" s="502"/>
      <c r="N154" s="1441" t="s">
        <v>446</v>
      </c>
    </row>
    <row r="155" spans="1:15">
      <c r="A155" s="846">
        <f t="shared" si="31"/>
        <v>17.490000000000077</v>
      </c>
      <c r="B155" s="184" t="s">
        <v>107</v>
      </c>
      <c r="C155" s="184" t="s">
        <v>108</v>
      </c>
      <c r="D155" s="199">
        <v>-222827217.55000001</v>
      </c>
      <c r="E155" s="508">
        <v>-262135783.81999999</v>
      </c>
      <c r="F155" s="185"/>
      <c r="G155" s="185"/>
      <c r="H155" s="185">
        <f t="shared" ref="H155:H156" si="49">+SUM($D155:$E155)/2</f>
        <v>-242481500.685</v>
      </c>
      <c r="I155" s="502"/>
      <c r="J155" s="185"/>
      <c r="K155" s="185"/>
      <c r="L155" s="185">
        <f>+E155</f>
        <v>-262135783.81999999</v>
      </c>
      <c r="M155" s="502"/>
      <c r="N155" s="1441" t="s">
        <v>30</v>
      </c>
    </row>
    <row r="156" spans="1:15">
      <c r="A156" s="846">
        <f t="shared" si="31"/>
        <v>17.500000000000078</v>
      </c>
      <c r="B156" s="184" t="s">
        <v>109</v>
      </c>
      <c r="C156" s="184" t="s">
        <v>110</v>
      </c>
      <c r="D156" s="199">
        <v>-44233264.399999999</v>
      </c>
      <c r="E156" s="508">
        <v>-52042123.020000003</v>
      </c>
      <c r="F156" s="185"/>
      <c r="G156" s="185"/>
      <c r="H156" s="185">
        <f t="shared" si="49"/>
        <v>-48137693.710000001</v>
      </c>
      <c r="I156" s="502"/>
      <c r="J156" s="185"/>
      <c r="K156" s="185"/>
      <c r="L156" s="185">
        <f>+E156</f>
        <v>-52042123.020000003</v>
      </c>
      <c r="M156" s="502"/>
      <c r="N156" s="1441" t="s">
        <v>30</v>
      </c>
    </row>
    <row r="157" spans="1:15">
      <c r="A157" s="846">
        <f t="shared" si="31"/>
        <v>17.51000000000008</v>
      </c>
      <c r="B157" s="184" t="s">
        <v>111</v>
      </c>
      <c r="C157" s="184" t="s">
        <v>526</v>
      </c>
      <c r="D157" s="199">
        <v>-55083518.420000002</v>
      </c>
      <c r="E157" s="508">
        <v>-49731857.450000003</v>
      </c>
      <c r="F157" s="185">
        <f t="shared" ref="F157:F158" si="50">+SUM($D157:$E157)/2</f>
        <v>-52407687.935000002</v>
      </c>
      <c r="G157" s="185"/>
      <c r="H157" s="185"/>
      <c r="I157" s="502"/>
      <c r="J157" s="185">
        <f>+E157</f>
        <v>-49731857.450000003</v>
      </c>
      <c r="K157" s="185"/>
      <c r="L157" s="185"/>
      <c r="M157" s="502"/>
      <c r="N157" s="1441" t="s">
        <v>527</v>
      </c>
    </row>
    <row r="158" spans="1:15">
      <c r="A158" s="846">
        <f t="shared" si="31"/>
        <v>17.520000000000081</v>
      </c>
      <c r="B158" s="184" t="s">
        <v>112</v>
      </c>
      <c r="C158" s="184" t="s">
        <v>529</v>
      </c>
      <c r="D158" s="199">
        <v>-10943061.02</v>
      </c>
      <c r="E158" s="508">
        <v>-9939332.6199999992</v>
      </c>
      <c r="F158" s="185">
        <f t="shared" si="50"/>
        <v>-10441196.82</v>
      </c>
      <c r="G158" s="185"/>
      <c r="H158" s="185"/>
      <c r="I158" s="502"/>
      <c r="J158" s="185">
        <f>+E158</f>
        <v>-9939332.6199999992</v>
      </c>
      <c r="K158" s="185"/>
      <c r="L158" s="185"/>
      <c r="M158" s="502"/>
      <c r="N158" s="1441" t="s">
        <v>527</v>
      </c>
    </row>
    <row r="159" spans="1:15">
      <c r="A159" s="846">
        <f t="shared" si="31"/>
        <v>17.530000000000083</v>
      </c>
      <c r="B159" s="184" t="s">
        <v>113</v>
      </c>
      <c r="C159" s="184" t="s">
        <v>114</v>
      </c>
      <c r="D159" s="199">
        <v>-103745244.01000001</v>
      </c>
      <c r="E159" s="508">
        <v>-106055083.75</v>
      </c>
      <c r="F159" s="185"/>
      <c r="G159" s="185"/>
      <c r="H159" s="185">
        <f t="shared" ref="H159:H160" si="51">+SUM($D159:$E159)/2</f>
        <v>-104900163.88</v>
      </c>
      <c r="I159" s="502"/>
      <c r="J159" s="185"/>
      <c r="K159" s="185"/>
      <c r="L159" s="185">
        <f>+E159</f>
        <v>-106055083.75</v>
      </c>
      <c r="M159" s="502"/>
      <c r="N159" s="1441" t="s">
        <v>30</v>
      </c>
    </row>
    <row r="160" spans="1:15">
      <c r="A160" s="846">
        <f t="shared" si="31"/>
        <v>17.540000000000084</v>
      </c>
      <c r="B160" s="184" t="s">
        <v>115</v>
      </c>
      <c r="C160" s="184" t="s">
        <v>116</v>
      </c>
      <c r="D160" s="199">
        <v>-20947224.760000002</v>
      </c>
      <c r="E160" s="508">
        <v>-21371236.719999999</v>
      </c>
      <c r="F160" s="185"/>
      <c r="G160" s="185"/>
      <c r="H160" s="185">
        <f t="shared" si="51"/>
        <v>-21159230.740000002</v>
      </c>
      <c r="I160" s="502"/>
      <c r="J160" s="185"/>
      <c r="K160" s="185"/>
      <c r="L160" s="185">
        <f>+$E160</f>
        <v>-21371236.719999999</v>
      </c>
      <c r="M160" s="502"/>
      <c r="N160" s="1441" t="s">
        <v>30</v>
      </c>
    </row>
    <row r="161" spans="1:15">
      <c r="A161" s="846">
        <f t="shared" si="31"/>
        <v>17.550000000000086</v>
      </c>
      <c r="B161" s="184" t="s">
        <v>117</v>
      </c>
      <c r="C161" s="184" t="s">
        <v>118</v>
      </c>
      <c r="D161" s="199">
        <v>-201720454.03</v>
      </c>
      <c r="E161" s="508">
        <v>-213536062.21000001</v>
      </c>
      <c r="F161" s="185">
        <f t="shared" ref="F161:F164" si="52">+SUM($D161:$E161)/2</f>
        <v>-207628258.12</v>
      </c>
      <c r="G161" s="185"/>
      <c r="H161" s="185"/>
      <c r="I161" s="502"/>
      <c r="J161" s="185">
        <f>+E161</f>
        <v>-213536062.21000001</v>
      </c>
      <c r="K161" s="185"/>
      <c r="L161" s="185"/>
      <c r="M161" s="502"/>
      <c r="N161" s="1441" t="s">
        <v>446</v>
      </c>
    </row>
    <row r="162" spans="1:15">
      <c r="A162" s="846">
        <f t="shared" si="31"/>
        <v>17.560000000000088</v>
      </c>
      <c r="B162" s="184" t="s">
        <v>119</v>
      </c>
      <c r="C162" s="184" t="s">
        <v>120</v>
      </c>
      <c r="D162" s="199">
        <v>-40076865.030000001</v>
      </c>
      <c r="E162" s="508">
        <v>-42413579.82</v>
      </c>
      <c r="F162" s="185">
        <f t="shared" si="52"/>
        <v>-41245222.424999997</v>
      </c>
      <c r="G162" s="185"/>
      <c r="H162" s="185"/>
      <c r="I162" s="502"/>
      <c r="J162" s="185">
        <f>+E162</f>
        <v>-42413579.82</v>
      </c>
      <c r="K162" s="185"/>
      <c r="L162" s="185"/>
      <c r="M162" s="502"/>
      <c r="N162" s="1441" t="s">
        <v>446</v>
      </c>
    </row>
    <row r="163" spans="1:15">
      <c r="A163" s="846">
        <f t="shared" si="31"/>
        <v>17.570000000000089</v>
      </c>
      <c r="B163" s="1634">
        <v>282905</v>
      </c>
      <c r="C163" s="184" t="s">
        <v>695</v>
      </c>
      <c r="D163" s="199">
        <v>-37486399.799999997</v>
      </c>
      <c r="E163" s="508">
        <v>-11804991.550000001</v>
      </c>
      <c r="F163" s="185">
        <f t="shared" si="52"/>
        <v>-24645695.674999997</v>
      </c>
      <c r="G163" s="185"/>
      <c r="H163" s="185"/>
      <c r="I163" s="502"/>
      <c r="J163" s="185">
        <f>+E163</f>
        <v>-11804991.550000001</v>
      </c>
      <c r="K163" s="185"/>
      <c r="L163" s="185"/>
      <c r="M163" s="502"/>
      <c r="N163" s="1441" t="s">
        <v>446</v>
      </c>
      <c r="O163" s="44" t="s">
        <v>1682</v>
      </c>
    </row>
    <row r="164" spans="1:15">
      <c r="A164" s="846">
        <f t="shared" si="31"/>
        <v>17.580000000000091</v>
      </c>
      <c r="B164" s="1634">
        <v>282906</v>
      </c>
      <c r="C164" s="184" t="s">
        <v>696</v>
      </c>
      <c r="D164" s="199">
        <v>-7445732.5800000001</v>
      </c>
      <c r="E164" s="508">
        <v>-5424609.7199999997</v>
      </c>
      <c r="F164" s="185">
        <f t="shared" si="52"/>
        <v>-6435171.1500000004</v>
      </c>
      <c r="G164" s="185"/>
      <c r="H164" s="185"/>
      <c r="I164" s="502"/>
      <c r="J164" s="185">
        <f>+E164</f>
        <v>-5424609.7199999997</v>
      </c>
      <c r="K164" s="185"/>
      <c r="L164" s="185"/>
      <c r="M164" s="502"/>
      <c r="N164" s="1441" t="s">
        <v>446</v>
      </c>
      <c r="O164" s="44" t="s">
        <v>1682</v>
      </c>
    </row>
    <row r="165" spans="1:15">
      <c r="A165" s="846">
        <f t="shared" si="31"/>
        <v>17.590000000000092</v>
      </c>
      <c r="B165" s="1386" t="s">
        <v>1434</v>
      </c>
      <c r="C165" s="184" t="s">
        <v>1435</v>
      </c>
      <c r="D165" s="199">
        <v>0</v>
      </c>
      <c r="E165" s="508">
        <v>-2286677.7000000002</v>
      </c>
      <c r="F165" s="185"/>
      <c r="G165" s="185">
        <f>+SUM($D165:$E165)/2</f>
        <v>-1143338.8500000001</v>
      </c>
      <c r="H165" s="185"/>
      <c r="I165" s="502"/>
      <c r="J165" s="185"/>
      <c r="K165" s="185">
        <f>+$E165</f>
        <v>-2286677.7000000002</v>
      </c>
      <c r="L165" s="185"/>
      <c r="M165" s="502"/>
      <c r="N165" s="1441" t="s">
        <v>1436</v>
      </c>
      <c r="O165" s="44" t="s">
        <v>1683</v>
      </c>
    </row>
    <row r="166" spans="1:15">
      <c r="A166" s="846">
        <f t="shared" si="31"/>
        <v>17.600000000000094</v>
      </c>
      <c r="B166" s="1386" t="s">
        <v>1437</v>
      </c>
      <c r="C166" s="184" t="s">
        <v>1438</v>
      </c>
      <c r="D166" s="199">
        <v>0</v>
      </c>
      <c r="E166" s="508">
        <v>-454191.14</v>
      </c>
      <c r="F166" s="185"/>
      <c r="G166" s="185">
        <f>+SUM($D166:$E166)/2</f>
        <v>-227095.57</v>
      </c>
      <c r="H166" s="185"/>
      <c r="I166" s="502"/>
      <c r="J166" s="185"/>
      <c r="K166" s="185">
        <f>+$E166</f>
        <v>-454191.14</v>
      </c>
      <c r="L166" s="185"/>
      <c r="M166" s="502"/>
      <c r="N166" s="1441" t="s">
        <v>1436</v>
      </c>
      <c r="O166" s="44" t="s">
        <v>1683</v>
      </c>
    </row>
    <row r="167" spans="1:15">
      <c r="A167" s="846">
        <f t="shared" si="31"/>
        <v>17.610000000000095</v>
      </c>
      <c r="B167" s="184" t="s">
        <v>121</v>
      </c>
      <c r="C167" s="184" t="s">
        <v>122</v>
      </c>
      <c r="D167" s="199">
        <v>3361085.59</v>
      </c>
      <c r="E167" s="508">
        <v>2803559.48</v>
      </c>
      <c r="F167" s="185"/>
      <c r="G167" s="185"/>
      <c r="H167" s="185">
        <f t="shared" ref="H167:H168" si="53">+SUM($D167:$E167)/2</f>
        <v>3082322.5350000001</v>
      </c>
      <c r="I167" s="502"/>
      <c r="J167" s="185"/>
      <c r="K167" s="185"/>
      <c r="L167" s="185">
        <f>+E167</f>
        <v>2803559.48</v>
      </c>
      <c r="M167" s="502"/>
      <c r="N167" s="1441" t="s">
        <v>13</v>
      </c>
    </row>
    <row r="168" spans="1:15">
      <c r="A168" s="846">
        <f t="shared" si="31"/>
        <v>17.620000000000097</v>
      </c>
      <c r="B168" s="197" t="s">
        <v>123</v>
      </c>
      <c r="C168" s="197" t="s">
        <v>124</v>
      </c>
      <c r="D168" s="199">
        <v>667595.31000000006</v>
      </c>
      <c r="E168" s="508">
        <v>556856.74</v>
      </c>
      <c r="F168" s="187"/>
      <c r="G168" s="197"/>
      <c r="H168" s="156">
        <f t="shared" si="53"/>
        <v>612226.02500000002</v>
      </c>
      <c r="I168" s="503"/>
      <c r="J168" s="187"/>
      <c r="K168" s="197"/>
      <c r="L168" s="156">
        <f>+E168</f>
        <v>556856.74</v>
      </c>
      <c r="M168" s="503"/>
      <c r="N168" s="766" t="s">
        <v>13</v>
      </c>
    </row>
    <row r="169" spans="1:15">
      <c r="A169" s="846">
        <f t="shared" si="31"/>
        <v>17.630000000000098</v>
      </c>
      <c r="B169" s="198"/>
      <c r="C169" s="201" t="s">
        <v>1507</v>
      </c>
      <c r="D169" s="199">
        <v>0</v>
      </c>
      <c r="E169" s="199">
        <v>0</v>
      </c>
      <c r="F169" s="1387"/>
      <c r="G169" s="200"/>
      <c r="H169" s="200"/>
      <c r="I169" s="508"/>
      <c r="J169" s="200"/>
      <c r="K169" s="200"/>
      <c r="L169" s="200"/>
      <c r="M169" s="508"/>
      <c r="N169" s="202"/>
    </row>
    <row r="170" spans="1:15">
      <c r="A170" s="1416" t="s">
        <v>1498</v>
      </c>
      <c r="B170" s="198"/>
      <c r="C170" s="201" t="s">
        <v>1507</v>
      </c>
      <c r="D170" s="199">
        <v>0</v>
      </c>
      <c r="E170" s="199">
        <v>0</v>
      </c>
      <c r="F170" s="1387"/>
      <c r="G170" s="200"/>
      <c r="H170" s="200"/>
      <c r="I170" s="508"/>
      <c r="J170" s="200"/>
      <c r="K170" s="200"/>
      <c r="L170" s="200"/>
      <c r="M170" s="508"/>
      <c r="N170" s="202"/>
    </row>
    <row r="171" spans="1:15">
      <c r="A171" s="1606" t="str">
        <f>+A106&amp;".xx"</f>
        <v>17.xx</v>
      </c>
      <c r="B171" s="201"/>
      <c r="C171" s="201" t="s">
        <v>1507</v>
      </c>
      <c r="D171" s="204">
        <v>0</v>
      </c>
      <c r="E171" s="204">
        <v>0</v>
      </c>
      <c r="F171" s="1388"/>
      <c r="G171" s="1389"/>
      <c r="H171" s="1391"/>
      <c r="I171" s="1390"/>
      <c r="J171" s="204"/>
      <c r="K171" s="1389"/>
      <c r="L171" s="1391"/>
      <c r="M171" s="1390"/>
      <c r="N171" s="203"/>
    </row>
    <row r="172" spans="1:15" ht="13.5" thickBot="1">
      <c r="A172" s="845">
        <f>+A106+1</f>
        <v>18</v>
      </c>
      <c r="B172" s="817"/>
      <c r="C172" s="817"/>
      <c r="D172" s="242"/>
      <c r="E172" s="242"/>
      <c r="F172" s="837"/>
      <c r="G172" s="838"/>
      <c r="H172" s="838"/>
      <c r="I172" s="839"/>
      <c r="J172" s="837"/>
      <c r="K172" s="838"/>
      <c r="L172" s="838"/>
      <c r="M172" s="839"/>
      <c r="N172" s="44"/>
    </row>
    <row r="173" spans="1:15" s="43" customFormat="1" ht="13.5" thickBot="1">
      <c r="A173" s="845">
        <f>+A172+1</f>
        <v>19</v>
      </c>
      <c r="B173" s="505" t="s">
        <v>990</v>
      </c>
      <c r="C173" s="506"/>
      <c r="D173" s="840">
        <f t="shared" ref="D173:M173" si="54">SUM(D107:D171)</f>
        <v>-1635492991.2900002</v>
      </c>
      <c r="E173" s="840">
        <f t="shared" si="54"/>
        <v>-1678095477.3499999</v>
      </c>
      <c r="F173" s="841">
        <f t="shared" si="54"/>
        <v>-390864351.54999995</v>
      </c>
      <c r="G173" s="283">
        <f t="shared" si="54"/>
        <v>-1370434.4200000002</v>
      </c>
      <c r="H173" s="283">
        <f t="shared" si="54"/>
        <v>-1243621259.0050001</v>
      </c>
      <c r="I173" s="835">
        <f t="shared" si="54"/>
        <v>-20938189.344999999</v>
      </c>
      <c r="J173" s="841">
        <f t="shared" si="54"/>
        <v>-385335701.60000002</v>
      </c>
      <c r="K173" s="283">
        <f t="shared" si="54"/>
        <v>-2740868.8400000003</v>
      </c>
      <c r="L173" s="283">
        <f t="shared" si="54"/>
        <v>-1270501637.8600001</v>
      </c>
      <c r="M173" s="835">
        <f t="shared" si="54"/>
        <v>-19517269.050000001</v>
      </c>
      <c r="N173" s="766" t="str">
        <f>+"Sum by Column of Line "&amp;A106&amp;" Subparts"</f>
        <v>Sum by Column of Line 17 Subparts</v>
      </c>
    </row>
    <row r="174" spans="1:15" ht="15">
      <c r="A174" s="845">
        <f>+A173+1</f>
        <v>20</v>
      </c>
      <c r="B174" s="1735" t="s">
        <v>988</v>
      </c>
      <c r="C174" s="1735"/>
      <c r="D174" s="501">
        <f t="shared" ref="D174:M174" si="55">D157+D158</f>
        <v>-66026579.439999998</v>
      </c>
      <c r="E174" s="501">
        <f t="shared" si="55"/>
        <v>-59671190.07</v>
      </c>
      <c r="F174" s="509">
        <f t="shared" si="55"/>
        <v>-62848884.755000003</v>
      </c>
      <c r="G174" s="501">
        <f t="shared" si="55"/>
        <v>0</v>
      </c>
      <c r="H174" s="501">
        <f t="shared" si="55"/>
        <v>0</v>
      </c>
      <c r="I174" s="504">
        <f t="shared" si="55"/>
        <v>0</v>
      </c>
      <c r="J174" s="509">
        <f t="shared" si="55"/>
        <v>-59671190.07</v>
      </c>
      <c r="K174" s="501">
        <f t="shared" si="55"/>
        <v>0</v>
      </c>
      <c r="L174" s="501">
        <f t="shared" si="55"/>
        <v>0</v>
      </c>
      <c r="M174" s="504">
        <f t="shared" si="55"/>
        <v>0</v>
      </c>
      <c r="N174" s="45"/>
    </row>
    <row r="175" spans="1:15">
      <c r="A175" s="845">
        <f>+A174+1</f>
        <v>21</v>
      </c>
      <c r="B175" s="1583" t="s">
        <v>1673</v>
      </c>
      <c r="C175" s="172"/>
      <c r="D175" s="283">
        <f t="shared" ref="D175:M175" si="56">+D173-D174</f>
        <v>-1569466411.8500001</v>
      </c>
      <c r="E175" s="283">
        <f t="shared" si="56"/>
        <v>-1618424287.28</v>
      </c>
      <c r="F175" s="841">
        <f t="shared" si="56"/>
        <v>-328015466.79499996</v>
      </c>
      <c r="G175" s="283">
        <f t="shared" si="56"/>
        <v>-1370434.4200000002</v>
      </c>
      <c r="H175" s="283">
        <f t="shared" si="56"/>
        <v>-1243621259.0050001</v>
      </c>
      <c r="I175" s="835">
        <f t="shared" si="56"/>
        <v>-20938189.344999999</v>
      </c>
      <c r="J175" s="841">
        <f t="shared" si="56"/>
        <v>-325664511.53000003</v>
      </c>
      <c r="K175" s="283">
        <f t="shared" si="56"/>
        <v>-2740868.8400000003</v>
      </c>
      <c r="L175" s="283">
        <f t="shared" si="56"/>
        <v>-1270501637.8600001</v>
      </c>
      <c r="M175" s="835">
        <f t="shared" si="56"/>
        <v>-19517269.050000001</v>
      </c>
      <c r="N175" s="45" t="str">
        <f>+"Ln "&amp;A173&amp;" Less Ln "&amp;A174</f>
        <v>Ln 19 Less Ln 20</v>
      </c>
    </row>
    <row r="176" spans="1:15">
      <c r="A176" s="845">
        <f>+A175+1</f>
        <v>22</v>
      </c>
      <c r="B176" s="842"/>
      <c r="C176" s="842"/>
      <c r="D176" s="842"/>
      <c r="E176" s="171"/>
      <c r="F176" s="511"/>
      <c r="G176" s="511"/>
      <c r="H176" s="511"/>
      <c r="I176" s="511"/>
      <c r="J176" s="242"/>
      <c r="K176" s="45"/>
      <c r="L176" s="843"/>
      <c r="M176" s="511"/>
      <c r="N176" s="766"/>
    </row>
    <row r="177" spans="1:15" ht="15">
      <c r="A177" s="845">
        <f>+A176+1</f>
        <v>23</v>
      </c>
      <c r="B177" s="75" t="s">
        <v>1261</v>
      </c>
      <c r="C177" s="220"/>
      <c r="D177" s="220"/>
      <c r="E177" s="165"/>
      <c r="F177" s="1738" t="str">
        <f>F8</f>
        <v>Average of BOY/EOY (Col (C+D)/2)</v>
      </c>
      <c r="G177" s="1732"/>
      <c r="H177" s="1732"/>
      <c r="I177" s="1733"/>
      <c r="J177" s="1738" t="str">
        <f>J8</f>
        <v>EOY (Col D)</v>
      </c>
      <c r="K177" s="1732"/>
      <c r="L177" s="1732"/>
      <c r="M177" s="1733"/>
      <c r="N177" s="816" t="s">
        <v>243</v>
      </c>
    </row>
    <row r="178" spans="1:15">
      <c r="A178" s="846">
        <f t="shared" ref="A178:A212" si="57">+A177+0.01</f>
        <v>23.01</v>
      </c>
      <c r="B178" s="184" t="s">
        <v>125</v>
      </c>
      <c r="C178" s="184" t="s">
        <v>126</v>
      </c>
      <c r="D178" s="199">
        <v>-30970483.890000001</v>
      </c>
      <c r="E178" s="199">
        <v>-27377752.609999999</v>
      </c>
      <c r="F178" s="1327">
        <f t="shared" ref="F178:F187" si="58">+SUM($D178:$E178)/2</f>
        <v>-29174118.25</v>
      </c>
      <c r="G178" s="197"/>
      <c r="H178" s="197"/>
      <c r="I178" s="503"/>
      <c r="J178" s="1327">
        <f t="shared" ref="J178:J187" si="59">+E178</f>
        <v>-27377752.609999999</v>
      </c>
      <c r="K178" s="197"/>
      <c r="L178" s="197"/>
      <c r="M178" s="503"/>
      <c r="N178" s="1441" t="s">
        <v>741</v>
      </c>
    </row>
    <row r="179" spans="1:15">
      <c r="A179" s="846">
        <f t="shared" si="57"/>
        <v>23.020000000000003</v>
      </c>
      <c r="B179" s="184" t="s">
        <v>127</v>
      </c>
      <c r="C179" s="184" t="s">
        <v>128</v>
      </c>
      <c r="D179" s="199">
        <v>-6151509.4100000001</v>
      </c>
      <c r="E179" s="199">
        <v>-5437903.5</v>
      </c>
      <c r="F179" s="1327">
        <f t="shared" si="58"/>
        <v>-5794706.4550000001</v>
      </c>
      <c r="G179" s="187"/>
      <c r="H179" s="187"/>
      <c r="I179" s="503"/>
      <c r="J179" s="1327">
        <f t="shared" si="59"/>
        <v>-5437903.5</v>
      </c>
      <c r="K179" s="197"/>
      <c r="L179" s="197"/>
      <c r="M179" s="503"/>
      <c r="N179" s="1441" t="s">
        <v>741</v>
      </c>
    </row>
    <row r="180" spans="1:15">
      <c r="A180" s="846">
        <f t="shared" si="57"/>
        <v>23.030000000000005</v>
      </c>
      <c r="B180" s="1399">
        <v>283157</v>
      </c>
      <c r="C180" s="43" t="s">
        <v>697</v>
      </c>
      <c r="D180" s="199">
        <v>-10114920.02</v>
      </c>
      <c r="E180" s="199">
        <v>-8211604.8899999997</v>
      </c>
      <c r="F180" s="1327"/>
      <c r="G180" s="187">
        <f t="shared" ref="G180:G181" si="60">+SUM($D180:$E180)/2</f>
        <v>-9163262.4550000001</v>
      </c>
      <c r="H180" s="187"/>
      <c r="I180" s="503"/>
      <c r="J180" s="1327"/>
      <c r="K180" s="156">
        <f>+E180</f>
        <v>-8211604.8899999997</v>
      </c>
      <c r="L180" s="197"/>
      <c r="M180" s="503"/>
      <c r="N180" s="1441" t="s">
        <v>740</v>
      </c>
      <c r="O180" s="44" t="s">
        <v>1682</v>
      </c>
    </row>
    <row r="181" spans="1:15">
      <c r="A181" s="846">
        <f t="shared" si="57"/>
        <v>23.040000000000006</v>
      </c>
      <c r="B181" s="1399">
        <v>283158</v>
      </c>
      <c r="C181" s="43" t="s">
        <v>698</v>
      </c>
      <c r="D181" s="199">
        <v>-2009075.02</v>
      </c>
      <c r="E181" s="199">
        <v>-1631029.24</v>
      </c>
      <c r="F181" s="1327"/>
      <c r="G181" s="187">
        <f t="shared" si="60"/>
        <v>-1820052.13</v>
      </c>
      <c r="H181" s="187"/>
      <c r="I181" s="503"/>
      <c r="J181" s="1327"/>
      <c r="K181" s="156">
        <f>+E181</f>
        <v>-1631029.24</v>
      </c>
      <c r="L181" s="197"/>
      <c r="M181" s="503"/>
      <c r="N181" s="1441" t="s">
        <v>740</v>
      </c>
      <c r="O181" s="44" t="s">
        <v>1682</v>
      </c>
    </row>
    <row r="182" spans="1:15">
      <c r="A182" s="846">
        <f t="shared" si="57"/>
        <v>23.050000000000008</v>
      </c>
      <c r="B182" s="184" t="s">
        <v>129</v>
      </c>
      <c r="C182" s="184" t="s">
        <v>130</v>
      </c>
      <c r="D182" s="199">
        <v>-9817500</v>
      </c>
      <c r="E182" s="199">
        <v>0</v>
      </c>
      <c r="F182" s="1327">
        <f t="shared" si="58"/>
        <v>-4908750</v>
      </c>
      <c r="G182" s="187"/>
      <c r="H182" s="187"/>
      <c r="I182" s="503"/>
      <c r="J182" s="1326">
        <f t="shared" si="59"/>
        <v>0</v>
      </c>
      <c r="K182" s="197"/>
      <c r="L182" s="197"/>
      <c r="M182" s="503"/>
      <c r="N182" s="1441" t="s">
        <v>131</v>
      </c>
    </row>
    <row r="183" spans="1:15">
      <c r="A183" s="846">
        <f t="shared" si="57"/>
        <v>23.060000000000009</v>
      </c>
      <c r="B183" s="184" t="s">
        <v>132</v>
      </c>
      <c r="C183" s="184" t="s">
        <v>133</v>
      </c>
      <c r="D183" s="199">
        <v>-1950000</v>
      </c>
      <c r="E183" s="199">
        <v>0</v>
      </c>
      <c r="F183" s="1327">
        <f t="shared" si="58"/>
        <v>-975000</v>
      </c>
      <c r="G183" s="187"/>
      <c r="H183" s="187"/>
      <c r="I183" s="503"/>
      <c r="J183" s="1326">
        <f t="shared" si="59"/>
        <v>0</v>
      </c>
      <c r="K183" s="197"/>
      <c r="L183" s="197"/>
      <c r="M183" s="503"/>
      <c r="N183" s="1441" t="s">
        <v>131</v>
      </c>
    </row>
    <row r="184" spans="1:15">
      <c r="A184" s="846">
        <f t="shared" si="57"/>
        <v>23.070000000000011</v>
      </c>
      <c r="B184" s="184" t="s">
        <v>134</v>
      </c>
      <c r="C184" s="184" t="s">
        <v>135</v>
      </c>
      <c r="D184" s="199">
        <v>-10188800.82</v>
      </c>
      <c r="E184" s="199">
        <v>-9716134.0899999999</v>
      </c>
      <c r="F184" s="1327">
        <f t="shared" si="58"/>
        <v>-9952467.4550000001</v>
      </c>
      <c r="G184" s="187"/>
      <c r="H184" s="187"/>
      <c r="I184" s="503"/>
      <c r="J184" s="1326">
        <f t="shared" si="59"/>
        <v>-9716134.0899999999</v>
      </c>
      <c r="K184" s="197"/>
      <c r="L184" s="197"/>
      <c r="M184" s="503"/>
      <c r="N184" s="1441" t="s">
        <v>131</v>
      </c>
    </row>
    <row r="185" spans="1:15">
      <c r="A185" s="846">
        <f t="shared" si="57"/>
        <v>23.080000000000013</v>
      </c>
      <c r="B185" s="184" t="s">
        <v>136</v>
      </c>
      <c r="C185" s="184" t="s">
        <v>137</v>
      </c>
      <c r="D185" s="199">
        <v>-2023749.58</v>
      </c>
      <c r="E185" s="199">
        <v>-1929866.2</v>
      </c>
      <c r="F185" s="1327">
        <f t="shared" si="58"/>
        <v>-1976807.8900000001</v>
      </c>
      <c r="G185" s="187"/>
      <c r="H185" s="187"/>
      <c r="I185" s="503"/>
      <c r="J185" s="1326">
        <f t="shared" si="59"/>
        <v>-1929866.2</v>
      </c>
      <c r="K185" s="197"/>
      <c r="L185" s="197"/>
      <c r="M185" s="503"/>
      <c r="N185" s="1441" t="s">
        <v>131</v>
      </c>
    </row>
    <row r="186" spans="1:15">
      <c r="A186" s="846">
        <f t="shared" si="57"/>
        <v>23.090000000000014</v>
      </c>
      <c r="B186" s="184" t="s">
        <v>138</v>
      </c>
      <c r="C186" s="184" t="s">
        <v>139</v>
      </c>
      <c r="D186" s="199">
        <v>-159143543.50999999</v>
      </c>
      <c r="E186" s="199">
        <v>-264607425.25999999</v>
      </c>
      <c r="F186" s="1327">
        <f t="shared" si="58"/>
        <v>-211875484.38499999</v>
      </c>
      <c r="G186" s="187"/>
      <c r="H186" s="187"/>
      <c r="I186" s="503"/>
      <c r="J186" s="1326">
        <f t="shared" si="59"/>
        <v>-264607425.25999999</v>
      </c>
      <c r="K186" s="197"/>
      <c r="L186" s="197"/>
      <c r="M186" s="503"/>
      <c r="N186" s="1441" t="s">
        <v>431</v>
      </c>
    </row>
    <row r="187" spans="1:15">
      <c r="A187" s="846">
        <f t="shared" si="57"/>
        <v>23.100000000000016</v>
      </c>
      <c r="B187" s="184" t="s">
        <v>140</v>
      </c>
      <c r="C187" s="184" t="s">
        <v>141</v>
      </c>
      <c r="D187" s="199">
        <v>-31609871.129999999</v>
      </c>
      <c r="E187" s="199">
        <v>-52557624.57</v>
      </c>
      <c r="F187" s="1327">
        <f t="shared" si="58"/>
        <v>-42083747.850000001</v>
      </c>
      <c r="G187" s="187"/>
      <c r="H187" s="187"/>
      <c r="I187" s="503"/>
      <c r="J187" s="1326">
        <f t="shared" si="59"/>
        <v>-52557624.57</v>
      </c>
      <c r="K187" s="197"/>
      <c r="L187" s="197"/>
      <c r="M187" s="503"/>
      <c r="N187" s="1441" t="s">
        <v>431</v>
      </c>
    </row>
    <row r="188" spans="1:15">
      <c r="A188" s="846">
        <f t="shared" si="57"/>
        <v>23.110000000000017</v>
      </c>
      <c r="B188" s="184" t="s">
        <v>142</v>
      </c>
      <c r="C188" s="184" t="s">
        <v>143</v>
      </c>
      <c r="D188" s="199">
        <v>-9436526.5399999991</v>
      </c>
      <c r="E188" s="199">
        <v>-8561706.3100000005</v>
      </c>
      <c r="F188" s="1327"/>
      <c r="G188" s="187"/>
      <c r="H188" s="187">
        <f t="shared" ref="H188:H189" si="61">+SUM($D188:$E188)/2</f>
        <v>-8999116.4250000007</v>
      </c>
      <c r="I188" s="503"/>
      <c r="J188" s="1326"/>
      <c r="K188" s="197"/>
      <c r="L188" s="187">
        <f>+E188</f>
        <v>-8561706.3100000005</v>
      </c>
      <c r="M188" s="503"/>
      <c r="N188" s="1441" t="s">
        <v>662</v>
      </c>
    </row>
    <row r="189" spans="1:15">
      <c r="A189" s="846">
        <f t="shared" si="57"/>
        <v>23.120000000000019</v>
      </c>
      <c r="B189" s="184" t="s">
        <v>144</v>
      </c>
      <c r="C189" s="184" t="s">
        <v>145</v>
      </c>
      <c r="D189" s="199">
        <v>-1874329.19</v>
      </c>
      <c r="E189" s="199">
        <v>-1700568.1</v>
      </c>
      <c r="F189" s="1327"/>
      <c r="G189" s="187"/>
      <c r="H189" s="187">
        <f t="shared" si="61"/>
        <v>-1787448.645</v>
      </c>
      <c r="I189" s="503"/>
      <c r="J189" s="1326"/>
      <c r="K189" s="197"/>
      <c r="L189" s="187">
        <f>+E189</f>
        <v>-1700568.1</v>
      </c>
      <c r="M189" s="503"/>
      <c r="N189" s="1441" t="s">
        <v>662</v>
      </c>
    </row>
    <row r="190" spans="1:15">
      <c r="A190" s="846">
        <f t="shared" si="57"/>
        <v>23.13000000000002</v>
      </c>
      <c r="B190" s="184" t="s">
        <v>146</v>
      </c>
      <c r="C190" s="184" t="s">
        <v>147</v>
      </c>
      <c r="D190" s="199">
        <v>-5884075.4299999997</v>
      </c>
      <c r="E190" s="199">
        <v>-14243676.68</v>
      </c>
      <c r="F190" s="1327">
        <f t="shared" ref="F190:F191" si="62">+SUM($D190:$E190)/2</f>
        <v>-10063876.055</v>
      </c>
      <c r="G190" s="187"/>
      <c r="H190" s="187"/>
      <c r="I190" s="503"/>
      <c r="J190" s="1326">
        <f t="shared" ref="J190:J191" si="63">+E190</f>
        <v>-14243676.68</v>
      </c>
      <c r="K190" s="197"/>
      <c r="L190" s="197"/>
      <c r="M190" s="503"/>
      <c r="N190" s="1441" t="s">
        <v>148</v>
      </c>
    </row>
    <row r="191" spans="1:15">
      <c r="A191" s="846">
        <f t="shared" si="57"/>
        <v>23.140000000000022</v>
      </c>
      <c r="B191" s="184" t="s">
        <v>149</v>
      </c>
      <c r="C191" s="184" t="s">
        <v>150</v>
      </c>
      <c r="D191" s="199">
        <v>-1168723.93</v>
      </c>
      <c r="E191" s="199">
        <v>-2829148.93</v>
      </c>
      <c r="F191" s="1327">
        <f t="shared" si="62"/>
        <v>-1998936.4300000002</v>
      </c>
      <c r="G191" s="187"/>
      <c r="H191" s="187"/>
      <c r="I191" s="503"/>
      <c r="J191" s="1326">
        <f t="shared" si="63"/>
        <v>-2829148.93</v>
      </c>
      <c r="K191" s="197"/>
      <c r="L191" s="197"/>
      <c r="M191" s="503"/>
      <c r="N191" s="1441" t="s">
        <v>148</v>
      </c>
    </row>
    <row r="192" spans="1:15">
      <c r="A192" s="846">
        <f t="shared" si="57"/>
        <v>23.150000000000023</v>
      </c>
      <c r="B192" s="184" t="s">
        <v>152</v>
      </c>
      <c r="C192" s="184" t="s">
        <v>153</v>
      </c>
      <c r="D192" s="199">
        <v>-6705284.7599999998</v>
      </c>
      <c r="E192" s="199">
        <v>-6705284.7599999998</v>
      </c>
      <c r="F192" s="1327"/>
      <c r="G192" s="187">
        <f t="shared" ref="G192:G193" si="64">+SUM($D192:$E192)/2</f>
        <v>-6705284.7599999998</v>
      </c>
      <c r="H192" s="187"/>
      <c r="I192" s="503"/>
      <c r="J192" s="1327"/>
      <c r="K192" s="156">
        <f>+E192</f>
        <v>-6705284.7599999998</v>
      </c>
      <c r="L192" s="197"/>
      <c r="M192" s="503"/>
      <c r="N192" s="1441" t="s">
        <v>154</v>
      </c>
    </row>
    <row r="193" spans="1:15">
      <c r="A193" s="846">
        <f t="shared" si="57"/>
        <v>23.160000000000025</v>
      </c>
      <c r="B193" s="184" t="s">
        <v>155</v>
      </c>
      <c r="C193" s="184" t="s">
        <v>156</v>
      </c>
      <c r="D193" s="199">
        <v>-1331836.55</v>
      </c>
      <c r="E193" s="199">
        <v>-1331836.55</v>
      </c>
      <c r="F193" s="1327"/>
      <c r="G193" s="187">
        <f t="shared" si="64"/>
        <v>-1331836.55</v>
      </c>
      <c r="H193" s="187"/>
      <c r="I193" s="503"/>
      <c r="J193" s="1327"/>
      <c r="K193" s="156">
        <f>+E193</f>
        <v>-1331836.55</v>
      </c>
      <c r="L193" s="197"/>
      <c r="M193" s="503"/>
      <c r="N193" s="1441" t="s">
        <v>154</v>
      </c>
    </row>
    <row r="194" spans="1:15">
      <c r="A194" s="846">
        <f t="shared" si="57"/>
        <v>23.170000000000027</v>
      </c>
      <c r="B194" s="1634">
        <v>283301</v>
      </c>
      <c r="C194" s="184" t="s">
        <v>699</v>
      </c>
      <c r="D194" s="199">
        <v>-7358496.7000000002</v>
      </c>
      <c r="E194" s="199">
        <v>-5666440.9299999997</v>
      </c>
      <c r="F194" s="1327">
        <f t="shared" ref="F194:F203" si="65">+SUM($D194:$E194)/2</f>
        <v>-6512468.8149999995</v>
      </c>
      <c r="G194" s="187"/>
      <c r="H194" s="187"/>
      <c r="I194" s="503"/>
      <c r="J194" s="1327">
        <f t="shared" ref="J194:J203" si="66">+E194</f>
        <v>-5666440.9299999997</v>
      </c>
      <c r="K194" s="197"/>
      <c r="L194" s="197"/>
      <c r="M194" s="503"/>
      <c r="N194" s="1441" t="s">
        <v>739</v>
      </c>
      <c r="O194" s="44" t="s">
        <v>1682</v>
      </c>
    </row>
    <row r="195" spans="1:15">
      <c r="A195" s="846">
        <f t="shared" si="57"/>
        <v>23.180000000000028</v>
      </c>
      <c r="B195" s="1634">
        <v>283302</v>
      </c>
      <c r="C195" s="184" t="s">
        <v>700</v>
      </c>
      <c r="D195" s="199">
        <v>-1461580.71</v>
      </c>
      <c r="E195" s="199">
        <v>-1125496.29</v>
      </c>
      <c r="F195" s="1327">
        <f t="shared" si="65"/>
        <v>-1293538.5</v>
      </c>
      <c r="G195" s="187"/>
      <c r="H195" s="187"/>
      <c r="I195" s="503"/>
      <c r="J195" s="1327">
        <f t="shared" si="66"/>
        <v>-1125496.29</v>
      </c>
      <c r="K195" s="197"/>
      <c r="L195" s="197"/>
      <c r="M195" s="503"/>
      <c r="N195" s="1441" t="s">
        <v>739</v>
      </c>
      <c r="O195" s="44" t="s">
        <v>1682</v>
      </c>
    </row>
    <row r="196" spans="1:15">
      <c r="A196" s="846">
        <f t="shared" si="57"/>
        <v>23.19000000000003</v>
      </c>
      <c r="B196" s="1054">
        <v>283305</v>
      </c>
      <c r="C196" s="597" t="s">
        <v>701</v>
      </c>
      <c r="D196" s="1636">
        <v>-2835871.03</v>
      </c>
      <c r="E196" s="1636">
        <v>-2694077.47</v>
      </c>
      <c r="F196" s="1637">
        <f t="shared" si="65"/>
        <v>-2764974.25</v>
      </c>
      <c r="G196" s="1638"/>
      <c r="H196" s="1638"/>
      <c r="I196" s="1639"/>
      <c r="J196" s="1640">
        <f t="shared" si="66"/>
        <v>-2694077.47</v>
      </c>
      <c r="K196" s="1638"/>
      <c r="L196" s="904"/>
      <c r="M196" s="1639"/>
      <c r="N196" s="1635" t="s">
        <v>1684</v>
      </c>
      <c r="O196" s="44" t="s">
        <v>1682</v>
      </c>
    </row>
    <row r="197" spans="1:15">
      <c r="A197" s="846">
        <f t="shared" si="57"/>
        <v>23.200000000000031</v>
      </c>
      <c r="B197" s="1054">
        <v>283306</v>
      </c>
      <c r="C197" s="597" t="s">
        <v>702</v>
      </c>
      <c r="D197" s="1636">
        <v>-563274.61</v>
      </c>
      <c r="E197" s="1636">
        <v>-535110.88</v>
      </c>
      <c r="F197" s="1637">
        <f t="shared" si="65"/>
        <v>-549192.745</v>
      </c>
      <c r="G197" s="1638"/>
      <c r="H197" s="1638"/>
      <c r="I197" s="1639"/>
      <c r="J197" s="1640">
        <f t="shared" si="66"/>
        <v>-535110.88</v>
      </c>
      <c r="K197" s="1638"/>
      <c r="L197" s="904"/>
      <c r="M197" s="1639"/>
      <c r="N197" s="1635" t="s">
        <v>1684</v>
      </c>
      <c r="O197" s="44" t="s">
        <v>1682</v>
      </c>
    </row>
    <row r="198" spans="1:15">
      <c r="A198" s="846">
        <f t="shared" si="57"/>
        <v>23.210000000000033</v>
      </c>
      <c r="B198" s="1399" t="s">
        <v>157</v>
      </c>
      <c r="C198" s="43" t="s">
        <v>158</v>
      </c>
      <c r="D198" s="199">
        <v>-10374022.66</v>
      </c>
      <c r="E198" s="199">
        <v>-3948758.25</v>
      </c>
      <c r="F198" s="1327">
        <f t="shared" si="65"/>
        <v>-7161390.4550000001</v>
      </c>
      <c r="G198" s="187"/>
      <c r="H198" s="187"/>
      <c r="I198" s="502"/>
      <c r="J198" s="1326">
        <f t="shared" si="66"/>
        <v>-3948758.25</v>
      </c>
      <c r="K198" s="187"/>
      <c r="L198" s="197"/>
      <c r="M198" s="502"/>
      <c r="N198" s="1441" t="s">
        <v>474</v>
      </c>
    </row>
    <row r="199" spans="1:15">
      <c r="A199" s="846">
        <f t="shared" si="57"/>
        <v>23.220000000000034</v>
      </c>
      <c r="B199" s="1399" t="s">
        <v>159</v>
      </c>
      <c r="C199" s="43" t="s">
        <v>160</v>
      </c>
      <c r="D199" s="199">
        <v>-2060539.25</v>
      </c>
      <c r="E199" s="199">
        <v>-784321.72</v>
      </c>
      <c r="F199" s="1327">
        <f t="shared" si="65"/>
        <v>-1422430.4849999999</v>
      </c>
      <c r="G199" s="187"/>
      <c r="H199" s="187"/>
      <c r="I199" s="502"/>
      <c r="J199" s="1326">
        <f t="shared" si="66"/>
        <v>-784321.72</v>
      </c>
      <c r="K199" s="187"/>
      <c r="L199" s="197"/>
      <c r="M199" s="502"/>
      <c r="N199" s="1441" t="s">
        <v>474</v>
      </c>
    </row>
    <row r="200" spans="1:15">
      <c r="A200" s="846">
        <f t="shared" si="57"/>
        <v>23.230000000000036</v>
      </c>
      <c r="B200" s="1399" t="s">
        <v>161</v>
      </c>
      <c r="C200" s="43" t="s">
        <v>162</v>
      </c>
      <c r="D200" s="199">
        <v>-4224015.97</v>
      </c>
      <c r="E200" s="199">
        <v>-3911903.8</v>
      </c>
      <c r="F200" s="1327">
        <f t="shared" si="65"/>
        <v>-4067959.8849999998</v>
      </c>
      <c r="G200" s="187"/>
      <c r="H200" s="187"/>
      <c r="I200" s="503"/>
      <c r="J200" s="1326">
        <f t="shared" si="66"/>
        <v>-3911903.8</v>
      </c>
      <c r="K200" s="187"/>
      <c r="L200" s="197"/>
      <c r="M200" s="503"/>
      <c r="N200" s="1441" t="s">
        <v>151</v>
      </c>
    </row>
    <row r="201" spans="1:15">
      <c r="A201" s="846">
        <f t="shared" si="57"/>
        <v>23.240000000000038</v>
      </c>
      <c r="B201" s="1399" t="s">
        <v>163</v>
      </c>
      <c r="C201" s="43" t="s">
        <v>164</v>
      </c>
      <c r="D201" s="199">
        <v>-838994.76</v>
      </c>
      <c r="E201" s="199">
        <v>-777001.51</v>
      </c>
      <c r="F201" s="1327">
        <f t="shared" si="65"/>
        <v>-807998.13500000001</v>
      </c>
      <c r="G201" s="187"/>
      <c r="H201" s="187"/>
      <c r="I201" s="503"/>
      <c r="J201" s="1326">
        <f t="shared" si="66"/>
        <v>-777001.51</v>
      </c>
      <c r="K201" s="187"/>
      <c r="L201" s="197"/>
      <c r="M201" s="503"/>
      <c r="N201" s="1441" t="s">
        <v>151</v>
      </c>
    </row>
    <row r="202" spans="1:15">
      <c r="A202" s="846">
        <f t="shared" si="57"/>
        <v>23.250000000000039</v>
      </c>
      <c r="B202" s="184" t="s">
        <v>165</v>
      </c>
      <c r="C202" s="184" t="s">
        <v>166</v>
      </c>
      <c r="D202" s="199">
        <v>-3102275.01</v>
      </c>
      <c r="E202" s="199">
        <v>-2929926.83</v>
      </c>
      <c r="F202" s="1327">
        <f t="shared" si="65"/>
        <v>-3016100.92</v>
      </c>
      <c r="G202" s="187"/>
      <c r="H202" s="187"/>
      <c r="I202" s="503"/>
      <c r="J202" s="1326">
        <f t="shared" si="66"/>
        <v>-2929926.83</v>
      </c>
      <c r="K202" s="197"/>
      <c r="L202" s="197"/>
      <c r="M202" s="503"/>
      <c r="N202" s="1441" t="s">
        <v>167</v>
      </c>
    </row>
    <row r="203" spans="1:15">
      <c r="A203" s="846">
        <f t="shared" si="57"/>
        <v>23.260000000000041</v>
      </c>
      <c r="B203" s="184" t="s">
        <v>168</v>
      </c>
      <c r="C203" s="184" t="s">
        <v>169</v>
      </c>
      <c r="D203" s="199">
        <v>-616189.07999999996</v>
      </c>
      <c r="E203" s="199">
        <v>-581956.43999999994</v>
      </c>
      <c r="F203" s="1327">
        <f t="shared" si="65"/>
        <v>-599072.76</v>
      </c>
      <c r="G203" s="187"/>
      <c r="H203" s="187"/>
      <c r="I203" s="503"/>
      <c r="J203" s="1326">
        <f t="shared" si="66"/>
        <v>-581956.43999999994</v>
      </c>
      <c r="K203" s="197"/>
      <c r="L203" s="197"/>
      <c r="M203" s="503"/>
      <c r="N203" s="1441" t="s">
        <v>167</v>
      </c>
    </row>
    <row r="204" spans="1:15">
      <c r="A204" s="846">
        <f t="shared" si="57"/>
        <v>23.270000000000042</v>
      </c>
      <c r="B204" s="1595" t="s">
        <v>170</v>
      </c>
      <c r="C204" s="1595" t="s">
        <v>171</v>
      </c>
      <c r="D204" s="199">
        <v>-1911617.22</v>
      </c>
      <c r="E204" s="199">
        <v>-1938108.02</v>
      </c>
      <c r="F204" s="1327"/>
      <c r="G204" s="187"/>
      <c r="H204" s="187">
        <f t="shared" ref="H204:H205" si="67">+SUM($D204:$E204)/2</f>
        <v>-1924862.62</v>
      </c>
      <c r="I204" s="502"/>
      <c r="J204" s="1327"/>
      <c r="K204" s="197"/>
      <c r="L204" s="187">
        <f>+E204</f>
        <v>-1938108.02</v>
      </c>
      <c r="M204" s="502"/>
      <c r="N204" s="1591" t="s">
        <v>172</v>
      </c>
    </row>
    <row r="205" spans="1:15">
      <c r="A205" s="846">
        <f t="shared" si="57"/>
        <v>23.280000000000044</v>
      </c>
      <c r="B205" s="1595" t="s">
        <v>173</v>
      </c>
      <c r="C205" s="1595" t="s">
        <v>174</v>
      </c>
      <c r="D205" s="199">
        <v>-379694.79</v>
      </c>
      <c r="E205" s="199">
        <v>-384956.53</v>
      </c>
      <c r="F205" s="1327"/>
      <c r="G205" s="187"/>
      <c r="H205" s="187">
        <f t="shared" si="67"/>
        <v>-382325.66000000003</v>
      </c>
      <c r="I205" s="502"/>
      <c r="J205" s="1327"/>
      <c r="K205" s="197"/>
      <c r="L205" s="187">
        <f>+E205</f>
        <v>-384956.53</v>
      </c>
      <c r="M205" s="502"/>
      <c r="N205" s="1591" t="s">
        <v>172</v>
      </c>
    </row>
    <row r="206" spans="1:15">
      <c r="A206" s="846">
        <f t="shared" si="57"/>
        <v>23.290000000000045</v>
      </c>
      <c r="B206" s="184" t="s">
        <v>175</v>
      </c>
      <c r="C206" s="184" t="s">
        <v>176</v>
      </c>
      <c r="D206" s="199">
        <v>0</v>
      </c>
      <c r="E206" s="199">
        <v>0</v>
      </c>
      <c r="F206" s="1327">
        <f t="shared" ref="F206:F212" si="68">+SUM($D206:$E206)/2</f>
        <v>0</v>
      </c>
      <c r="G206" s="187"/>
      <c r="H206" s="187"/>
      <c r="I206" s="502"/>
      <c r="J206" s="1326">
        <f t="shared" ref="J206:J210" si="69">+E206</f>
        <v>0</v>
      </c>
      <c r="K206" s="197"/>
      <c r="L206" s="197"/>
      <c r="M206" s="502"/>
      <c r="N206" s="1441" t="s">
        <v>399</v>
      </c>
    </row>
    <row r="207" spans="1:15">
      <c r="A207" s="846">
        <f t="shared" si="57"/>
        <v>23.300000000000047</v>
      </c>
      <c r="B207" s="184" t="s">
        <v>177</v>
      </c>
      <c r="C207" s="184" t="s">
        <v>178</v>
      </c>
      <c r="D207" s="199">
        <v>0</v>
      </c>
      <c r="E207" s="199">
        <v>0</v>
      </c>
      <c r="F207" s="1327">
        <f t="shared" si="68"/>
        <v>0</v>
      </c>
      <c r="G207" s="187"/>
      <c r="H207" s="187"/>
      <c r="I207" s="503"/>
      <c r="J207" s="1326">
        <f t="shared" si="69"/>
        <v>0</v>
      </c>
      <c r="K207" s="197"/>
      <c r="L207" s="197"/>
      <c r="M207" s="503"/>
      <c r="N207" s="1441" t="s">
        <v>399</v>
      </c>
    </row>
    <row r="208" spans="1:15">
      <c r="A208" s="846">
        <f t="shared" si="57"/>
        <v>23.310000000000048</v>
      </c>
      <c r="B208" s="184" t="s">
        <v>179</v>
      </c>
      <c r="C208" s="184" t="s">
        <v>526</v>
      </c>
      <c r="D208" s="199">
        <v>-35552772.520000003</v>
      </c>
      <c r="E208" s="199">
        <v>-32130639.84</v>
      </c>
      <c r="F208" s="1327">
        <f t="shared" si="68"/>
        <v>-33841706.18</v>
      </c>
      <c r="G208" s="187"/>
      <c r="H208" s="187"/>
      <c r="I208" s="502"/>
      <c r="J208" s="1326">
        <f t="shared" si="69"/>
        <v>-32130639.84</v>
      </c>
      <c r="K208" s="197"/>
      <c r="L208" s="197"/>
      <c r="M208" s="502"/>
      <c r="N208" s="1441" t="s">
        <v>527</v>
      </c>
    </row>
    <row r="209" spans="1:15">
      <c r="A209" s="846">
        <f t="shared" si="57"/>
        <v>23.32000000000005</v>
      </c>
      <c r="B209" s="184" t="s">
        <v>180</v>
      </c>
      <c r="C209" s="184" t="s">
        <v>529</v>
      </c>
      <c r="D209" s="199">
        <v>-7061665.54</v>
      </c>
      <c r="E209" s="199">
        <v>-6381944.7800000003</v>
      </c>
      <c r="F209" s="1327">
        <f t="shared" si="68"/>
        <v>-6721805.1600000001</v>
      </c>
      <c r="G209" s="187"/>
      <c r="H209" s="187"/>
      <c r="I209" s="503"/>
      <c r="J209" s="1326">
        <f t="shared" si="69"/>
        <v>-6381944.7800000003</v>
      </c>
      <c r="K209" s="197"/>
      <c r="L209" s="197"/>
      <c r="M209" s="503"/>
      <c r="N209" s="1441" t="s">
        <v>527</v>
      </c>
    </row>
    <row r="210" spans="1:15">
      <c r="A210" s="846">
        <f t="shared" si="57"/>
        <v>23.330000000000052</v>
      </c>
      <c r="B210" s="184" t="s">
        <v>181</v>
      </c>
      <c r="C210" s="184" t="s">
        <v>182</v>
      </c>
      <c r="D210" s="199">
        <v>-145101063.80000001</v>
      </c>
      <c r="E210" s="199">
        <v>-142092681.38</v>
      </c>
      <c r="F210" s="1327">
        <f t="shared" si="68"/>
        <v>-143596872.59</v>
      </c>
      <c r="G210" s="187"/>
      <c r="H210" s="187"/>
      <c r="I210" s="503"/>
      <c r="J210" s="1326">
        <f t="shared" si="69"/>
        <v>-142092681.38</v>
      </c>
      <c r="K210" s="197"/>
      <c r="L210" s="197"/>
      <c r="M210" s="503"/>
      <c r="N210" s="1441" t="s">
        <v>399</v>
      </c>
    </row>
    <row r="211" spans="1:15">
      <c r="A211" s="846">
        <f t="shared" si="57"/>
        <v>23.340000000000053</v>
      </c>
      <c r="B211" s="184" t="s">
        <v>1439</v>
      </c>
      <c r="C211" s="184" t="s">
        <v>1440</v>
      </c>
      <c r="D211" s="199">
        <v>0</v>
      </c>
      <c r="E211" s="199">
        <v>-1868721.35</v>
      </c>
      <c r="F211" s="1327">
        <f>+SUM($D211:$E211)/2</f>
        <v>-934360.67500000005</v>
      </c>
      <c r="G211" s="187"/>
      <c r="H211" s="187"/>
      <c r="I211" s="503"/>
      <c r="J211" s="1326">
        <f>+E211</f>
        <v>-1868721.35</v>
      </c>
      <c r="K211" s="197"/>
      <c r="L211" s="197"/>
      <c r="M211" s="503"/>
      <c r="N211" s="1441" t="s">
        <v>1441</v>
      </c>
      <c r="O211" s="44" t="s">
        <v>1683</v>
      </c>
    </row>
    <row r="212" spans="1:15">
      <c r="A212" s="846">
        <f t="shared" si="57"/>
        <v>23.350000000000055</v>
      </c>
      <c r="B212" s="184" t="s">
        <v>183</v>
      </c>
      <c r="C212" s="184" t="s">
        <v>184</v>
      </c>
      <c r="D212" s="199">
        <v>-338569149.10000002</v>
      </c>
      <c r="E212" s="199">
        <v>-335909939.94</v>
      </c>
      <c r="F212" s="1327">
        <f t="shared" si="68"/>
        <v>-337239544.51999998</v>
      </c>
      <c r="G212" s="197"/>
      <c r="H212" s="197"/>
      <c r="I212" s="503"/>
      <c r="J212" s="1326">
        <f t="shared" ref="J212" si="70">+E212</f>
        <v>-335909939.94</v>
      </c>
      <c r="K212" s="197"/>
      <c r="L212" s="197"/>
      <c r="M212" s="503"/>
      <c r="N212" s="1441" t="s">
        <v>399</v>
      </c>
    </row>
    <row r="213" spans="1:15">
      <c r="A213" s="1415">
        <f>+A212+0.01</f>
        <v>23.360000000000056</v>
      </c>
      <c r="B213" s="1328"/>
      <c r="C213" s="201" t="s">
        <v>1507</v>
      </c>
      <c r="D213" s="199">
        <v>0</v>
      </c>
      <c r="E213" s="199">
        <v>0</v>
      </c>
      <c r="F213" s="1393"/>
      <c r="G213" s="1392"/>
      <c r="H213" s="1392"/>
      <c r="I213" s="1394"/>
      <c r="J213" s="1395"/>
      <c r="K213" s="1396"/>
      <c r="L213" s="1396"/>
      <c r="M213" s="1394"/>
      <c r="N213" s="1329"/>
    </row>
    <row r="214" spans="1:15">
      <c r="A214" s="1607" t="s">
        <v>1498</v>
      </c>
      <c r="B214" s="1328"/>
      <c r="C214" s="201" t="s">
        <v>1507</v>
      </c>
      <c r="D214" s="199">
        <v>0</v>
      </c>
      <c r="E214" s="199">
        <v>0</v>
      </c>
      <c r="F214" s="1393"/>
      <c r="G214" s="1392"/>
      <c r="H214" s="1392"/>
      <c r="I214" s="1394"/>
      <c r="J214" s="1395"/>
      <c r="K214" s="1396"/>
      <c r="L214" s="1396"/>
      <c r="M214" s="1394"/>
      <c r="N214" s="1329"/>
    </row>
    <row r="215" spans="1:15">
      <c r="A215" s="1415" t="str">
        <f>+A177&amp;".xx"</f>
        <v>23.xx</v>
      </c>
      <c r="B215" s="198"/>
      <c r="C215" s="201" t="s">
        <v>1507</v>
      </c>
      <c r="D215" s="204">
        <v>0</v>
      </c>
      <c r="E215" s="204">
        <v>0</v>
      </c>
      <c r="F215" s="1387"/>
      <c r="G215" s="201"/>
      <c r="H215" s="201"/>
      <c r="I215" s="1397"/>
      <c r="J215" s="1398"/>
      <c r="K215" s="201"/>
      <c r="L215" s="201"/>
      <c r="M215" s="1397"/>
      <c r="N215" s="202"/>
    </row>
    <row r="216" spans="1:15" ht="13.5" thickBot="1">
      <c r="A216" s="845">
        <f>+A177+1</f>
        <v>24</v>
      </c>
      <c r="B216" s="817"/>
      <c r="C216" s="817"/>
      <c r="D216" s="242"/>
      <c r="E216" s="242"/>
      <c r="F216" s="837"/>
      <c r="G216" s="838"/>
      <c r="H216" s="838"/>
      <c r="I216" s="839"/>
      <c r="J216" s="837"/>
      <c r="K216" s="838"/>
      <c r="L216" s="838"/>
      <c r="M216" s="839"/>
      <c r="N216" s="766"/>
    </row>
    <row r="217" spans="1:15" s="43" customFormat="1" ht="13.5" thickBot="1">
      <c r="A217" s="845">
        <f>+A216+1</f>
        <v>25</v>
      </c>
      <c r="B217" s="505" t="s">
        <v>991</v>
      </c>
      <c r="C217" s="506"/>
      <c r="D217" s="840">
        <f t="shared" ref="D217:M217" si="71">SUM(D178:D215)</f>
        <v>-852391452.53000009</v>
      </c>
      <c r="E217" s="840">
        <f t="shared" si="71"/>
        <v>-950503547.64999986</v>
      </c>
      <c r="F217" s="841">
        <f t="shared" si="71"/>
        <v>-869333310.84500003</v>
      </c>
      <c r="G217" s="283">
        <f t="shared" si="71"/>
        <v>-19020435.895</v>
      </c>
      <c r="H217" s="283">
        <f t="shared" si="71"/>
        <v>-13093753.350000001</v>
      </c>
      <c r="I217" s="835">
        <f t="shared" si="71"/>
        <v>0</v>
      </c>
      <c r="J217" s="841">
        <f t="shared" si="71"/>
        <v>-920038453.25</v>
      </c>
      <c r="K217" s="283">
        <f t="shared" si="71"/>
        <v>-17879755.439999998</v>
      </c>
      <c r="L217" s="283">
        <f t="shared" si="71"/>
        <v>-12585338.959999999</v>
      </c>
      <c r="M217" s="835">
        <f t="shared" si="71"/>
        <v>0</v>
      </c>
      <c r="N217" s="766" t="str">
        <f>+"Sum by Column of Line "&amp;A177&amp;" Subparts"</f>
        <v>Sum by Column of Line 23 Subparts</v>
      </c>
    </row>
    <row r="218" spans="1:15" s="195" customFormat="1" ht="15">
      <c r="A218" s="845">
        <f t="shared" ref="A218:A227" si="72">+A217+1</f>
        <v>26</v>
      </c>
      <c r="B218" s="1735" t="s">
        <v>1036</v>
      </c>
      <c r="C218" s="1735"/>
      <c r="D218" s="549">
        <f t="shared" ref="D218:M218" si="73">+D208+D209</f>
        <v>-42614438.060000002</v>
      </c>
      <c r="E218" s="549">
        <f t="shared" si="73"/>
        <v>-38512584.619999997</v>
      </c>
      <c r="F218" s="744">
        <f t="shared" si="73"/>
        <v>-40563511.340000004</v>
      </c>
      <c r="G218" s="549">
        <f t="shared" si="73"/>
        <v>0</v>
      </c>
      <c r="H218" s="549">
        <f t="shared" si="73"/>
        <v>0</v>
      </c>
      <c r="I218" s="745">
        <f t="shared" si="73"/>
        <v>0</v>
      </c>
      <c r="J218" s="744">
        <f t="shared" si="73"/>
        <v>-38512584.619999997</v>
      </c>
      <c r="K218" s="549">
        <f t="shared" si="73"/>
        <v>0</v>
      </c>
      <c r="L218" s="549">
        <f t="shared" si="73"/>
        <v>0</v>
      </c>
      <c r="M218" s="745">
        <f t="shared" si="73"/>
        <v>0</v>
      </c>
      <c r="N218" s="45"/>
      <c r="O218" s="44"/>
    </row>
    <row r="219" spans="1:15">
      <c r="A219" s="845">
        <f t="shared" si="72"/>
        <v>27</v>
      </c>
      <c r="B219" s="1731" t="s">
        <v>1037</v>
      </c>
      <c r="C219" s="1731"/>
      <c r="D219" s="283">
        <f t="shared" ref="D219:M219" si="74">+D217-D218</f>
        <v>-809777014.47000003</v>
      </c>
      <c r="E219" s="283">
        <f t="shared" si="74"/>
        <v>-911990963.02999985</v>
      </c>
      <c r="F219" s="841">
        <f t="shared" si="74"/>
        <v>-828769799.505</v>
      </c>
      <c r="G219" s="283">
        <f t="shared" si="74"/>
        <v>-19020435.895</v>
      </c>
      <c r="H219" s="283">
        <f t="shared" si="74"/>
        <v>-13093753.350000001</v>
      </c>
      <c r="I219" s="835">
        <f t="shared" si="74"/>
        <v>0</v>
      </c>
      <c r="J219" s="841">
        <f t="shared" si="74"/>
        <v>-881525868.63</v>
      </c>
      <c r="K219" s="283">
        <f t="shared" si="74"/>
        <v>-17879755.439999998</v>
      </c>
      <c r="L219" s="283">
        <f t="shared" si="74"/>
        <v>-12585338.959999999</v>
      </c>
      <c r="M219" s="835">
        <f t="shared" si="74"/>
        <v>0</v>
      </c>
      <c r="N219" s="45" t="str">
        <f>+"Ln "&amp;A217&amp;" Less Ln "&amp;A218</f>
        <v>Ln 25 Less Ln 26</v>
      </c>
    </row>
    <row r="220" spans="1:15">
      <c r="A220" s="845">
        <f t="shared" si="72"/>
        <v>28</v>
      </c>
      <c r="B220" s="817"/>
      <c r="C220" s="817"/>
      <c r="D220" s="817"/>
      <c r="E220" s="172"/>
      <c r="F220" s="45"/>
      <c r="G220" s="242"/>
      <c r="H220" s="242"/>
      <c r="I220" s="242"/>
      <c r="J220" s="242"/>
      <c r="K220" s="242"/>
      <c r="L220" s="242"/>
      <c r="M220" s="242"/>
      <c r="N220" s="242"/>
    </row>
    <row r="221" spans="1:15">
      <c r="A221" s="845">
        <f t="shared" si="72"/>
        <v>29</v>
      </c>
      <c r="B221" s="1736" t="s">
        <v>888</v>
      </c>
      <c r="C221" s="1736"/>
      <c r="D221" s="1736"/>
      <c r="E221" s="1736"/>
      <c r="F221" s="1736"/>
      <c r="G221" s="1736"/>
      <c r="H221" s="1736"/>
      <c r="I221" s="45"/>
      <c r="J221" s="766"/>
      <c r="K221" s="766"/>
      <c r="L221" s="766"/>
      <c r="M221" s="766"/>
      <c r="N221" s="766"/>
    </row>
    <row r="222" spans="1:15" ht="13.9" customHeight="1">
      <c r="A222" s="845">
        <f t="shared" si="72"/>
        <v>30</v>
      </c>
      <c r="B222" s="1737"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22" s="1737"/>
      <c r="D222" s="1737"/>
      <c r="E222" s="1737"/>
      <c r="F222" s="1737"/>
      <c r="G222" s="1737"/>
      <c r="H222" s="1737"/>
      <c r="I222" s="1737"/>
      <c r="J222" s="1737"/>
      <c r="K222" s="1737"/>
      <c r="L222" s="1737"/>
      <c r="M222" s="1737"/>
      <c r="N222" s="767"/>
    </row>
    <row r="223" spans="1:15">
      <c r="A223" s="845">
        <f t="shared" si="72"/>
        <v>31</v>
      </c>
      <c r="B223" s="1736" t="str">
        <f>+"2.  ADIT items related only to Transmission are directly assigned to Column "&amp;G$5&amp;" for True-up and Column "&amp;K$5&amp;" for Projected"</f>
        <v>2.  ADIT items related only to Transmission are directly assigned to Column F for True-up and Column J for Projected</v>
      </c>
      <c r="C223" s="1736"/>
      <c r="D223" s="1736"/>
      <c r="E223" s="1736"/>
      <c r="F223" s="1736"/>
      <c r="G223" s="1736"/>
      <c r="H223" s="1736"/>
      <c r="I223" s="45"/>
      <c r="J223" s="766"/>
      <c r="K223" s="766"/>
      <c r="L223" s="766"/>
      <c r="M223" s="766"/>
      <c r="N223" s="766"/>
    </row>
    <row r="224" spans="1:15">
      <c r="A224" s="845">
        <f t="shared" si="72"/>
        <v>32</v>
      </c>
      <c r="B224" s="817"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24" s="817"/>
      <c r="D224" s="817"/>
      <c r="E224" s="817"/>
      <c r="F224" s="817"/>
      <c r="G224" s="817"/>
      <c r="H224" s="817"/>
      <c r="I224" s="817"/>
      <c r="J224" s="768"/>
      <c r="K224" s="768"/>
      <c r="L224" s="768"/>
      <c r="M224" s="768"/>
      <c r="N224" s="767"/>
    </row>
    <row r="225" spans="1:14">
      <c r="A225" s="845">
        <f t="shared" si="72"/>
        <v>33</v>
      </c>
      <c r="B225" s="817"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25" s="817"/>
      <c r="D225" s="817"/>
      <c r="E225" s="817"/>
      <c r="F225" s="817"/>
      <c r="G225" s="817"/>
      <c r="H225" s="817"/>
      <c r="I225" s="817"/>
      <c r="J225" s="818"/>
      <c r="K225" s="818"/>
      <c r="L225" s="818"/>
      <c r="M225" s="818"/>
      <c r="N225" s="766"/>
    </row>
    <row r="226" spans="1:14">
      <c r="A226" s="845">
        <f t="shared" si="72"/>
        <v>34</v>
      </c>
      <c r="B226" s="1730" t="s">
        <v>1730</v>
      </c>
      <c r="C226" s="1730"/>
      <c r="D226" s="1730"/>
      <c r="E226" s="1730"/>
      <c r="F226" s="1730"/>
      <c r="G226" s="1730"/>
      <c r="H226" s="1730"/>
      <c r="I226" s="1730"/>
      <c r="J226" s="1730"/>
      <c r="K226" s="1730"/>
      <c r="L226" s="1730"/>
      <c r="M226" s="1730"/>
      <c r="N226" s="1730"/>
    </row>
    <row r="227" spans="1:14" ht="13.15" customHeight="1">
      <c r="A227" s="845">
        <f t="shared" si="72"/>
        <v>35</v>
      </c>
      <c r="B227" s="1730" t="s">
        <v>1731</v>
      </c>
      <c r="C227" s="1730"/>
      <c r="D227" s="1730"/>
      <c r="E227" s="1730"/>
      <c r="F227" s="1730"/>
      <c r="G227" s="1730"/>
      <c r="H227" s="1730"/>
      <c r="I227" s="1730"/>
      <c r="J227" s="1730"/>
      <c r="K227" s="1730"/>
      <c r="L227" s="1730"/>
      <c r="M227" s="1730"/>
      <c r="N227" s="1730"/>
    </row>
    <row r="228" spans="1:14">
      <c r="A228" s="845"/>
      <c r="B228" s="196"/>
      <c r="C228" s="196"/>
      <c r="D228" s="196"/>
      <c r="E228" s="196"/>
      <c r="F228" s="196"/>
      <c r="G228" s="45"/>
      <c r="H228" s="45"/>
      <c r="I228" s="45"/>
      <c r="J228" s="45"/>
      <c r="K228" s="45"/>
      <c r="L228" s="45"/>
      <c r="M228" s="45"/>
      <c r="N228" s="45"/>
    </row>
    <row r="229" spans="1:14">
      <c r="A229" s="846"/>
      <c r="B229" s="196"/>
      <c r="C229" s="196"/>
      <c r="D229" s="196"/>
      <c r="E229" s="196"/>
      <c r="F229" s="196"/>
      <c r="G229" s="45"/>
      <c r="H229" s="45"/>
      <c r="I229" s="45"/>
      <c r="J229" s="45"/>
      <c r="K229" s="45"/>
      <c r="L229" s="45"/>
      <c r="M229" s="45"/>
      <c r="N229" s="45"/>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25">
    <mergeCell ref="A1:N1"/>
    <mergeCell ref="A2:N2"/>
    <mergeCell ref="F106:I106"/>
    <mergeCell ref="J106:M106"/>
    <mergeCell ref="A3:N3"/>
    <mergeCell ref="B103:C103"/>
    <mergeCell ref="A4:A5"/>
    <mergeCell ref="F17:I17"/>
    <mergeCell ref="J17:M17"/>
    <mergeCell ref="F6:I6"/>
    <mergeCell ref="J6:M6"/>
    <mergeCell ref="B227:N227"/>
    <mergeCell ref="B226:N226"/>
    <mergeCell ref="B219:C219"/>
    <mergeCell ref="F8:I8"/>
    <mergeCell ref="J8:M8"/>
    <mergeCell ref="J15:M15"/>
    <mergeCell ref="F15:I15"/>
    <mergeCell ref="B174:C174"/>
    <mergeCell ref="B223:H223"/>
    <mergeCell ref="B222:M222"/>
    <mergeCell ref="F177:I177"/>
    <mergeCell ref="J177:M177"/>
    <mergeCell ref="B221:H221"/>
    <mergeCell ref="B218:C218"/>
  </mergeCells>
  <phoneticPr fontId="0" type="noConversion"/>
  <printOptions horizontalCentered="1"/>
  <pageMargins left="0.7" right="0.7" top="0.7" bottom="0.7" header="0.3" footer="0.5"/>
  <pageSetup scale="47" fitToHeight="6" orientation="landscape" r:id="rId10"/>
  <headerFooter>
    <oddFooter>&amp;CPage &amp;P of &amp;N&amp;R&amp;A</oddFooter>
  </headerFooter>
  <rowBreaks count="1" manualBreakCount="1">
    <brk id="2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20</vt:i4>
      </vt:variant>
    </vt:vector>
  </HeadingPairs>
  <TitlesOfParts>
    <vt:vector size="48" baseType="lpstr">
      <vt:lpstr>MISO Cover</vt:lpstr>
      <vt:lpstr>Appendix A</vt:lpstr>
      <vt:lpstr>Explanatory Stmts</vt:lpstr>
      <vt:lpstr>WP01 True-Up</vt:lpstr>
      <vt:lpstr>WP02 Support</vt:lpstr>
      <vt:lpstr>WP03 W&amp;S</vt:lpstr>
      <vt:lpstr>WP04 PIS</vt:lpstr>
      <vt:lpstr>WP05 CapAds</vt:lpstr>
      <vt:lpstr>WP06 ADIT</vt:lpstr>
      <vt:lpstr>WP07 M&amp;S</vt:lpstr>
      <vt:lpstr>WP08 Prepay</vt:lpstr>
      <vt:lpstr>WP09 PHFU</vt:lpstr>
      <vt:lpstr>WP10 Storm</vt:lpstr>
      <vt:lpstr>WP11 Credits</vt:lpstr>
      <vt:lpstr>WP12 PBOP</vt:lpstr>
      <vt:lpstr>WP13 TOTI</vt:lpstr>
      <vt:lpstr>WP14 COC</vt:lpstr>
      <vt:lpstr>Supp WP 14 </vt:lpstr>
      <vt:lpstr>WP15 Radials</vt:lpstr>
      <vt:lpstr>WP16 Interconn</vt:lpstr>
      <vt:lpstr>WP17 Rev</vt:lpstr>
      <vt:lpstr>WP18 Deprec</vt:lpstr>
      <vt:lpstr>WP19 Load</vt:lpstr>
      <vt:lpstr>WP20 Reserves</vt:lpstr>
      <vt:lpstr>WP AJ1 MISO</vt:lpstr>
      <vt:lpstr>WP AJ2 ITC</vt:lpstr>
      <vt:lpstr>WP AJ3 HCM</vt:lpstr>
      <vt:lpstr>WP AJ4 Ouachita</vt:lpstr>
      <vt:lpstr>GP</vt:lpstr>
      <vt:lpstr>NP</vt:lpstr>
      <vt:lpstr>'Appendix A'!Print_Area</vt:lpstr>
      <vt:lpstr>'MISO Cover'!Print_Area</vt:lpstr>
      <vt:lpstr>'WP AJ2 ITC'!Print_Area</vt:lpstr>
      <vt:lpstr>'WP AJ4 Ouachita'!Print_Area</vt:lpstr>
      <vt:lpstr>'WP01 True-Up'!Print_Area</vt:lpstr>
      <vt:lpstr>'WP02 Support'!Print_Area</vt:lpstr>
      <vt:lpstr>'WP06 ADIT'!Print_Area</vt:lpstr>
      <vt:lpstr>'WP12 PBOP'!Print_Area</vt:lpstr>
      <vt:lpstr>'WP14 COC'!Print_Area</vt:lpstr>
      <vt:lpstr>'WP15 Radials'!Print_Area</vt:lpstr>
      <vt:lpstr>'Appendix A'!Print_Titles</vt:lpstr>
      <vt:lpstr>'WP01 True-Up'!Print_Titles</vt:lpstr>
      <vt:lpstr>'WP02 Support'!Print_Titles</vt:lpstr>
      <vt:lpstr>'WP06 ADIT'!Print_Titles</vt:lpstr>
      <vt:lpstr>'WP14 COC'!Print_Titles</vt:lpstr>
      <vt:lpstr>'WP15 Radials'!Print_Titles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BOWDEN, REBECCA L</cp:lastModifiedBy>
  <cp:lastPrinted>2015-10-30T01:02:19Z</cp:lastPrinted>
  <dcterms:created xsi:type="dcterms:W3CDTF">2004-01-21T20:42:01Z</dcterms:created>
  <dcterms:modified xsi:type="dcterms:W3CDTF">2015-10-30T01:02:33Z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