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8" yWindow="468" windowWidth="12960" windowHeight="9240" tabRatio="742" activeTab="3"/>
  </bookViews>
  <sheets>
    <sheet name="Explanatory Statement" sheetId="106" r:id="rId1"/>
    <sheet name="Variance" sheetId="97" r:id="rId2"/>
    <sheet name="MISO Cover" sheetId="88" r:id="rId3"/>
    <sheet name="Appendix A" sheetId="75" r:id="rId4"/>
    <sheet name="App A Support" sheetId="100" r:id="rId5"/>
    <sheet name="WP01 True-Up" sheetId="78" r:id="rId6"/>
    <sheet name="WP01 TU Support1" sheetId="104" r:id="rId7"/>
    <sheet name="WP01 TU Support2" sheetId="107" r:id="rId8"/>
    <sheet name="WP02 Support" sheetId="77" r:id="rId9"/>
    <sheet name="Support to WP02" sheetId="99" r:id="rId10"/>
    <sheet name="WP03 W&amp;S" sheetId="61" r:id="rId11"/>
    <sheet name="WP04 PIS" sheetId="62" r:id="rId12"/>
    <sheet name="WP04 Support" sheetId="105" r:id="rId13"/>
    <sheet name="WP04 Support 2" sheetId="112" r:id="rId14"/>
    <sheet name="WP05 CapAds" sheetId="84" r:id="rId15"/>
    <sheet name="WP06 ADIT" sheetId="2" r:id="rId16"/>
    <sheet name="WP06 ADIT Support" sheetId="101" r:id="rId17"/>
    <sheet name="WP07 M&amp;S" sheetId="91" r:id="rId18"/>
    <sheet name="WP08 Prepay" sheetId="73" r:id="rId19"/>
    <sheet name="WP09 PHFU" sheetId="58" r:id="rId20"/>
    <sheet name="WP10 Storm" sheetId="93" r:id="rId21"/>
    <sheet name="WP11 Credits" sheetId="60" r:id="rId22"/>
    <sheet name="WP12 PBOP" sheetId="57" r:id="rId23"/>
    <sheet name="WP13 TOTI" sheetId="49" r:id="rId24"/>
    <sheet name="WP14 COC" sheetId="44" r:id="rId25"/>
    <sheet name="WP15 Radials" sheetId="86" r:id="rId26"/>
    <sheet name="WP16 Interconn" sheetId="85" r:id="rId27"/>
    <sheet name="WP17 Rev" sheetId="51" r:id="rId28"/>
    <sheet name="WP17 Rev Support" sheetId="98" r:id="rId29"/>
    <sheet name="WP18 Deprec" sheetId="66" r:id="rId30"/>
    <sheet name="WP18 Depr Support" sheetId="108" r:id="rId31"/>
    <sheet name="WP19 Load" sheetId="67" r:id="rId32"/>
    <sheet name="WP20 Reserves" sheetId="74" r:id="rId33"/>
    <sheet name="WP21 Pension" sheetId="102" r:id="rId34"/>
    <sheet name="WP22 IT Adj" sheetId="110" r:id="rId35"/>
    <sheet name="WP22 Support" sheetId="111" r:id="rId36"/>
    <sheet name="WP AJ1 MISO" sheetId="55" r:id="rId37"/>
    <sheet name="WP AJ2 ITC" sheetId="56" r:id="rId38"/>
    <sheet name="WP AJ3 GPRD" sheetId="96" r:id="rId39"/>
    <sheet name="WP AJ4 LA Merger" sheetId="95"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 localSheetId="24">'[1]Header Data'!#REF!</definedName>
    <definedName name="\0">#N/A</definedName>
    <definedName name="\1" localSheetId="14">'[1]Header Data'!#REF!</definedName>
    <definedName name="\1" localSheetId="19">'[1]Header Data'!#REF!</definedName>
    <definedName name="\1">'[1]Header Data'!#REF!</definedName>
    <definedName name="\b">#N/A</definedName>
    <definedName name="\c">#N/A</definedName>
    <definedName name="\d">#N/A</definedName>
    <definedName name="\E" localSheetId="2">#REF!</definedName>
    <definedName name="\E" localSheetId="11">#REF!</definedName>
    <definedName name="\E" localSheetId="14">#REF!</definedName>
    <definedName name="\E" localSheetId="23">#REF!</definedName>
    <definedName name="\E" localSheetId="27">#REF!</definedName>
    <definedName name="\E">#REF!</definedName>
    <definedName name="\f">#N/A</definedName>
    <definedName name="\m">#N/A</definedName>
    <definedName name="\p" localSheetId="2">#REF!</definedName>
    <definedName name="\p" localSheetId="14">#REF!</definedName>
    <definedName name="\p" localSheetId="31">#REF!</definedName>
    <definedName name="\p">#REF!</definedName>
    <definedName name="__123Graph_A" localSheetId="11" hidden="1">'[2]AL2 151'!#REF!</definedName>
    <definedName name="__123Graph_A" localSheetId="14" hidden="1">'[2]AL2 151'!#REF!</definedName>
    <definedName name="__123Graph_A" localSheetId="27" hidden="1">'[2]AL2 151'!#REF!</definedName>
    <definedName name="__123Graph_A" localSheetId="30" hidden="1">'[3]AL2 151'!#REF!</definedName>
    <definedName name="__123Graph_A" hidden="1">'[2]AL2 151'!#REF!</definedName>
    <definedName name="__123Graph_B" localSheetId="14" hidden="1">'[2]AL2 151'!#REF!</definedName>
    <definedName name="__123Graph_B" localSheetId="27" hidden="1">'[2]AL2 151'!#REF!</definedName>
    <definedName name="__123Graph_B" localSheetId="30" hidden="1">'[3]AL2 151'!#REF!</definedName>
    <definedName name="__123Graph_B" localSheetId="31" hidden="1">#REF!</definedName>
    <definedName name="__123Graph_B" hidden="1">'[2]AL2 151'!#REF!</definedName>
    <definedName name="__123Graph_C" localSheetId="14" hidden="1">'[2]AL2 151'!#REF!</definedName>
    <definedName name="__123Graph_C" localSheetId="30" hidden="1">'[3]AL2 151'!#REF!</definedName>
    <definedName name="__123Graph_C" hidden="1">'[2]AL2 151'!#REF!</definedName>
    <definedName name="__123Graph_D" localSheetId="14" hidden="1">'[2]AL2 151'!#REF!</definedName>
    <definedName name="__123Graph_D" localSheetId="30" hidden="1">'[3]AL2 151'!#REF!</definedName>
    <definedName name="__123Graph_D" hidden="1">'[2]AL2 151'!#REF!</definedName>
    <definedName name="__123Graph_E" localSheetId="14" hidden="1">'[2]AL2 151'!#REF!</definedName>
    <definedName name="__123Graph_E" localSheetId="30" hidden="1">'[3]AL2 151'!#REF!</definedName>
    <definedName name="__123Graph_E" hidden="1">'[2]AL2 151'!#REF!</definedName>
    <definedName name="__123Graph_F" localSheetId="14" hidden="1">'[2]AL2 151'!#REF!</definedName>
    <definedName name="__123Graph_F" localSheetId="30" hidden="1">'[3]AL2 151'!#REF!</definedName>
    <definedName name="__123Graph_F" hidden="1">'[2]AL2 151'!#REF!</definedName>
    <definedName name="__123Graph_X" localSheetId="14" hidden="1">'[2]AL2 151'!#REF!</definedName>
    <definedName name="__123Graph_X" localSheetId="30" hidden="1">'[3]AL2 151'!#REF!</definedName>
    <definedName name="__123Graph_X" hidden="1">'[2]AL2 151'!#REF!</definedName>
    <definedName name="__CPK1" localSheetId="2">#REF!</definedName>
    <definedName name="__CPK1" localSheetId="11">#REF!</definedName>
    <definedName name="__CPK1" localSheetId="14">#REF!</definedName>
    <definedName name="__CPK1" localSheetId="23">#REF!</definedName>
    <definedName name="__CPK1" localSheetId="27">#REF!</definedName>
    <definedName name="__CPK1">#REF!</definedName>
    <definedName name="__CPK2" localSheetId="2">#REF!</definedName>
    <definedName name="__CPK2" localSheetId="11">#REF!</definedName>
    <definedName name="__CPK2" localSheetId="14">#REF!</definedName>
    <definedName name="__CPK2" localSheetId="23">#REF!</definedName>
    <definedName name="__CPK2" localSheetId="27">#REF!</definedName>
    <definedName name="__CPK2">#REF!</definedName>
    <definedName name="__CPK3" localSheetId="2">#REF!</definedName>
    <definedName name="__CPK3" localSheetId="11">#REF!</definedName>
    <definedName name="__CPK3" localSheetId="14">#REF!</definedName>
    <definedName name="__CPK3" localSheetId="23">#REF!</definedName>
    <definedName name="__CPK3" localSheetId="27">#REF!</definedName>
    <definedName name="__CPK3">#REF!</definedName>
    <definedName name="__EGR1">#N/A</definedName>
    <definedName name="__EGR2">#N/A</definedName>
    <definedName name="__EGR3">#N/A</definedName>
    <definedName name="__tet12" localSheetId="2" hidden="1">{"assumptions",#N/A,FALSE,"Scenario 1";"valuation",#N/A,FALSE,"Scenario 1"}</definedName>
    <definedName name="__tet12" localSheetId="11" hidden="1">{"assumptions",#N/A,FALSE,"Scenario 1";"valuation",#N/A,FALSE,"Scenario 1"}</definedName>
    <definedName name="__tet12" localSheetId="19" hidden="1">{"assumptions",#N/A,FALSE,"Scenario 1";"valuation",#N/A,FALSE,"Scenario 1"}</definedName>
    <definedName name="__tet12" localSheetId="30" hidden="1">{"assumptions",#N/A,FALSE,"Scenario 1";"valuation",#N/A,FALSE,"Scenario 1"}</definedName>
    <definedName name="__tet12" localSheetId="31" hidden="1">{"assumptions",#N/A,FALSE,"Scenario 1";"valuation",#N/A,FALSE,"Scenario 1"}</definedName>
    <definedName name="__tet12" hidden="1">{"assumptions",#N/A,FALSE,"Scenario 1";"valuation",#N/A,FALSE,"Scenario 1"}</definedName>
    <definedName name="__tet5" localSheetId="2" hidden="1">{"assumptions",#N/A,FALSE,"Scenario 1";"valuation",#N/A,FALSE,"Scenario 1"}</definedName>
    <definedName name="__tet5" localSheetId="11" hidden="1">{"assumptions",#N/A,FALSE,"Scenario 1";"valuation",#N/A,FALSE,"Scenario 1"}</definedName>
    <definedName name="__tet5" localSheetId="19" hidden="1">{"assumptions",#N/A,FALSE,"Scenario 1";"valuation",#N/A,FALSE,"Scenario 1"}</definedName>
    <definedName name="__tet5" localSheetId="30" hidden="1">{"assumptions",#N/A,FALSE,"Scenario 1";"valuation",#N/A,FALSE,"Scenario 1"}</definedName>
    <definedName name="__tet5" localSheetId="31" hidden="1">{"assumptions",#N/A,FALSE,"Scenario 1";"valuation",#N/A,FALSE,"Scenario 1"}</definedName>
    <definedName name="__tet5" hidden="1">{"assumptions",#N/A,FALSE,"Scenario 1";"valuation",#N/A,FALSE,"Scenario 1"}</definedName>
    <definedName name="_123Graph_B.1" localSheetId="2" hidden="1">#REF!</definedName>
    <definedName name="_123Graph_B.1" localSheetId="14" hidden="1">#REF!</definedName>
    <definedName name="_123Graph_B.1" localSheetId="30" hidden="1">#REF!</definedName>
    <definedName name="_123Graph_B.1" hidden="1">#REF!</definedName>
    <definedName name="_cp_text_1_402" localSheetId="3">'Appendix A'!#REF!</definedName>
    <definedName name="_CPK1" localSheetId="2">#REF!</definedName>
    <definedName name="_CPK1" localSheetId="11">#REF!</definedName>
    <definedName name="_CPK1" localSheetId="14">#REF!</definedName>
    <definedName name="_CPK1" localSheetId="23">#REF!</definedName>
    <definedName name="_CPK1" localSheetId="27">#REF!</definedName>
    <definedName name="_CPK1">#REF!</definedName>
    <definedName name="_CPK2" localSheetId="2">#REF!</definedName>
    <definedName name="_CPK2" localSheetId="11">#REF!</definedName>
    <definedName name="_CPK2" localSheetId="14">#REF!</definedName>
    <definedName name="_CPK2" localSheetId="23">#REF!</definedName>
    <definedName name="_CPK2" localSheetId="27">#REF!</definedName>
    <definedName name="_CPK2">#REF!</definedName>
    <definedName name="_CPK3" localSheetId="2">#REF!</definedName>
    <definedName name="_CPK3" localSheetId="11">#REF!</definedName>
    <definedName name="_CPK3" localSheetId="14">#REF!</definedName>
    <definedName name="_CPK3" localSheetId="23">#REF!</definedName>
    <definedName name="_CPK3" localSheetId="27">#REF!</definedName>
    <definedName name="_CPK3">#REF!</definedName>
    <definedName name="_Dist_Bin" localSheetId="2" hidden="1">#REF!</definedName>
    <definedName name="_Dist_Bin" localSheetId="14" hidden="1">#REF!</definedName>
    <definedName name="_Dist_Bin" localSheetId="30" hidden="1">#REF!</definedName>
    <definedName name="_Dist_Bin" localSheetId="31" hidden="1">#REF!</definedName>
    <definedName name="_Dist_Bin" hidden="1">#REF!</definedName>
    <definedName name="_Dist_Values" localSheetId="2" hidden="1">#REF!</definedName>
    <definedName name="_Dist_Values" localSheetId="14" hidden="1">#REF!</definedName>
    <definedName name="_Dist_Values" localSheetId="30" hidden="1">#REF!</definedName>
    <definedName name="_Dist_Values" localSheetId="31" hidden="1">#REF!</definedName>
    <definedName name="_Dist_Values" hidden="1">#REF!</definedName>
    <definedName name="_EGR1">#N/A</definedName>
    <definedName name="_EGR2">#N/A</definedName>
    <definedName name="_EGR3">#N/A</definedName>
    <definedName name="_Fill" localSheetId="2" hidden="1">#REF!</definedName>
    <definedName name="_Fill" localSheetId="11" hidden="1">#REF!</definedName>
    <definedName name="_Fill" localSheetId="14" hidden="1">#REF!</definedName>
    <definedName name="_Fill" localSheetId="23" hidden="1">#REF!</definedName>
    <definedName name="_Fill" localSheetId="27" hidden="1">#REF!</definedName>
    <definedName name="_Fill" localSheetId="30" hidden="1">#REF!</definedName>
    <definedName name="_Fill" localSheetId="31" hidden="1">#REF!</definedName>
    <definedName name="_Fill" hidden="1">#REF!</definedName>
    <definedName name="_Fill.1" localSheetId="2" hidden="1">#REF!</definedName>
    <definedName name="_Fill.1" localSheetId="11" hidden="1">#REF!</definedName>
    <definedName name="_Fill.1" localSheetId="14" hidden="1">#REF!</definedName>
    <definedName name="_Fill.1" localSheetId="30" hidden="1">#REF!</definedName>
    <definedName name="_Fill.1" hidden="1">#REF!</definedName>
    <definedName name="_ftn1" localSheetId="5">'WP01 True-Up'!#REF!</definedName>
    <definedName name="_ftn1" localSheetId="14">'WP05 CapAds'!#REF!</definedName>
    <definedName name="_ftn2" localSheetId="5">'WP01 True-Up'!#REF!</definedName>
    <definedName name="_ftn2" localSheetId="14">'WP05 CapAds'!#REF!</definedName>
    <definedName name="_ftnref1" localSheetId="5">'WP01 True-Up'!#REF!</definedName>
    <definedName name="_ftnref1" localSheetId="14">'WP05 CapAds'!#REF!</definedName>
    <definedName name="_ftnref2" localSheetId="5">'WP01 True-Up'!#REF!</definedName>
    <definedName name="_ftnref2" localSheetId="14">'WP05 CapAds'!#REF!</definedName>
    <definedName name="_Key.1" localSheetId="2" hidden="1">#REF!</definedName>
    <definedName name="_Key.1" localSheetId="11" hidden="1">#REF!</definedName>
    <definedName name="_Key.1" localSheetId="14" hidden="1">#REF!</definedName>
    <definedName name="_Key.1" localSheetId="30" hidden="1">#REF!</definedName>
    <definedName name="_Key.1" hidden="1">#REF!</definedName>
    <definedName name="_Key1" localSheetId="2" hidden="1">#REF!</definedName>
    <definedName name="_Key1" localSheetId="5" hidden="1">#REF!</definedName>
    <definedName name="_Key1" localSheetId="14" hidden="1">#REF!</definedName>
    <definedName name="_Key1" localSheetId="23" hidden="1">#REF!</definedName>
    <definedName name="_Key1" localSheetId="27" hidden="1">#REF!</definedName>
    <definedName name="_Key1" localSheetId="30" hidden="1">#REF!</definedName>
    <definedName name="_Key1" localSheetId="31" hidden="1">#REF!</definedName>
    <definedName name="_Key1" hidden="1">#REF!</definedName>
    <definedName name="_MatInverse_In" localSheetId="2" hidden="1">#REF!</definedName>
    <definedName name="_MatInverse_In" localSheetId="14" hidden="1">#REF!</definedName>
    <definedName name="_MatInverse_In" localSheetId="30" hidden="1">#REF!</definedName>
    <definedName name="_MatInverse_In" localSheetId="31" hidden="1">#REF!</definedName>
    <definedName name="_MatInverse_In" hidden="1">#REF!</definedName>
    <definedName name="_MatInverse_Out" localSheetId="2" hidden="1">#REF!</definedName>
    <definedName name="_MatInverse_Out" localSheetId="14" hidden="1">#REF!</definedName>
    <definedName name="_MatInverse_Out" localSheetId="30" hidden="1">#REF!</definedName>
    <definedName name="_MatInverse_Out" localSheetId="31" hidden="1">#REF!</definedName>
    <definedName name="_MatInverse_Out" hidden="1">#REF!</definedName>
    <definedName name="_MatMult_A" localSheetId="2" hidden="1">#REF!</definedName>
    <definedName name="_MatMult_A" localSheetId="14" hidden="1">#REF!</definedName>
    <definedName name="_MatMult_A" localSheetId="30" hidden="1">#REF!</definedName>
    <definedName name="_MatMult_A" localSheetId="31" hidden="1">#REF!</definedName>
    <definedName name="_MatMult_A" hidden="1">#REF!</definedName>
    <definedName name="_MatMult_AxB" localSheetId="2" hidden="1">#REF!</definedName>
    <definedName name="_MatMult_AxB" localSheetId="14" hidden="1">#REF!</definedName>
    <definedName name="_MatMult_AxB" localSheetId="30" hidden="1">#REF!</definedName>
    <definedName name="_MatMult_AxB" localSheetId="31" hidden="1">#REF!</definedName>
    <definedName name="_MatMult_AxB" hidden="1">#REF!</definedName>
    <definedName name="_MatMult_B" localSheetId="2" hidden="1">#REF!</definedName>
    <definedName name="_MatMult_B" localSheetId="14" hidden="1">#REF!</definedName>
    <definedName name="_MatMult_B" localSheetId="30" hidden="1">#REF!</definedName>
    <definedName name="_MatMult_B" localSheetId="31" hidden="1">#REF!</definedName>
    <definedName name="_MatMult_B" hidden="1">#REF!</definedName>
    <definedName name="_Order.1" hidden="1">255</definedName>
    <definedName name="_Order1" localSheetId="5" hidden="1">255</definedName>
    <definedName name="_Order1" localSheetId="14" hidden="1">255</definedName>
    <definedName name="_Order1" localSheetId="31" hidden="1">255</definedName>
    <definedName name="_Order1" hidden="1">0</definedName>
    <definedName name="_Order2" hidden="1">255</definedName>
    <definedName name="_Parse_In" localSheetId="2" hidden="1">#REF!</definedName>
    <definedName name="_Parse_In" localSheetId="14" hidden="1">#REF!</definedName>
    <definedName name="_Parse_In" localSheetId="30" hidden="1">#REF!</definedName>
    <definedName name="_Parse_In" localSheetId="31" hidden="1">#REF!</definedName>
    <definedName name="_Parse_In" hidden="1">#REF!</definedName>
    <definedName name="_Parse_Out" localSheetId="2" hidden="1">#REF!</definedName>
    <definedName name="_Parse_Out" localSheetId="14" hidden="1">#REF!</definedName>
    <definedName name="_Parse_Out" localSheetId="30" hidden="1">#REF!</definedName>
    <definedName name="_Parse_Out" localSheetId="31" hidden="1">#REF!</definedName>
    <definedName name="_Parse_Out" hidden="1">#REF!</definedName>
    <definedName name="_Regression_Out" localSheetId="2" hidden="1">#REF!</definedName>
    <definedName name="_Regression_Out" localSheetId="14" hidden="1">#REF!</definedName>
    <definedName name="_Regression_Out" localSheetId="30" hidden="1">#REF!</definedName>
    <definedName name="_Regression_Out" localSheetId="31" hidden="1">#REF!</definedName>
    <definedName name="_Regression_Out" hidden="1">#REF!</definedName>
    <definedName name="_Regression_X" localSheetId="2" hidden="1">#REF!</definedName>
    <definedName name="_Regression_X" localSheetId="14" hidden="1">#REF!</definedName>
    <definedName name="_Regression_X" localSheetId="30" hidden="1">#REF!</definedName>
    <definedName name="_Regression_X" localSheetId="31" hidden="1">#REF!</definedName>
    <definedName name="_Regression_X" hidden="1">#REF!</definedName>
    <definedName name="_Regression_Y" localSheetId="2" hidden="1">#REF!</definedName>
    <definedName name="_Regression_Y" localSheetId="14" hidden="1">#REF!</definedName>
    <definedName name="_Regression_Y" localSheetId="30" hidden="1">#REF!</definedName>
    <definedName name="_Regression_Y" localSheetId="31" hidden="1">#REF!</definedName>
    <definedName name="_Regression_Y" hidden="1">#REF!</definedName>
    <definedName name="_Sort" localSheetId="2" hidden="1">#REF!</definedName>
    <definedName name="_Sort" localSheetId="5" hidden="1">#REF!</definedName>
    <definedName name="_Sort" localSheetId="14" hidden="1">#REF!</definedName>
    <definedName name="_Sort" localSheetId="23" hidden="1">#REF!</definedName>
    <definedName name="_Sort" localSheetId="27" hidden="1">#REF!</definedName>
    <definedName name="_Sort" localSheetId="30" hidden="1">#REF!</definedName>
    <definedName name="_Sort" localSheetId="31" hidden="1">#REF!</definedName>
    <definedName name="_Sort" hidden="1">#REF!</definedName>
    <definedName name="_Sort.1" localSheetId="2" hidden="1">#REF!</definedName>
    <definedName name="_Sort.1" localSheetId="14" hidden="1">#REF!</definedName>
    <definedName name="_Sort.1" localSheetId="30" hidden="1">#REF!</definedName>
    <definedName name="_Sort.1" hidden="1">#REF!</definedName>
    <definedName name="_Table1_Out" localSheetId="2" hidden="1">#REF!</definedName>
    <definedName name="_Table1_Out" localSheetId="14" hidden="1">#REF!</definedName>
    <definedName name="_Table1_Out" localSheetId="30" hidden="1">#REF!</definedName>
    <definedName name="_Table1_Out" localSheetId="31" hidden="1">#REF!</definedName>
    <definedName name="_Table1_Out" hidden="1">#REF!</definedName>
    <definedName name="_tet12" localSheetId="2" hidden="1">{"assumptions",#N/A,FALSE,"Scenario 1";"valuation",#N/A,FALSE,"Scenario 1"}</definedName>
    <definedName name="_tet12" localSheetId="11" hidden="1">{"assumptions",#N/A,FALSE,"Scenario 1";"valuation",#N/A,FALSE,"Scenario 1"}</definedName>
    <definedName name="_tet12" localSheetId="19" hidden="1">{"assumptions",#N/A,FALSE,"Scenario 1";"valuation",#N/A,FALSE,"Scenario 1"}</definedName>
    <definedName name="_tet12" localSheetId="30" hidden="1">{"assumptions",#N/A,FALSE,"Scenario 1";"valuation",#N/A,FALSE,"Scenario 1"}</definedName>
    <definedName name="_tet12" localSheetId="31" hidden="1">{"assumptions",#N/A,FALSE,"Scenario 1";"valuation",#N/A,FALSE,"Scenario 1"}</definedName>
    <definedName name="_tet12" hidden="1">{"assumptions",#N/A,FALSE,"Scenario 1";"valuation",#N/A,FALSE,"Scenario 1"}</definedName>
    <definedName name="_tet5" localSheetId="2" hidden="1">{"assumptions",#N/A,FALSE,"Scenario 1";"valuation",#N/A,FALSE,"Scenario 1"}</definedName>
    <definedName name="_tet5" localSheetId="11" hidden="1">{"assumptions",#N/A,FALSE,"Scenario 1";"valuation",#N/A,FALSE,"Scenario 1"}</definedName>
    <definedName name="_tet5" localSheetId="19" hidden="1">{"assumptions",#N/A,FALSE,"Scenario 1";"valuation",#N/A,FALSE,"Scenario 1"}</definedName>
    <definedName name="_tet5" localSheetId="30" hidden="1">{"assumptions",#N/A,FALSE,"Scenario 1";"valuation",#N/A,FALSE,"Scenario 1"}</definedName>
    <definedName name="_tet5" localSheetId="31" hidden="1">{"assumptions",#N/A,FALSE,"Scenario 1";"valuation",#N/A,FALSE,"Scenario 1"}</definedName>
    <definedName name="_tet5" hidden="1">{"assumptions",#N/A,FALSE,"Scenario 1";"valuation",#N/A,FALSE,"Scenario 1"}</definedName>
    <definedName name="A" localSheetId="2">#REF!</definedName>
    <definedName name="A" localSheetId="11">#REF!</definedName>
    <definedName name="A" localSheetId="14">#REF!</definedName>
    <definedName name="A" localSheetId="23">#REF!</definedName>
    <definedName name="A" localSheetId="27">#REF!</definedName>
    <definedName name="a" localSheetId="31" hidden="1">{"LBO Summary",#N/A,FALSE,"Summary"}</definedName>
    <definedName name="A">#REF!</definedName>
    <definedName name="a.1" localSheetId="2" hidden="1">{"LBO Summary",#N/A,FALSE,"Summary"}</definedName>
    <definedName name="a.1" localSheetId="11" hidden="1">{"LBO Summary",#N/A,FALSE,"Summary"}</definedName>
    <definedName name="a.1" localSheetId="19" hidden="1">{"LBO Summary",#N/A,FALSE,"Summary"}</definedName>
    <definedName name="a.1" localSheetId="30" hidden="1">{"LBO Summary",#N/A,FALSE,"Summary"}</definedName>
    <definedName name="a.1" hidden="1">{"LBO Summary",#N/A,FALSE,"Summary"}</definedName>
    <definedName name="above">OFFSET(!A1,-1,0)</definedName>
    <definedName name="ACCTTextLen" localSheetId="2">#REF!</definedName>
    <definedName name="ACCTTextLen" localSheetId="11">#REF!</definedName>
    <definedName name="ACCTTextLen" localSheetId="14">#REF!</definedName>
    <definedName name="ACCTTextLen" localSheetId="23">#REF!</definedName>
    <definedName name="ACCTTextLen" localSheetId="27">#REF!</definedName>
    <definedName name="ACCTTextLen">#REF!</definedName>
    <definedName name="ACTTextLen" localSheetId="2">#REF!</definedName>
    <definedName name="ACTTextLen" localSheetId="11">#REF!</definedName>
    <definedName name="ACTTextLen" localSheetId="14">#REF!</definedName>
    <definedName name="ACTTextLen" localSheetId="23">#REF!</definedName>
    <definedName name="ACTTextLen">#REF!</definedName>
    <definedName name="ADIT_TST" localSheetId="2">'[4]A.2 PTP'!$P$55</definedName>
    <definedName name="ADIT_TST" localSheetId="11">'[4]A.2 PTP'!$P$55</definedName>
    <definedName name="ADIT_TST" localSheetId="31">'[4]A.2 PTP'!$P$55</definedName>
    <definedName name="ADIT_TST">'[4]A.2 PTP'!$P$55</definedName>
    <definedName name="ADTL" localSheetId="2">'[4]C. Input'!$F$144</definedName>
    <definedName name="ADTL" localSheetId="11">'[4]C. Input'!$F$144</definedName>
    <definedName name="ADTL" localSheetId="31">'[4]C. Input'!$F$144</definedName>
    <definedName name="ADTL">'[4]C. Input'!$F$144</definedName>
    <definedName name="AG_TST" localSheetId="2">'[4]A.2 PTP'!$P$111</definedName>
    <definedName name="AG_TST" localSheetId="11">'[4]A.2 PTP'!$P$111</definedName>
    <definedName name="AG_TST" localSheetId="31">'[4]A.2 PTP'!$P$111</definedName>
    <definedName name="AG_TST">'[4]A.2 PTP'!$P$111</definedName>
    <definedName name="AGXP" localSheetId="2">'[4]C. Input'!$F$201</definedName>
    <definedName name="AGXP" localSheetId="11">'[4]C. Input'!$F$201</definedName>
    <definedName name="AGXP" localSheetId="31">'[4]C. Input'!$F$201</definedName>
    <definedName name="AGXP">'[4]C. Input'!$F$201</definedName>
    <definedName name="Allocator.gross.plant" localSheetId="2">'[5]Appendix A'!$H$30</definedName>
    <definedName name="Allocator.gross.plant">'[5]Appendix A'!$H$30</definedName>
    <definedName name="Allocator.net.plant" localSheetId="2">'[5]Appendix A'!$H$33</definedName>
    <definedName name="Allocator.net.plant">'[5]Appendix A'!$H$33</definedName>
    <definedName name="Allocator.wages.salary" localSheetId="2">'[5]Appendix A'!$H$18</definedName>
    <definedName name="Allocator.wages.salary">'[5]Appendix A'!$H$18</definedName>
    <definedName name="ALOC" localSheetId="2">#REF!</definedName>
    <definedName name="ALOC" localSheetId="11">#REF!</definedName>
    <definedName name="ALOC" localSheetId="14">#REF!</definedName>
    <definedName name="ALOC" localSheetId="23">#REF!</definedName>
    <definedName name="ALOC">#REF!</definedName>
    <definedName name="ALOC_2" localSheetId="2">#REF!</definedName>
    <definedName name="ALOC_2" localSheetId="11">#REF!</definedName>
    <definedName name="ALOC_2" localSheetId="14">#REF!</definedName>
    <definedName name="ALOC_2" localSheetId="23">#REF!</definedName>
    <definedName name="ALOC_2">#REF!</definedName>
    <definedName name="Amort_04" localSheetId="2">'[4]D.16.1.2 Table B 2004'!$A$24:$U$35</definedName>
    <definedName name="Amort_04" localSheetId="11">'[4]D.16.1.2 Table B 2004'!$A$24:$U$35</definedName>
    <definedName name="Amort_04" localSheetId="31">'[4]D.16.1.2 Table B 2004'!$A$24:$U$35</definedName>
    <definedName name="Amort_04">'[4]D.16.1.2 Table B 2004'!$A$24:$U$35</definedName>
    <definedName name="Amort_05" localSheetId="2">'[4]D.16.1.3 Table B 2005'!$A$24:$U$36</definedName>
    <definedName name="Amort_05" localSheetId="11">'[4]D.16.1.3 Table B 2005'!$A$24:$U$36</definedName>
    <definedName name="Amort_05" localSheetId="31">'[4]D.16.1.3 Table B 2005'!$A$24:$U$36</definedName>
    <definedName name="Amort_05">'[4]D.16.1.3 Table B 2005'!$A$24:$U$36</definedName>
    <definedName name="Amort_06" localSheetId="2">'[4]D.16.1.4 Table B 2006'!$A$24:$U$37</definedName>
    <definedName name="Amort_06" localSheetId="11">'[4]D.16.1.4 Table B 2006'!$A$24:$U$37</definedName>
    <definedName name="Amort_06" localSheetId="31">'[4]D.16.1.4 Table B 2006'!$A$24:$U$37</definedName>
    <definedName name="Amort_06">'[4]D.16.1.4 Table B 2006'!$A$24:$U$37</definedName>
    <definedName name="Amort_07" localSheetId="2">'[4]D.16.1.5 Table B 2007'!$A$24:$U$38</definedName>
    <definedName name="Amort_07" localSheetId="11">'[4]D.16.1.5 Table B 2007'!$A$24:$U$38</definedName>
    <definedName name="Amort_07" localSheetId="31">'[4]D.16.1.5 Table B 2007'!$A$24:$U$38</definedName>
    <definedName name="Amort_07">'[4]D.16.1.5 Table B 2007'!$A$24:$U$38</definedName>
    <definedName name="Amort_08" localSheetId="2">'[4]D.16.1.6 Table B 2008'!$A$24:$U$39</definedName>
    <definedName name="Amort_08" localSheetId="11">'[4]D.16.1.6 Table B 2008'!$A$24:$U$39</definedName>
    <definedName name="Amort_08" localSheetId="31">'[4]D.16.1.6 Table B 2008'!$A$24:$U$39</definedName>
    <definedName name="Amort_08">'[4]D.16.1.6 Table B 2008'!$A$24:$U$39</definedName>
    <definedName name="Amort_09" localSheetId="2">'[4]D.16.1.7 Table B 2009'!$A$24:$U$39</definedName>
    <definedName name="Amort_09" localSheetId="11">'[4]D.16.1.7 Table B 2009'!$A$24:$U$39</definedName>
    <definedName name="Amort_09" localSheetId="31">'[4]D.16.1.7 Table B 2009'!$A$24:$U$39</definedName>
    <definedName name="Amort_09">'[4]D.16.1.7 Table B 2009'!$A$24:$U$39</definedName>
    <definedName name="Amort_10" localSheetId="2">'[4]D.16.1.8 Table B 2010'!$A$24:$U$39</definedName>
    <definedName name="Amort_10" localSheetId="11">'[4]D.16.1.8 Table B 2010'!$A$24:$U$39</definedName>
    <definedName name="Amort_10" localSheetId="31">'[4]D.16.1.8 Table B 2010'!$A$24:$U$39</definedName>
    <definedName name="Amort_10">'[4]D.16.1.8 Table B 2010'!$A$24:$U$39</definedName>
    <definedName name="Amort_11" localSheetId="2">'[4]D.16.1.9 Table B 2011'!$A$24:$U$39</definedName>
    <definedName name="Amort_11" localSheetId="11">'[4]D.16.1.9 Table B 2011'!$A$24:$U$39</definedName>
    <definedName name="Amort_11" localSheetId="31">'[4]D.16.1.9 Table B 2011'!$A$24:$U$39</definedName>
    <definedName name="Amort_11">'[4]D.16.1.9 Table B 2011'!$A$24:$U$39</definedName>
    <definedName name="Amort_12" localSheetId="2">'[4]D.16.1.10 Table B 2012'!$A$24:$U$39</definedName>
    <definedName name="Amort_12" localSheetId="11">'[4]D.16.1.10 Table B 2012'!$A$24:$U$39</definedName>
    <definedName name="Amort_12" localSheetId="31">'[4]D.16.1.10 Table B 2012'!$A$24:$U$39</definedName>
    <definedName name="Amort_12">'[4]D.16.1.10 Table B 2012'!$A$24:$U$39</definedName>
    <definedName name="AMOUNT" localSheetId="2">#REF!</definedName>
    <definedName name="AMOUNT" localSheetId="11">#REF!</definedName>
    <definedName name="AMOUNT" localSheetId="14">#REF!</definedName>
    <definedName name="AMOUNT" localSheetId="23">#REF!</definedName>
    <definedName name="AMOUNT">#REF!</definedName>
    <definedName name="APR">#N/A</definedName>
    <definedName name="ARB_04" localSheetId="2">'[4]D.16.1.2 Table B 2004'!$A$39:$U$50</definedName>
    <definedName name="ARB_04" localSheetId="11">'[4]D.16.1.2 Table B 2004'!$A$39:$U$50</definedName>
    <definedName name="ARB_04" localSheetId="31">'[4]D.16.1.2 Table B 2004'!$A$39:$U$50</definedName>
    <definedName name="ARB_04">'[4]D.16.1.2 Table B 2004'!$A$39:$U$50</definedName>
    <definedName name="ARB_05" localSheetId="2">'[4]D.16.1.3 Table B 2005'!$A$40:$U$52</definedName>
    <definedName name="ARB_05" localSheetId="11">'[4]D.16.1.3 Table B 2005'!$A$40:$U$52</definedName>
    <definedName name="ARB_05" localSheetId="31">'[4]D.16.1.3 Table B 2005'!$A$40:$U$52</definedName>
    <definedName name="ARB_05">'[4]D.16.1.3 Table B 2005'!$A$40:$U$52</definedName>
    <definedName name="ARB_06" localSheetId="2">'[4]D.16.1.4 Table B 2006'!$A$41:$U$54</definedName>
    <definedName name="ARB_06" localSheetId="11">'[4]D.16.1.4 Table B 2006'!$A$41:$U$54</definedName>
    <definedName name="ARB_06" localSheetId="31">'[4]D.16.1.4 Table B 2006'!$A$41:$U$54</definedName>
    <definedName name="ARB_06">'[4]D.16.1.4 Table B 2006'!$A$41:$U$54</definedName>
    <definedName name="ARB_07" localSheetId="2">'[4]D.16.1.5 Table B 2007'!$A$42:$U$56</definedName>
    <definedName name="ARB_07" localSheetId="11">'[4]D.16.1.5 Table B 2007'!$A$42:$U$56</definedName>
    <definedName name="ARB_07" localSheetId="31">'[4]D.16.1.5 Table B 2007'!$A$42:$U$56</definedName>
    <definedName name="ARB_07">'[4]D.16.1.5 Table B 2007'!$A$42:$U$56</definedName>
    <definedName name="ARB_08" localSheetId="2">'[4]D.16.1.6 Table B 2008'!$A$43:$U$58</definedName>
    <definedName name="ARB_08" localSheetId="11">'[4]D.16.1.6 Table B 2008'!$A$43:$U$58</definedName>
    <definedName name="ARB_08" localSheetId="31">'[4]D.16.1.6 Table B 2008'!$A$43:$U$58</definedName>
    <definedName name="ARB_08">'[4]D.16.1.6 Table B 2008'!$A$43:$U$58</definedName>
    <definedName name="ARB_09" localSheetId="2">'[4]D.16.1.7 Table B 2009'!$A$43:$U$58</definedName>
    <definedName name="ARB_09" localSheetId="11">'[4]D.16.1.7 Table B 2009'!$A$43:$U$58</definedName>
    <definedName name="ARB_09" localSheetId="31">'[4]D.16.1.7 Table B 2009'!$A$43:$U$58</definedName>
    <definedName name="ARB_09">'[4]D.16.1.7 Table B 2009'!$A$43:$U$58</definedName>
    <definedName name="ARB_10" localSheetId="2">'[4]D.16.1.8 Table B 2010'!$A$43:$U$58</definedName>
    <definedName name="ARB_10" localSheetId="11">'[4]D.16.1.8 Table B 2010'!$A$43:$U$58</definedName>
    <definedName name="ARB_10" localSheetId="31">'[4]D.16.1.8 Table B 2010'!$A$43:$U$58</definedName>
    <definedName name="ARB_10">'[4]D.16.1.8 Table B 2010'!$A$43:$U$58</definedName>
    <definedName name="ARB_11" localSheetId="2">'[4]D.16.1.9 Table B 2011'!$A$43:$U$58</definedName>
    <definedName name="ARB_11" localSheetId="11">'[4]D.16.1.9 Table B 2011'!$A$43:$U$58</definedName>
    <definedName name="ARB_11" localSheetId="31">'[4]D.16.1.9 Table B 2011'!$A$43:$U$58</definedName>
    <definedName name="ARB_11">'[4]D.16.1.9 Table B 2011'!$A$43:$U$58</definedName>
    <definedName name="AREA">#N/A</definedName>
    <definedName name="AS2DocOpenMode" hidden="1">"AS2DocumentEdit"</definedName>
    <definedName name="ASD_LEXTERNAL" localSheetId="2">#REF!</definedName>
    <definedName name="ASD_LEXTERNAL" localSheetId="14">#REF!</definedName>
    <definedName name="ASD_LEXTERNAL">#REF!</definedName>
    <definedName name="AUG">#N/A</definedName>
    <definedName name="AVG">#N/A</definedName>
    <definedName name="B" localSheetId="2">#REF!</definedName>
    <definedName name="B" localSheetId="11">#REF!</definedName>
    <definedName name="B" localSheetId="14">#REF!</definedName>
    <definedName name="B" localSheetId="23">#REF!</definedName>
    <definedName name="B" localSheetId="27">#REF!</definedName>
    <definedName name="B">#REF!</definedName>
    <definedName name="BadErrMsg" localSheetId="2">#REF!</definedName>
    <definedName name="BadErrMsg" localSheetId="11">#REF!</definedName>
    <definedName name="BadErrMsg" localSheetId="14">#REF!</definedName>
    <definedName name="BadErrMsg" localSheetId="23">#REF!</definedName>
    <definedName name="BadErrMsg" localSheetId="27">#REF!</definedName>
    <definedName name="BadErrMsg">#REF!</definedName>
    <definedName name="BalanceSheet" localSheetId="2">#REF!</definedName>
    <definedName name="BalanceSheet" localSheetId="11">#REF!</definedName>
    <definedName name="BalanceSheet" localSheetId="14">#REF!</definedName>
    <definedName name="BalanceSheet" localSheetId="23">#REF!</definedName>
    <definedName name="BalanceSheet" localSheetId="27">#REF!</definedName>
    <definedName name="BalanceSheet">#REF!</definedName>
    <definedName name="below">OFFSET(!A1,1,0)</definedName>
    <definedName name="Bio_Flora" localSheetId="2">#REF!</definedName>
    <definedName name="Bio_Flora" localSheetId="14">#REF!</definedName>
    <definedName name="Bio_Flora" localSheetId="23">#REF!</definedName>
    <definedName name="Bio_Flora">#REF!</definedName>
    <definedName name="BLANK_ACCOUNT" localSheetId="2">#REF!</definedName>
    <definedName name="BLANK_ACCOUNT" localSheetId="14">#REF!</definedName>
    <definedName name="BLANK_ACCOUNT" localSheetId="31">#REF!</definedName>
    <definedName name="BLANK_ACCOUNT">#REF!</definedName>
    <definedName name="C_" localSheetId="11">'[6]RR 8 2'!#REF!</definedName>
    <definedName name="C_" localSheetId="14">'[6]RR 8 2'!#REF!</definedName>
    <definedName name="C_">'[6]RR 8 2'!#REF!</definedName>
    <definedName name="CALC_C03" localSheetId="2">#REF!</definedName>
    <definedName name="CALC_C03" localSheetId="11">#REF!</definedName>
    <definedName name="CALC_C03" localSheetId="14">#REF!</definedName>
    <definedName name="CALC_C03" localSheetId="23">#REF!</definedName>
    <definedName name="CALC_C03" localSheetId="27">#REF!</definedName>
    <definedName name="CALC_C03">#REF!</definedName>
    <definedName name="CALC_C04" localSheetId="2">#REF!</definedName>
    <definedName name="CALC_C04" localSheetId="11">#REF!</definedName>
    <definedName name="CALC_C04" localSheetId="14">#REF!</definedName>
    <definedName name="CALC_C04" localSheetId="23">#REF!</definedName>
    <definedName name="CALC_C04" localSheetId="27">#REF!</definedName>
    <definedName name="CALC_C04">#REF!</definedName>
    <definedName name="CALC_C09" localSheetId="2">#REF!</definedName>
    <definedName name="CALC_C09" localSheetId="11">#REF!</definedName>
    <definedName name="CALC_C09" localSheetId="14">#REF!</definedName>
    <definedName name="CALC_C09" localSheetId="23">#REF!</definedName>
    <definedName name="CALC_C09" localSheetId="27">#REF!</definedName>
    <definedName name="CALC_C09">#REF!</definedName>
    <definedName name="CALC_LRG" localSheetId="2">#REF!</definedName>
    <definedName name="CALC_LRG" localSheetId="14">#REF!</definedName>
    <definedName name="CALC_LRG" localSheetId="23">#REF!</definedName>
    <definedName name="CALC_LRG">#REF!</definedName>
    <definedName name="CALC_XLG" localSheetId="2">#REF!</definedName>
    <definedName name="CALC_XLG" localSheetId="14">#REF!</definedName>
    <definedName name="CALC_XLG" localSheetId="23">#REF!</definedName>
    <definedName name="CALC_XLG">#REF!</definedName>
    <definedName name="CASCADE" localSheetId="2">#REF!</definedName>
    <definedName name="CASCADE" localSheetId="14">#REF!</definedName>
    <definedName name="CASCADE" localSheetId="31">#REF!</definedName>
    <definedName name="CASCADE">#REF!</definedName>
    <definedName name="CC_TST" localSheetId="2">'[4]A.2 PTP'!$P$33</definedName>
    <definedName name="CC_TST" localSheetId="11">'[4]A.2 PTP'!$P$33</definedName>
    <definedName name="CC_TST" localSheetId="31">'[4]A.2 PTP'!$P$33</definedName>
    <definedName name="CC_TST">'[4]A.2 PTP'!$P$33</definedName>
    <definedName name="CE" localSheetId="2">'MISO Cover'!$K$206</definedName>
    <definedName name="CE" localSheetId="11">'[4]C. Input'!$F$37</definedName>
    <definedName name="CE" localSheetId="31">'[4]C. Input'!$F$37</definedName>
    <definedName name="CE">'[4]C. Input'!$F$37</definedName>
    <definedName name="CE_EAI" localSheetId="2">'[4]C. Input'!$I$37</definedName>
    <definedName name="CE_EAI" localSheetId="11">'[4]C. Input'!$I$37</definedName>
    <definedName name="CE_EAI" localSheetId="31">'[4]C. Input'!$I$37</definedName>
    <definedName name="CE_EAI">'[4]C. Input'!$I$37</definedName>
    <definedName name="CE_EGSI" localSheetId="2">'[4]C. Input'!$L$37</definedName>
    <definedName name="CE_EGSI" localSheetId="11">'[4]C. Input'!$L$37</definedName>
    <definedName name="CE_EGSI" localSheetId="31">'[4]C. Input'!$L$37</definedName>
    <definedName name="CE_EGSI">'[4]C. Input'!$L$37</definedName>
    <definedName name="CE_ELI" localSheetId="2">'[4]C. Input'!$O$37</definedName>
    <definedName name="CE_ELI" localSheetId="11">'[4]C. Input'!$O$37</definedName>
    <definedName name="CE_ELI" localSheetId="31">'[4]C. Input'!$O$37</definedName>
    <definedName name="CE_ELI">'[4]C. Input'!$O$37</definedName>
    <definedName name="CE_EMI" localSheetId="2">'[4]C. Input'!$R$37</definedName>
    <definedName name="CE_EMI" localSheetId="11">'[4]C. Input'!$R$37</definedName>
    <definedName name="CE_EMI" localSheetId="31">'[4]C. Input'!$R$37</definedName>
    <definedName name="CE_EMI">'[4]C. Input'!$R$37</definedName>
    <definedName name="CE_ENOI" localSheetId="2">'[4]C. Input'!$X$37</definedName>
    <definedName name="CE_ENOI" localSheetId="11">'[4]C. Input'!$X$37</definedName>
    <definedName name="CE_ENOI" localSheetId="31">'[4]C. Input'!$X$37</definedName>
    <definedName name="CE_ENOI">'[4]C. Input'!$X$37</definedName>
    <definedName name="CELL">#N/A</definedName>
    <definedName name="cell.above">!A1048576</definedName>
    <definedName name="cell.below">!A2</definedName>
    <definedName name="cell.left">!XFD1</definedName>
    <definedName name="cell.right">!B1</definedName>
    <definedName name="CHECK_BAL" localSheetId="2">#REF!</definedName>
    <definedName name="CHECK_BAL" localSheetId="14">#REF!</definedName>
    <definedName name="CHECK_BAL" localSheetId="31">#REF!</definedName>
    <definedName name="CHECK_BAL">#REF!</definedName>
    <definedName name="CHECK_BLANK" localSheetId="2">#REF!</definedName>
    <definedName name="CHECK_BLANK" localSheetId="14">#REF!</definedName>
    <definedName name="CHECK_BLANK" localSheetId="31">#REF!</definedName>
    <definedName name="CHECK_BLANK">#REF!</definedName>
    <definedName name="CHECK_CELLS" localSheetId="2">#REF!</definedName>
    <definedName name="CHECK_CELLS" localSheetId="11">#REF!</definedName>
    <definedName name="CHECK_CELLS" localSheetId="14">#REF!</definedName>
    <definedName name="CHECK_CELLS" localSheetId="19">#REF!</definedName>
    <definedName name="CHECK_CELLS" localSheetId="31">#REF!</definedName>
    <definedName name="CHECK_CELLS">#REF!</definedName>
    <definedName name="CLASSES">#N/A</definedName>
    <definedName name="CompanyTextLen" localSheetId="2">#REF!</definedName>
    <definedName name="CompanyTextLen" localSheetId="11">#REF!</definedName>
    <definedName name="CompanyTextLen" localSheetId="14">#REF!</definedName>
    <definedName name="CompanyTextLen" localSheetId="23">#REF!</definedName>
    <definedName name="CompanyTextLen" localSheetId="27">#REF!</definedName>
    <definedName name="CompanyTextLen">#REF!</definedName>
    <definedName name="CP">#N/A</definedName>
    <definedName name="CP_1">#N/A</definedName>
    <definedName name="CP_PG1B" localSheetId="2">#REF!</definedName>
    <definedName name="CP_PG1B" localSheetId="11">#REF!</definedName>
    <definedName name="CP_PG1B" localSheetId="14">#REF!</definedName>
    <definedName name="CP_PG1B" localSheetId="23">#REF!</definedName>
    <definedName name="CP_PG1B" localSheetId="27">#REF!</definedName>
    <definedName name="CP_PG1B">#REF!</definedName>
    <definedName name="cp_pg2" localSheetId="2">#REF!</definedName>
    <definedName name="cp_pg2" localSheetId="11">#REF!</definedName>
    <definedName name="cp_pg2" localSheetId="14">#REF!</definedName>
    <definedName name="cp_pg2" localSheetId="23">#REF!</definedName>
    <definedName name="cp_pg2" localSheetId="27">#REF!</definedName>
    <definedName name="cp_pg2">#REF!</definedName>
    <definedName name="cp_pg2b" localSheetId="2">#REF!</definedName>
    <definedName name="cp_pg2b" localSheetId="11">#REF!</definedName>
    <definedName name="cp_pg2b" localSheetId="14">#REF!</definedName>
    <definedName name="cp_pg2b" localSheetId="23">#REF!</definedName>
    <definedName name="cp_pg2b" localSheetId="27">#REF!</definedName>
    <definedName name="cp_pg2b">#REF!</definedName>
    <definedName name="CP_PG3B" localSheetId="2">#REF!</definedName>
    <definedName name="CP_PG3B" localSheetId="14">#REF!</definedName>
    <definedName name="CP_PG3B" localSheetId="23">#REF!</definedName>
    <definedName name="CP_PG3B">#REF!</definedName>
    <definedName name="CPK1X" localSheetId="2">#REF!</definedName>
    <definedName name="CPK1X" localSheetId="14">#REF!</definedName>
    <definedName name="CPK1X" localSheetId="23">#REF!</definedName>
    <definedName name="CPK1X">#REF!</definedName>
    <definedName name="CPK2X" localSheetId="2">#REF!</definedName>
    <definedName name="CPK2X" localSheetId="14">#REF!</definedName>
    <definedName name="CPK2X" localSheetId="23">#REF!</definedName>
    <definedName name="CPK2X">#REF!</definedName>
    <definedName name="CPUC_Cashflow_Summary_Table" localSheetId="2">#REF!</definedName>
    <definedName name="CPUC_Cashflow_Summary_Table" localSheetId="14">#REF!</definedName>
    <definedName name="CPUC_Cashflow_Summary_Table" localSheetId="31">#REF!</definedName>
    <definedName name="CPUC_Cashflow_Summary_Table">#REF!</definedName>
    <definedName name="CR" localSheetId="2">'[4]C. Input'!$F$27</definedName>
    <definedName name="CR" localSheetId="11">'[4]C. Input'!$F$27</definedName>
    <definedName name="CR" localSheetId="31">'[4]C. Input'!$F$27</definedName>
    <definedName name="CR">'[4]C. Input'!$F$27</definedName>
    <definedName name="CREDITS" localSheetId="2">#REF!</definedName>
    <definedName name="CREDITS" localSheetId="11">#REF!</definedName>
    <definedName name="CREDITS" localSheetId="14">#REF!</definedName>
    <definedName name="CREDITS" localSheetId="23">#REF!</definedName>
    <definedName name="CREDITS">#REF!</definedName>
    <definedName name="CSTextLen" localSheetId="2">#REF!</definedName>
    <definedName name="CSTextLen" localSheetId="11">#REF!</definedName>
    <definedName name="CSTextLen" localSheetId="14">#REF!</definedName>
    <definedName name="CSTextLen" localSheetId="23">#REF!</definedName>
    <definedName name="CSTextLen">#REF!</definedName>
    <definedName name="CTY_ANNUAL" localSheetId="2">#REF!</definedName>
    <definedName name="CTY_ANNUAL" localSheetId="11">#REF!</definedName>
    <definedName name="CTY_ANNUAL" localSheetId="14">#REF!</definedName>
    <definedName name="CTY_ANNUAL" localSheetId="31">#REF!</definedName>
    <definedName name="CTY_ANNUAL">#REF!</definedName>
    <definedName name="cty_peak_sum" localSheetId="2">#REF!</definedName>
    <definedName name="cty_peak_sum" localSheetId="14">#REF!</definedName>
    <definedName name="cty_peak_sum" localSheetId="31">#REF!</definedName>
    <definedName name="cty_peak_sum">#REF!</definedName>
    <definedName name="CUST">#N/A</definedName>
    <definedName name="CUST1">#N/A</definedName>
    <definedName name="CUSTOM1" localSheetId="2">#REF!</definedName>
    <definedName name="CUSTOM1" localSheetId="11">#REF!</definedName>
    <definedName name="CUSTOM1" localSheetId="14">#REF!</definedName>
    <definedName name="CUSTOM1" localSheetId="23">#REF!</definedName>
    <definedName name="CUSTOM1" localSheetId="27">#REF!</definedName>
    <definedName name="CUSTOM1">#REF!</definedName>
    <definedName name="CUSTOM2" localSheetId="2">#REF!</definedName>
    <definedName name="CUSTOM2" localSheetId="11">#REF!</definedName>
    <definedName name="CUSTOM2" localSheetId="14">#REF!</definedName>
    <definedName name="CUSTOM2" localSheetId="23">#REF!</definedName>
    <definedName name="CUSTOM2" localSheetId="27">#REF!</definedName>
    <definedName name="CUSTOM2">#REF!</definedName>
    <definedName name="D" localSheetId="2">'[4]C. Input'!$F$33</definedName>
    <definedName name="D" localSheetId="11">'[4]C. Input'!$F$33</definedName>
    <definedName name="D" localSheetId="31">'[4]C. Input'!$F$33</definedName>
    <definedName name="D">'[4]C. Input'!$F$33</definedName>
    <definedName name="D_EAI" localSheetId="2">'[4]C. Input'!$I$33</definedName>
    <definedName name="D_EAI" localSheetId="11">'[4]C. Input'!$I$33</definedName>
    <definedName name="D_EAI" localSheetId="31">'[4]C. Input'!$I$33</definedName>
    <definedName name="D_EAI">'[4]C. Input'!$I$33</definedName>
    <definedName name="D_EGSI" localSheetId="2">'[4]C. Input'!$L$33</definedName>
    <definedName name="D_EGSI" localSheetId="11">'[4]C. Input'!$L$33</definedName>
    <definedName name="D_EGSI" localSheetId="31">'[4]C. Input'!$L$33</definedName>
    <definedName name="D_EGSI">'[4]C. Input'!$L$33</definedName>
    <definedName name="D_EMI" localSheetId="2">'[4]C. Input'!$R$33</definedName>
    <definedName name="D_EMI" localSheetId="11">'[4]C. Input'!$R$33</definedName>
    <definedName name="D_EMI" localSheetId="31">'[4]C. Input'!$R$33</definedName>
    <definedName name="D_EMI">'[4]C. Input'!$R$33</definedName>
    <definedName name="D_ENOI" localSheetId="2">'[4]C. Input'!$X$33</definedName>
    <definedName name="D_ENOI" localSheetId="11">'[4]C. Input'!$X$33</definedName>
    <definedName name="D_ENOI" localSheetId="31">'[4]C. Input'!$X$33</definedName>
    <definedName name="D_ENOI">'[4]C. Input'!$X$33</definedName>
    <definedName name="data_year" localSheetId="2">'[5]Appendix A'!$H$6</definedName>
    <definedName name="data_year">'[5]Appendix A'!$H$6</definedName>
    <definedName name="_xlnm.Database" localSheetId="2">#REF!</definedName>
    <definedName name="_xlnm.Database" localSheetId="11">#REF!</definedName>
    <definedName name="_xlnm.Database" localSheetId="14">#REF!</definedName>
    <definedName name="_xlnm.Database" localSheetId="31">#REF!</definedName>
    <definedName name="_xlnm.Database">#REF!</definedName>
    <definedName name="DATALINE" localSheetId="11">'[1]Header Data'!#REF!</definedName>
    <definedName name="DATALINE" localSheetId="14">'[1]Header Data'!#REF!</definedName>
    <definedName name="DATALINE" localSheetId="27">'[1]Header Data'!#REF!</definedName>
    <definedName name="DATALINE">'[1]Header Data'!#REF!</definedName>
    <definedName name="DB_CPK">#N/A</definedName>
    <definedName name="DB_CPK1" localSheetId="11">[7]FERCFACT!#REF!</definedName>
    <definedName name="DB_CPK1" localSheetId="14">[7]FERCFACT!#REF!</definedName>
    <definedName name="DB_CPK1" localSheetId="27">[7]FERCFACT!#REF!</definedName>
    <definedName name="DB_CPK1">[7]FERCFACT!#REF!</definedName>
    <definedName name="DB_CPK2" localSheetId="2">#REF!</definedName>
    <definedName name="DB_CPK2" localSheetId="11">#REF!</definedName>
    <definedName name="DB_CPK2" localSheetId="14">#REF!</definedName>
    <definedName name="DB_CPK2" localSheetId="23">#REF!</definedName>
    <definedName name="DB_CPK2" localSheetId="27">#REF!</definedName>
    <definedName name="DB_CPK2">#REF!</definedName>
    <definedName name="DB_CPK3" localSheetId="2">#REF!</definedName>
    <definedName name="DB_CPK3" localSheetId="11">#REF!</definedName>
    <definedName name="DB_CPK3" localSheetId="14">#REF!</definedName>
    <definedName name="DB_CPK3" localSheetId="23">#REF!</definedName>
    <definedName name="DB_CPK3" localSheetId="27">#REF!</definedName>
    <definedName name="DB_CPK3">#REF!</definedName>
    <definedName name="DB_CUST">#N/A</definedName>
    <definedName name="DB_EGR">#N/A</definedName>
    <definedName name="DB_EGR1" localSheetId="11">[7]FERCFACT!#REF!</definedName>
    <definedName name="DB_EGR1" localSheetId="14">[7]FERCFACT!#REF!</definedName>
    <definedName name="DB_EGR1" localSheetId="27">[7]FERCFACT!#REF!</definedName>
    <definedName name="DB_EGR1">[7]FERCFACT!#REF!</definedName>
    <definedName name="DB_EGR2" localSheetId="2">#REF!</definedName>
    <definedName name="DB_EGR2" localSheetId="11">#REF!</definedName>
    <definedName name="DB_EGR2" localSheetId="14">#REF!</definedName>
    <definedName name="DB_EGR2" localSheetId="23">#REF!</definedName>
    <definedName name="DB_EGR2" localSheetId="27">#REF!</definedName>
    <definedName name="DB_EGR2">#REF!</definedName>
    <definedName name="DB_IMAX">#N/A</definedName>
    <definedName name="DB_NCPK">#N/A</definedName>
    <definedName name="DB_NCPK1" localSheetId="2">#REF!</definedName>
    <definedName name="DB_NCPK1" localSheetId="11">#REF!</definedName>
    <definedName name="DB_NCPK1" localSheetId="14">#REF!</definedName>
    <definedName name="DB_NCPK1" localSheetId="23">#REF!</definedName>
    <definedName name="DB_NCPK1" localSheetId="27">#REF!</definedName>
    <definedName name="DB_NCPK1">#REF!</definedName>
    <definedName name="DB_NCPK2" localSheetId="2">#REF!</definedName>
    <definedName name="DB_NCPK2" localSheetId="11">#REF!</definedName>
    <definedName name="DB_NCPK2" localSheetId="14">#REF!</definedName>
    <definedName name="DB_NCPK2" localSheetId="23">#REF!</definedName>
    <definedName name="DB_NCPK2" localSheetId="27">#REF!</definedName>
    <definedName name="DB_NCPK2">#REF!</definedName>
    <definedName name="DB_NCPK3" localSheetId="2">#REF!</definedName>
    <definedName name="DB_NCPK3" localSheetId="11">#REF!</definedName>
    <definedName name="DB_NCPK3" localSheetId="14">#REF!</definedName>
    <definedName name="DB_NCPK3" localSheetId="23">#REF!</definedName>
    <definedName name="DB_NCPK3" localSheetId="27">#REF!</definedName>
    <definedName name="DB_NCPK3">#REF!</definedName>
    <definedName name="DB_NCPK4" localSheetId="2">#REF!</definedName>
    <definedName name="DB_NCPK4" localSheetId="14">#REF!</definedName>
    <definedName name="DB_NCPK4" localSheetId="23">#REF!</definedName>
    <definedName name="DB_NCPK4">#REF!</definedName>
    <definedName name="DD." localSheetId="2">[8]Input!$F$33</definedName>
    <definedName name="DD." localSheetId="11">[8]Input!$F$33</definedName>
    <definedName name="DD." localSheetId="31">[8]Input!$F$33</definedName>
    <definedName name="DD.">[8]Input!$F$33</definedName>
    <definedName name="DEBITS" localSheetId="2">#REF!</definedName>
    <definedName name="DEBITS" localSheetId="11">#REF!</definedName>
    <definedName name="DEBITS" localSheetId="14">#REF!</definedName>
    <definedName name="DEBITS" localSheetId="23">#REF!</definedName>
    <definedName name="DEBITS">#REF!</definedName>
    <definedName name="DEC">#N/A</definedName>
    <definedName name="DecCP" localSheetId="2">#REF!</definedName>
    <definedName name="DecCP" localSheetId="11">#REF!</definedName>
    <definedName name="DecCP" localSheetId="14">#REF!</definedName>
    <definedName name="DecCP" localSheetId="23">#REF!</definedName>
    <definedName name="DecCP" localSheetId="27">#REF!</definedName>
    <definedName name="DecCP">#REF!</definedName>
    <definedName name="DFTSR" localSheetId="2">'[4]A.2 PTP'!$P$288</definedName>
    <definedName name="DFTSR" localSheetId="11">'[4]A.2 PTP'!$P$288</definedName>
    <definedName name="DFTSR" localSheetId="31">'[4]A.2 PTP'!$P$288</definedName>
    <definedName name="DFTSR">'[4]A.2 PTP'!$P$288</definedName>
    <definedName name="DISPLAY">#N/A</definedName>
    <definedName name="DOFTSR" localSheetId="2">'[4]A.2 PTP'!$P$294</definedName>
    <definedName name="DOFTSR" localSheetId="11">'[4]A.2 PTP'!$P$294</definedName>
    <definedName name="DOFTSR" localSheetId="31">'[4]A.2 PTP'!$P$294</definedName>
    <definedName name="DOFTSR">'[4]A.2 PTP'!$P$294</definedName>
    <definedName name="don" localSheetId="2" hidden="1">{"assumptions",#N/A,FALSE,"Scenario 1";"valuation",#N/A,FALSE,"Scenario 1"}</definedName>
    <definedName name="don" localSheetId="30" hidden="1">{"assumptions",#N/A,FALSE,"Scenario 1";"valuation",#N/A,FALSE,"Scenario 1"}</definedName>
    <definedName name="don" hidden="1">{"assumptions",#N/A,FALSE,"Scenario 1";"valuation",#N/A,FALSE,"Scenario 1"}</definedName>
    <definedName name="Don_1" localSheetId="2" hidden="1">{"assumptions",#N/A,FALSE,"Scenario 1";"valuation",#N/A,FALSE,"Scenario 1"}</definedName>
    <definedName name="Don_1" localSheetId="30" hidden="1">{"assumptions",#N/A,FALSE,"Scenario 1";"valuation",#N/A,FALSE,"Scenario 1"}</definedName>
    <definedName name="Don_1" hidden="1">{"assumptions",#N/A,FALSE,"Scenario 1";"valuation",#N/A,FALSE,"Scenario 1"}</definedName>
    <definedName name="Don_10" localSheetId="2" hidden="1">#REF!</definedName>
    <definedName name="Don_10" localSheetId="14" hidden="1">#REF!</definedName>
    <definedName name="Don_10" localSheetId="30" hidden="1">#REF!</definedName>
    <definedName name="Don_10" hidden="1">#REF!</definedName>
    <definedName name="Don_11" hidden="1">255</definedName>
    <definedName name="Don_12" localSheetId="2" hidden="1">#REF!</definedName>
    <definedName name="Don_12" localSheetId="14" hidden="1">#REF!</definedName>
    <definedName name="Don_12" localSheetId="30" hidden="1">#REF!</definedName>
    <definedName name="Don_12" hidden="1">#REF!</definedName>
    <definedName name="Don_13" localSheetId="2" hidden="1">#REF!</definedName>
    <definedName name="Don_13" localSheetId="14" hidden="1">#REF!</definedName>
    <definedName name="Don_13" localSheetId="30" hidden="1">#REF!</definedName>
    <definedName name="Don_13" hidden="1">#REF!</definedName>
    <definedName name="Don_14" localSheetId="2" hidden="1">#REF!</definedName>
    <definedName name="Don_14" localSheetId="14" hidden="1">#REF!</definedName>
    <definedName name="Don_14" localSheetId="30" hidden="1">#REF!</definedName>
    <definedName name="Don_14" hidden="1">#REF!</definedName>
    <definedName name="don_2" localSheetId="2" hidden="1">#REF!</definedName>
    <definedName name="don_2" localSheetId="14" hidden="1">#REF!</definedName>
    <definedName name="don_2" localSheetId="30" hidden="1">#REF!</definedName>
    <definedName name="don_2" hidden="1">#REF!</definedName>
    <definedName name="Don_3" localSheetId="2" hidden="1">#REF!</definedName>
    <definedName name="Don_3" localSheetId="14" hidden="1">#REF!</definedName>
    <definedName name="Don_3" localSheetId="30" hidden="1">#REF!</definedName>
    <definedName name="Don_3" hidden="1">#REF!</definedName>
    <definedName name="Don_4" localSheetId="2" hidden="1">#REF!</definedName>
    <definedName name="Don_4" localSheetId="14" hidden="1">#REF!</definedName>
    <definedName name="Don_4" localSheetId="30" hidden="1">#REF!</definedName>
    <definedName name="Don_4" hidden="1">#REF!</definedName>
    <definedName name="Don_5" localSheetId="2" hidden="1">#REF!</definedName>
    <definedName name="Don_5" localSheetId="14" hidden="1">#REF!</definedName>
    <definedName name="Don_5" localSheetId="30" hidden="1">#REF!</definedName>
    <definedName name="Don_5" hidden="1">#REF!</definedName>
    <definedName name="Don_6" localSheetId="2" hidden="1">#REF!</definedName>
    <definedName name="Don_6" localSheetId="14" hidden="1">#REF!</definedName>
    <definedName name="Don_6" localSheetId="30" hidden="1">#REF!</definedName>
    <definedName name="Don_6" hidden="1">#REF!</definedName>
    <definedName name="Don_7" localSheetId="2" hidden="1">#REF!</definedName>
    <definedName name="Don_7" localSheetId="14" hidden="1">#REF!</definedName>
    <definedName name="Don_7" localSheetId="30" hidden="1">#REF!</definedName>
    <definedName name="Don_7" hidden="1">#REF!</definedName>
    <definedName name="Don_8" localSheetId="2" hidden="1">#REF!</definedName>
    <definedName name="Don_8" localSheetId="14" hidden="1">#REF!</definedName>
    <definedName name="Don_8" localSheetId="30" hidden="1">#REF!</definedName>
    <definedName name="Don_8" hidden="1">#REF!</definedName>
    <definedName name="Don_9" localSheetId="2" hidden="1">#REF!</definedName>
    <definedName name="Don_9" localSheetId="14" hidden="1">#REF!</definedName>
    <definedName name="Don_9" localSheetId="30" hidden="1">#REF!</definedName>
    <definedName name="Don_9" hidden="1">#REF!</definedName>
    <definedName name="DPLT" localSheetId="2">'[4]C. Input'!$F$166</definedName>
    <definedName name="DPLT" localSheetId="11">'[4]C. Input'!$F$166</definedName>
    <definedName name="DPLT" localSheetId="31">'[4]C. Input'!$F$166</definedName>
    <definedName name="DPLT">'[4]C. Input'!$F$166</definedName>
    <definedName name="DR" localSheetId="2">'[4]C. Input'!$F$23</definedName>
    <definedName name="DR" localSheetId="11">'[4]C. Input'!$F$23</definedName>
    <definedName name="DR" localSheetId="31">'[4]C. Input'!$F$23</definedName>
    <definedName name="DR">'[4]C. Input'!$F$23</definedName>
    <definedName name="DR_1">#N/A</definedName>
    <definedName name="ED8_BIOFLORA_Print" localSheetId="2">#REF!</definedName>
    <definedName name="ED8_BIOFLORA_Print" localSheetId="11">#REF!</definedName>
    <definedName name="ED8_BIOFLORA_Print" localSheetId="14">#REF!</definedName>
    <definedName name="ED8_BIOFLORA_Print" localSheetId="23">#REF!</definedName>
    <definedName name="ED8_BIOFLORA_Print" localSheetId="27">#REF!</definedName>
    <definedName name="ED8_BIOFLORA_Print">#REF!</definedName>
    <definedName name="EEI" localSheetId="2">'[4]C. Input'!$F$205</definedName>
    <definedName name="EEI" localSheetId="11">'[4]C. Input'!$F$205</definedName>
    <definedName name="EEI" localSheetId="31">'[4]C. Input'!$F$205</definedName>
    <definedName name="EEI">'[4]C. Input'!$F$205</definedName>
    <definedName name="EFF_DATE" localSheetId="11">'[1]Header Data'!#REF!</definedName>
    <definedName name="EFF_DATE" localSheetId="14">'[1]Header Data'!#REF!</definedName>
    <definedName name="EFF_DATE">'[1]Header Data'!#REF!</definedName>
    <definedName name="EGR">#N/A</definedName>
    <definedName name="EGR1X" localSheetId="2">#REF!</definedName>
    <definedName name="EGR1X" localSheetId="11">#REF!</definedName>
    <definedName name="EGR1X" localSheetId="14">#REF!</definedName>
    <definedName name="EGR1X" localSheetId="23">#REF!</definedName>
    <definedName name="EGR1X" localSheetId="27">#REF!</definedName>
    <definedName name="EGR1X">#REF!</definedName>
    <definedName name="EIGHT">#N/A</definedName>
    <definedName name="ELEVEN">#N/A</definedName>
    <definedName name="END" localSheetId="2">#REF!</definedName>
    <definedName name="END" localSheetId="11">#REF!</definedName>
    <definedName name="END" localSheetId="14">#REF!</definedName>
    <definedName name="END" localSheetId="23">#REF!</definedName>
    <definedName name="END" localSheetId="27">#REF!</definedName>
    <definedName name="END">#REF!</definedName>
    <definedName name="ENERGY" localSheetId="2">#REF!</definedName>
    <definedName name="ENERGY" localSheetId="11">#REF!</definedName>
    <definedName name="ENERGY" localSheetId="14">#REF!</definedName>
    <definedName name="ENERGY" localSheetId="23">#REF!</definedName>
    <definedName name="ENERGY" localSheetId="27">#REF!</definedName>
    <definedName name="ENERGY">#REF!</definedName>
    <definedName name="ENERGY_SUP" localSheetId="11">[7]FERCFACT!#REF!</definedName>
    <definedName name="ENERGY_SUP" localSheetId="14">[7]FERCFACT!#REF!</definedName>
    <definedName name="ENERGY_SUP" localSheetId="27">[7]FERCFACT!#REF!</definedName>
    <definedName name="ENERGY_SUP">[7]FERCFACT!#REF!</definedName>
    <definedName name="ENERGY1">#N/A</definedName>
    <definedName name="ENVIRONMENTAL" localSheetId="2">#REF!</definedName>
    <definedName name="ENVIRONMENTAL" localSheetId="14">#REF!</definedName>
    <definedName name="ENVIRONMENTAL" localSheetId="31">#REF!</definedName>
    <definedName name="ENVIRONMENTAL">#REF!</definedName>
    <definedName name="EPRI" localSheetId="2">'[4]C. Input'!$F$203</definedName>
    <definedName name="EPRI" localSheetId="11">'[4]C. Input'!$F$203</definedName>
    <definedName name="EPRI" localSheetId="31">'[4]C. Input'!$F$203</definedName>
    <definedName name="EPRI">'[4]C. Input'!$F$203</definedName>
    <definedName name="EST_BY_ACCT" localSheetId="2">#REF!</definedName>
    <definedName name="EST_BY_ACCT" localSheetId="11">#REF!</definedName>
    <definedName name="EST_BY_ACCT" localSheetId="14">#REF!</definedName>
    <definedName name="EST_BY_ACCT" localSheetId="23">#REF!</definedName>
    <definedName name="EST_BY_ACCT" localSheetId="27">#REF!</definedName>
    <definedName name="EST_BY_ACCT">#REF!</definedName>
    <definedName name="F" localSheetId="2">'[4]C. Input'!$F$72</definedName>
    <definedName name="F" localSheetId="11">'[4]C. Input'!$F$72</definedName>
    <definedName name="F" localSheetId="31">'[4]C. Input'!$F$72</definedName>
    <definedName name="F">'[4]C. Input'!$F$72</definedName>
    <definedName name="FACE" localSheetId="2">#REF!</definedName>
    <definedName name="FACE" localSheetId="14">#REF!</definedName>
    <definedName name="FACE" localSheetId="31">#REF!</definedName>
    <definedName name="FACE">#REF!</definedName>
    <definedName name="FACTORS" localSheetId="2">#REF!</definedName>
    <definedName name="FACTORS" localSheetId="11">#REF!</definedName>
    <definedName name="FACTORS" localSheetId="14">#REF!</definedName>
    <definedName name="FACTORS" localSheetId="23">#REF!</definedName>
    <definedName name="FACTORS" localSheetId="27">#REF!</definedName>
    <definedName name="FACTORS">#REF!</definedName>
    <definedName name="FACTRS" localSheetId="2">#REF!</definedName>
    <definedName name="FACTRS" localSheetId="11">#REF!</definedName>
    <definedName name="FACTRS" localSheetId="14">#REF!</definedName>
    <definedName name="FACTRS" localSheetId="23">#REF!</definedName>
    <definedName name="FACTRS" localSheetId="27">#REF!</definedName>
    <definedName name="FACTRS">#REF!</definedName>
    <definedName name="FF1_INPUT" localSheetId="2">'[5]FERC Form 1 data'!$B$7:$L$89</definedName>
    <definedName name="FF1_INPUT">'[5]FERC Form 1 data'!$B$7:$L$89</definedName>
    <definedName name="FF1_INPUT_columns" localSheetId="2">'[5]FERC Form 1 data'!$B$6:$L$6</definedName>
    <definedName name="FF1_INPUT_columns">'[5]FERC Form 1 data'!$B$6:$L$6</definedName>
    <definedName name="FIVE">#N/A</definedName>
    <definedName name="FOUR">#N/A</definedName>
    <definedName name="FREV" localSheetId="2">'[4]C. Input'!$F$295</definedName>
    <definedName name="FREV" localSheetId="11">'[4]C. Input'!$F$295</definedName>
    <definedName name="FREV" localSheetId="31">'[4]C. Input'!$F$295</definedName>
    <definedName name="FREV">'[4]C. Input'!$F$295</definedName>
    <definedName name="GDR" localSheetId="2">'[4]C. Input'!$F$237</definedName>
    <definedName name="GDR" localSheetId="11">'[4]C. Input'!$F$237</definedName>
    <definedName name="GDR" localSheetId="31">'[4]C. Input'!$F$237</definedName>
    <definedName name="GDR">'[4]C. Input'!$F$237</definedName>
    <definedName name="GDX" localSheetId="2">'[4]C. Input'!$F$309</definedName>
    <definedName name="GDX" localSheetId="11">'[4]C. Input'!$F$309</definedName>
    <definedName name="GDX" localSheetId="31">'[4]C. Input'!$F$309</definedName>
    <definedName name="GDX">'[4]C. Input'!$F$309</definedName>
    <definedName name="GDX_TD" localSheetId="2">'[4]C. Input'!#REF!</definedName>
    <definedName name="GDX_TD" localSheetId="11">'[4]C. Input'!#REF!</definedName>
    <definedName name="GDX_TD" localSheetId="14">'[4]C. Input'!#REF!</definedName>
    <definedName name="GDX_TD" localSheetId="31">'[4]C. Input'!#REF!</definedName>
    <definedName name="GDX_TD">'[4]C. Input'!#REF!</definedName>
    <definedName name="gIsBlank" localSheetId="2" hidden="1">ISBLANK(gIsRef)</definedName>
    <definedName name="gIsBlank" localSheetId="11" hidden="1">ISBLANK(gIsRef)</definedName>
    <definedName name="gIsBlank" localSheetId="19" hidden="1">ISBLANK(gIsRef)</definedName>
    <definedName name="gIsBlank" localSheetId="30" hidden="1">ISBLANK(gIsRef)</definedName>
    <definedName name="gIsBlank" localSheetId="31" hidden="1">ISBLANK(gIsRef)</definedName>
    <definedName name="gIsBlank" hidden="1">ISBLANK(gIsRef)</definedName>
    <definedName name="gIsError" localSheetId="2" hidden="1">ISERROR(gIsRef)</definedName>
    <definedName name="gIsError" localSheetId="11" hidden="1">ISERROR(gIsRef)</definedName>
    <definedName name="gIsError" localSheetId="19" hidden="1">ISERROR(gIsRef)</definedName>
    <definedName name="gIsError" localSheetId="30" hidden="1">ISERROR(gIsRef)</definedName>
    <definedName name="gIsError" localSheetId="31" hidden="1">ISERROR(gIsRef)</definedName>
    <definedName name="gIsError" hidden="1">ISERROR(gIsRef)</definedName>
    <definedName name="gIsInPrintArea" localSheetId="2" hidden="1">NOT(ISERROR(gIsRef !Print_Area))</definedName>
    <definedName name="gIsInPrintArea" localSheetId="11" hidden="1">NOT(ISERROR(gIsRef !Print_Area))</definedName>
    <definedName name="gIsInPrintArea" localSheetId="14" hidden="1">NOT(ISERROR([0]!gIsRef !Print_Area))</definedName>
    <definedName name="gIsInPrintArea" localSheetId="19" hidden="1">NOT(ISERROR(gIsRef !Print_Area))</definedName>
    <definedName name="gIsInPrintArea" localSheetId="30" hidden="1">NOT(ISERROR(gIsRef !Print_Area))</definedName>
    <definedName name="gIsInPrintArea" localSheetId="31" hidden="1">NOT(ISERROR(gIsRef !Print_Area))</definedName>
    <definedName name="gIsInPrintArea" hidden="1">NOT(ISERROR(gIsRef !Print_Area))</definedName>
    <definedName name="gIsInPrintTitles" localSheetId="2" hidden="1">NOT(ISERROR(gIsRef !Print_Titles))</definedName>
    <definedName name="gIsInPrintTitles" localSheetId="11" hidden="1">NOT(ISERROR(gIsRef !Print_Titles))</definedName>
    <definedName name="gIsInPrintTitles" localSheetId="14" hidden="1">NOT(ISERROR([0]!gIsRef !Print_Titles))</definedName>
    <definedName name="gIsInPrintTitles" localSheetId="19" hidden="1">NOT(ISERROR(gIsRef !Print_Titles))</definedName>
    <definedName name="gIsInPrintTitles" localSheetId="30" hidden="1">NOT(ISERROR(gIsRef !Print_Titles))</definedName>
    <definedName name="gIsInPrintTitles" localSheetId="31" hidden="1">NOT(ISERROR(gIsRef !Print_Titles))</definedName>
    <definedName name="gIsInPrintTitles" hidden="1">NOT(ISERROR(gIsRef !Print_Titles))</definedName>
    <definedName name="gIsNumber" localSheetId="2" hidden="1">ISNUMBER(gIsRef)</definedName>
    <definedName name="gIsNumber" localSheetId="11" hidden="1">ISNUMBER(gIsRef)</definedName>
    <definedName name="gIsNumber" localSheetId="19" hidden="1">ISNUMBER(gIsRef)</definedName>
    <definedName name="gIsNumber" localSheetId="30" hidden="1">ISNUMBER(gIsRef)</definedName>
    <definedName name="gIsNumber" localSheetId="31" hidden="1">ISNUMBER(gIsRef)</definedName>
    <definedName name="gIsNumber" hidden="1">ISNUMBER(gIsRef)</definedName>
    <definedName name="gIsPreviousSheet" localSheetId="2" hidden="1">PrevShtCellValue(gIsRef)&lt;&gt;gIsRef</definedName>
    <definedName name="gIsPreviousSheet" localSheetId="11" hidden="1">PrevShtCellValue(gIsRef)&lt;&gt;gIsRef</definedName>
    <definedName name="gIsPreviousSheet" localSheetId="14" hidden="1">PrevShtCellValue([0]!gIsRef)&lt;&gt;[0]!gIsRef</definedName>
    <definedName name="gIsPreviousSheet" localSheetId="19" hidden="1">PrevShtCellValue(gIsRef)&lt;&gt;gIsRef</definedName>
    <definedName name="gIsPreviousSheet" localSheetId="30" hidden="1">PrevShtCellValue(gIsRef)&lt;&gt;gIsRef</definedName>
    <definedName name="gIsPreviousSheet" localSheetId="31" hidden="1">PrevShtCellValue(gIsRef)&lt;&gt;gIsRef</definedName>
    <definedName name="gIsPreviousSheet" hidden="1">PrevShtCellValue(gIsRef)&lt;&gt;gIsRef</definedName>
    <definedName name="gIsRef" hidden="1">INDIRECT("rc",FALSE)</definedName>
    <definedName name="gIsText" localSheetId="2" hidden="1">ISTEXT(gIsRef)</definedName>
    <definedName name="gIsText" localSheetId="11" hidden="1">ISTEXT(gIsRef)</definedName>
    <definedName name="gIsText" localSheetId="19" hidden="1">ISTEXT(gIsRef)</definedName>
    <definedName name="gIsText" localSheetId="30" hidden="1">ISTEXT(gIsRef)</definedName>
    <definedName name="gIsText" localSheetId="31" hidden="1">ISTEXT(gIsRef)</definedName>
    <definedName name="gIsText" hidden="1">ISTEXT(gIsRef)</definedName>
    <definedName name="GJC_03" localSheetId="2">#REF!</definedName>
    <definedName name="GJC_03" localSheetId="11">#REF!</definedName>
    <definedName name="GJC_03" localSheetId="14">#REF!</definedName>
    <definedName name="GJC_03" localSheetId="23">#REF!</definedName>
    <definedName name="GJC_03" localSheetId="27">#REF!</definedName>
    <definedName name="GJC_03">#REF!</definedName>
    <definedName name="GJC_04" localSheetId="2">#REF!</definedName>
    <definedName name="GJC_04" localSheetId="11">#REF!</definedName>
    <definedName name="GJC_04" localSheetId="14">#REF!</definedName>
    <definedName name="GJC_04" localSheetId="23">#REF!</definedName>
    <definedName name="GJC_04" localSheetId="27">#REF!</definedName>
    <definedName name="GJC_04">#REF!</definedName>
    <definedName name="GJC_09" localSheetId="2">#REF!</definedName>
    <definedName name="GJC_09" localSheetId="11">#REF!</definedName>
    <definedName name="GJC_09" localSheetId="14">#REF!</definedName>
    <definedName name="GJC_09" localSheetId="23">#REF!</definedName>
    <definedName name="GJC_09" localSheetId="27">#REF!</definedName>
    <definedName name="GJC_09">#REF!</definedName>
    <definedName name="GP">'MISO Cover'!$G$72</definedName>
    <definedName name="GPLT" localSheetId="2">'[4]C. Input'!$F$168</definedName>
    <definedName name="GPLT" localSheetId="11">'[4]C. Input'!$F$168</definedName>
    <definedName name="GPLT" localSheetId="31">'[4]C. Input'!$F$168</definedName>
    <definedName name="GPLT">'[4]C. Input'!$F$168</definedName>
    <definedName name="HCTextLen" localSheetId="2">#REF!</definedName>
    <definedName name="HCTextLen" localSheetId="11">#REF!</definedName>
    <definedName name="HCTextLen" localSheetId="14">#REF!</definedName>
    <definedName name="HCTextLen" localSheetId="23">#REF!</definedName>
    <definedName name="HCTextLen">#REF!</definedName>
    <definedName name="head" localSheetId="2">#REF!</definedName>
    <definedName name="head" localSheetId="11">#REF!</definedName>
    <definedName name="head" localSheetId="14">#REF!</definedName>
    <definedName name="head" localSheetId="23">#REF!</definedName>
    <definedName name="head">#REF!</definedName>
    <definedName name="HONTSR" localSheetId="2">'[4]A.2 PTP'!$P$333</definedName>
    <definedName name="HONTSR" localSheetId="11">'[4]A.2 PTP'!$P$333</definedName>
    <definedName name="HONTSR" localSheetId="31">'[4]A.2 PTP'!$P$333</definedName>
    <definedName name="HONTSR">'[4]A.2 PTP'!$P$333</definedName>
    <definedName name="HPNTSR" localSheetId="2">'[4]A.2 PTP'!$P$332</definedName>
    <definedName name="HPNTSR" localSheetId="11">'[4]A.2 PTP'!$P$332</definedName>
    <definedName name="HPNTSR" localSheetId="31">'[4]A.2 PTP'!$P$332</definedName>
    <definedName name="HPNTSR">'[4]A.2 PTP'!$P$332</definedName>
    <definedName name="IMAX1" localSheetId="2">#REF!</definedName>
    <definedName name="IMAX1" localSheetId="11">#REF!</definedName>
    <definedName name="IMAX1" localSheetId="14">#REF!</definedName>
    <definedName name="IMAX1" localSheetId="23">#REF!</definedName>
    <definedName name="IMAX1">#REF!</definedName>
    <definedName name="IMAX2" localSheetId="2">#REF!</definedName>
    <definedName name="IMAX2" localSheetId="11">#REF!</definedName>
    <definedName name="IMAX2" localSheetId="14">#REF!</definedName>
    <definedName name="IMAX2" localSheetId="23">#REF!</definedName>
    <definedName name="IMAX2">#REF!</definedName>
    <definedName name="IMAX3" localSheetId="2">#REF!</definedName>
    <definedName name="IMAX3" localSheetId="11">#REF!</definedName>
    <definedName name="IMAX3" localSheetId="14">#REF!</definedName>
    <definedName name="IMAX3" localSheetId="23">#REF!</definedName>
    <definedName name="IMAX3">#REF!</definedName>
    <definedName name="IncomeStatement" localSheetId="2">#REF!</definedName>
    <definedName name="IncomeStatement" localSheetId="14">#REF!</definedName>
    <definedName name="IncomeStatement" localSheetId="23">#REF!</definedName>
    <definedName name="IncomeStatement">#REF!</definedName>
    <definedName name="IND.MAX">#N/A</definedName>
    <definedName name="IND.MAX1">#N/A</definedName>
    <definedName name="INPUT" localSheetId="24">#REF!</definedName>
    <definedName name="INPUT">#N/A</definedName>
    <definedName name="INPUT_AREA" localSheetId="2">#REF!</definedName>
    <definedName name="INPUT_AREA" localSheetId="11">#REF!</definedName>
    <definedName name="INPUT_AREA" localSheetId="14">#REF!</definedName>
    <definedName name="INPUT_AREA" localSheetId="23">#REF!</definedName>
    <definedName name="INPUT_AREA" localSheetId="27">#REF!</definedName>
    <definedName name="INPUT_AREA">#REF!</definedName>
    <definedName name="INPUT_DATA" localSheetId="2">#REF!</definedName>
    <definedName name="INPUT_DATA" localSheetId="11">#REF!</definedName>
    <definedName name="INPUT_DATA" localSheetId="14">#REF!</definedName>
    <definedName name="INPUT_DATA" localSheetId="23">#REF!</definedName>
    <definedName name="INPUT_DATA" localSheetId="27">#REF!</definedName>
    <definedName name="INPUT_DATA">#REF!</definedName>
    <definedName name="Input_Range" localSheetId="2">'[9]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 localSheetId="11">'[9]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 localSheetId="31">'[9]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s_EndYrBal" localSheetId="2">[5]Inputs!$E$16:$E$73</definedName>
    <definedName name="Inputs_EndYrBal">[5]Inputs!$E$16:$E$73</definedName>
    <definedName name="Inputs_EndYrBal_prior" localSheetId="2">[5]Inputs!$D$16:$D$73</definedName>
    <definedName name="Inputs_EndYrBal_prior">[5]Inputs!$D$16:$D$73</definedName>
    <definedName name="Inputs_FF1_Map" localSheetId="2">[5]Inputs!$F$16:$F$73</definedName>
    <definedName name="Inputs_FF1_Map">[5]Inputs!$F$16:$F$73</definedName>
    <definedName name="IPP" localSheetId="2">'[4]C. Input'!#REF!</definedName>
    <definedName name="IPP" localSheetId="11">'[4]C. Input'!#REF!</definedName>
    <definedName name="IPP" localSheetId="14">'[4]C. Input'!#REF!</definedName>
    <definedName name="IPP" localSheetId="19">'[4]C. Input'!#REF!</definedName>
    <definedName name="IPP" localSheetId="31">'[4]C. Input'!#REF!</definedName>
    <definedName name="IPP">'[4]C. Input'!#REF!</definedName>
    <definedName name="IPPINT" localSheetId="2">'[4]C. Input'!#REF!</definedName>
    <definedName name="IPPINT" localSheetId="11">'[4]C. Input'!#REF!</definedName>
    <definedName name="IPPINT" localSheetId="14">'[4]C. Input'!#REF!</definedName>
    <definedName name="IPPINT" localSheetId="19">'[4]C. Input'!#REF!</definedName>
    <definedName name="IPPINT" localSheetId="31">'[4]C. Input'!#REF!</definedName>
    <definedName name="IPPINT">'[4]C. Input'!#REF!</definedName>
    <definedName name="IPPIRB" localSheetId="2">'[4]C. Input'!#REF!</definedName>
    <definedName name="IPPIRB" localSheetId="11">'[4]C. Input'!#REF!</definedName>
    <definedName name="IPPIRB" localSheetId="14">'[4]C. Input'!#REF!</definedName>
    <definedName name="IPPIRB" localSheetId="19">'[4]C. Input'!#REF!</definedName>
    <definedName name="IPPIRB" localSheetId="31">'[4]C. Input'!#REF!</definedName>
    <definedName name="IPPIRB">'[4]C. Input'!#REF!</definedName>
    <definedName name="IPPRB" localSheetId="2">'[4]C. Input'!#REF!</definedName>
    <definedName name="IPPRB" localSheetId="11">'[4]C. Input'!#REF!</definedName>
    <definedName name="IPPRB" localSheetId="14">'[4]C. Input'!#REF!</definedName>
    <definedName name="IPPRB" localSheetId="19">'[4]C. Input'!#REF!</definedName>
    <definedName name="IPPRB" localSheetId="31">'[4]C. Input'!#REF!</definedName>
    <definedName name="IPPRB">'[4]C. Input'!#REF!</definedName>
    <definedName name="ITC" localSheetId="2">'[4]C. Input'!$F$146</definedName>
    <definedName name="ITC" localSheetId="11">'[4]C. Input'!$F$146</definedName>
    <definedName name="ITC" localSheetId="31">'[4]C. Input'!$F$146</definedName>
    <definedName name="ITC">'[4]C. Input'!$F$146</definedName>
    <definedName name="ITCWO" localSheetId="2">'[4]C. Input'!$F$325</definedName>
    <definedName name="ITCWO" localSheetId="11">'[4]C. Input'!$F$325</definedName>
    <definedName name="ITCWO" localSheetId="31">'[4]C. Input'!$F$325</definedName>
    <definedName name="ITCWO">'[4]C. Input'!$F$325</definedName>
    <definedName name="JanCP" localSheetId="2">#REF!</definedName>
    <definedName name="JanCP" localSheetId="11">#REF!</definedName>
    <definedName name="JanCP" localSheetId="14">#REF!</definedName>
    <definedName name="JanCP" localSheetId="23">#REF!</definedName>
    <definedName name="JanCP" localSheetId="27">#REF!</definedName>
    <definedName name="JanCP">#REF!</definedName>
    <definedName name="jor" localSheetId="2">#REF!</definedName>
    <definedName name="jor" localSheetId="11">#REF!</definedName>
    <definedName name="jor" localSheetId="14">#REF!</definedName>
    <definedName name="jor" localSheetId="23">#REF!</definedName>
    <definedName name="jor">#REF!</definedName>
    <definedName name="JOUR_ENTRY" localSheetId="2">#REF!</definedName>
    <definedName name="JOUR_ENTRY" localSheetId="11">#REF!</definedName>
    <definedName name="JOUR_ENTRY" localSheetId="14">#REF!</definedName>
    <definedName name="JOUR_ENTRY" localSheetId="23">#REF!</definedName>
    <definedName name="JOUR_ENTRY">#REF!</definedName>
    <definedName name="JUL">#N/A</definedName>
    <definedName name="JUN">#N/A</definedName>
    <definedName name="Keep" localSheetId="2"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2">'[4]A.2 PTP'!$P$230</definedName>
    <definedName name="LFTSR" localSheetId="11">'[4]A.2 PTP'!$P$230</definedName>
    <definedName name="LFTSR" localSheetId="31">'[4]A.2 PTP'!$P$230</definedName>
    <definedName name="LFTSR">'[4]A.2 PTP'!$P$230</definedName>
    <definedName name="LOCATE3">#N/A</definedName>
    <definedName name="LOCTABLE" localSheetId="2">#REF!</definedName>
    <definedName name="LOCTABLE" localSheetId="11">#REF!</definedName>
    <definedName name="LOCTABLE" localSheetId="14">#REF!</definedName>
    <definedName name="LOCTABLE" localSheetId="23">#REF!</definedName>
    <definedName name="LOCTABLE" localSheetId="27">#REF!</definedName>
    <definedName name="LOCTABLE">#REF!</definedName>
    <definedName name="LOCTextLen" localSheetId="2">#REF!</definedName>
    <definedName name="LOCTextLen" localSheetId="11">#REF!</definedName>
    <definedName name="LOCTextLen" localSheetId="14">#REF!</definedName>
    <definedName name="LOCTextLen" localSheetId="23">#REF!</definedName>
    <definedName name="LOCTextLen" localSheetId="27">#REF!</definedName>
    <definedName name="LOCTextLen">#REF!</definedName>
    <definedName name="losses" localSheetId="2">#REF!</definedName>
    <definedName name="losses" localSheetId="11">#REF!</definedName>
    <definedName name="losses" localSheetId="14">#REF!</definedName>
    <definedName name="losses" localSheetId="23">#REF!</definedName>
    <definedName name="losses" localSheetId="27">#REF!</definedName>
    <definedName name="losses">#REF!</definedName>
    <definedName name="LRG_GE" localSheetId="2">#REF!</definedName>
    <definedName name="LRG_GE" localSheetId="14">#REF!</definedName>
    <definedName name="LRG_GE" localSheetId="23">#REF!</definedName>
    <definedName name="LRG_GE">#REF!</definedName>
    <definedName name="LRG_GJ" localSheetId="2">#REF!</definedName>
    <definedName name="LRG_GJ" localSheetId="14">#REF!</definedName>
    <definedName name="LRG_GJ" localSheetId="23">#REF!</definedName>
    <definedName name="LRG_GJ">#REF!</definedName>
    <definedName name="LYN" localSheetId="2">#REF!</definedName>
    <definedName name="LYN" localSheetId="14">#REF!</definedName>
    <definedName name="LYN" localSheetId="31">#REF!</definedName>
    <definedName name="LYN">#REF!</definedName>
    <definedName name="M" localSheetId="2">[7]FERCFACT!#REF!</definedName>
    <definedName name="M" localSheetId="14">[7]FERCFACT!#REF!</definedName>
    <definedName name="M">[7]FERCFACT!#REF!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2">'[4]A.2 PTP'!$P$276</definedName>
    <definedName name="MFTSR" localSheetId="11">'[4]A.2 PTP'!$P$276</definedName>
    <definedName name="MFTSR" localSheetId="31">'[4]A.2 PTP'!$P$276</definedName>
    <definedName name="MFTSR">'[4]A.2 PTP'!$P$276</definedName>
    <definedName name="Mo_roll" localSheetId="2">#REF!</definedName>
    <definedName name="Mo_roll" localSheetId="14">#REF!</definedName>
    <definedName name="Mo_roll" localSheetId="31">#REF!</definedName>
    <definedName name="Mo_roll">#REF!</definedName>
    <definedName name="MONTHS">#N/A</definedName>
    <definedName name="MOVE">#N/A</definedName>
    <definedName name="MREV" localSheetId="2">'[4]C. Input'!$F$295</definedName>
    <definedName name="MREV" localSheetId="11">'[4]C. Input'!$F$295</definedName>
    <definedName name="MREV" localSheetId="31">'[4]C. Input'!$F$295</definedName>
    <definedName name="MREV">'[4]C. Input'!$F$295</definedName>
    <definedName name="MS" localSheetId="2">'[4]C. Input'!$F$242</definedName>
    <definedName name="MS" localSheetId="11">'[4]C. Input'!$F$242</definedName>
    <definedName name="MS" localSheetId="31">'[4]C. Input'!$F$242</definedName>
    <definedName name="MS">'[4]C. Input'!$F$242</definedName>
    <definedName name="MTH">#N/A</definedName>
    <definedName name="N_A" localSheetId="2">'[4]C. Input'!#REF!</definedName>
    <definedName name="N_A" localSheetId="11">'[4]C. Input'!#REF!</definedName>
    <definedName name="N_A" localSheetId="14">'[4]C. Input'!#REF!</definedName>
    <definedName name="N_A" localSheetId="31">'[4]C. Input'!#REF!</definedName>
    <definedName name="N_A">'[4]C. Input'!#REF!</definedName>
    <definedName name="NCP">#N/A</definedName>
    <definedName name="NCP_1">#N/A</definedName>
    <definedName name="NCPK1">#N/A</definedName>
    <definedName name="NCPK1X" localSheetId="2">#REF!</definedName>
    <definedName name="NCPK1X" localSheetId="11">#REF!</definedName>
    <definedName name="NCPK1X" localSheetId="14">#REF!</definedName>
    <definedName name="NCPK1X" localSheetId="23">#REF!</definedName>
    <definedName name="NCPK1X" localSheetId="27">#REF!</definedName>
    <definedName name="NCPK1X">#REF!</definedName>
    <definedName name="NCPK2" localSheetId="2">#REF!</definedName>
    <definedName name="NCPK2" localSheetId="11">#REF!</definedName>
    <definedName name="NCPK2" localSheetId="14">#REF!</definedName>
    <definedName name="NCPK2" localSheetId="23">#REF!</definedName>
    <definedName name="NCPK2" localSheetId="27">#REF!</definedName>
    <definedName name="NCPK2">#REF!</definedName>
    <definedName name="NCPK2X" localSheetId="2">#REF!</definedName>
    <definedName name="NCPK2X" localSheetId="11">#REF!</definedName>
    <definedName name="NCPK2X" localSheetId="14">#REF!</definedName>
    <definedName name="NCPK2X" localSheetId="23">#REF!</definedName>
    <definedName name="NCPK2X" localSheetId="27">#REF!</definedName>
    <definedName name="NCPK2X">#REF!</definedName>
    <definedName name="NCPK3" localSheetId="2">#REF!</definedName>
    <definedName name="NCPK3" localSheetId="14">#REF!</definedName>
    <definedName name="NCPK3" localSheetId="23">#REF!</definedName>
    <definedName name="NCPK3">#REF!</definedName>
    <definedName name="NET_TO_ZERO" localSheetId="2">#REF!</definedName>
    <definedName name="NET_TO_ZERO" localSheetId="14">#REF!</definedName>
    <definedName name="NET_TO_ZERO" localSheetId="31">#REF!</definedName>
    <definedName name="NET_TO_ZERO">#REF!</definedName>
    <definedName name="NETWK_TRANS_PK_RPT_Print_Area" localSheetId="2">#REF!</definedName>
    <definedName name="NETWK_TRANS_PK_RPT_Print_Area" localSheetId="14">#REF!</definedName>
    <definedName name="NETWK_TRANS_PK_RPT_Print_Area" localSheetId="23">#REF!</definedName>
    <definedName name="NETWK_TRANS_PK_RPT_Print_Area">#REF!</definedName>
    <definedName name="NINE">#N/A</definedName>
    <definedName name="NoErrMsg" localSheetId="2">#REF!</definedName>
    <definedName name="NoErrMsg" localSheetId="11">#REF!</definedName>
    <definedName name="NoErrMsg" localSheetId="14">#REF!</definedName>
    <definedName name="NoErrMsg" localSheetId="23">#REF!</definedName>
    <definedName name="NoErrMsg" localSheetId="27">#REF!</definedName>
    <definedName name="NoErrMsg">#REF!</definedName>
    <definedName name="NormErrMsg" localSheetId="2">#REF!</definedName>
    <definedName name="NormErrMsg" localSheetId="11">#REF!</definedName>
    <definedName name="NormErrMsg" localSheetId="14">#REF!</definedName>
    <definedName name="NormErrMsg" localSheetId="23">#REF!</definedName>
    <definedName name="NormErrMsg" localSheetId="27">#REF!</definedName>
    <definedName name="NormErrMsg">#REF!</definedName>
    <definedName name="NOTE" localSheetId="2">#REF!</definedName>
    <definedName name="NOTE" localSheetId="11">#REF!</definedName>
    <definedName name="NOTE" localSheetId="14">#REF!</definedName>
    <definedName name="NOTE" localSheetId="23">#REF!</definedName>
    <definedName name="NOTE" localSheetId="27">#REF!</definedName>
    <definedName name="NOTE">#REF!</definedName>
    <definedName name="NOTE_A" localSheetId="2">#REF!</definedName>
    <definedName name="NOTE_A" localSheetId="14">#REF!</definedName>
    <definedName name="NOTE_A" localSheetId="23">#REF!</definedName>
    <definedName name="NOTE_A">#REF!</definedName>
    <definedName name="NOTE_B" localSheetId="2">#REF!</definedName>
    <definedName name="NOTE_B" localSheetId="14">#REF!</definedName>
    <definedName name="NOTE_B" localSheetId="23">#REF!</definedName>
    <definedName name="NOTE_B">#REF!</definedName>
    <definedName name="NOTE2" localSheetId="2">#REF!</definedName>
    <definedName name="NOTE2" localSheetId="14">#REF!</definedName>
    <definedName name="NOTE2" localSheetId="23">#REF!</definedName>
    <definedName name="NOTE2">#REF!</definedName>
    <definedName name="NOV">#N/A</definedName>
    <definedName name="NP">'MISO Cover'!$G$90</definedName>
    <definedName name="NTDR" localSheetId="2">'[4]C. Input'!$F$234</definedName>
    <definedName name="NTDR" localSheetId="11">'[4]C. Input'!$F$234</definedName>
    <definedName name="NTDR" localSheetId="31">'[4]C. Input'!$F$234</definedName>
    <definedName name="NTDR">'[4]C. Input'!$F$234</definedName>
    <definedName name="NTPLT" localSheetId="2">'[4]C. Input'!$F$164</definedName>
    <definedName name="NTPLT" localSheetId="11">'[4]C. Input'!$F$164</definedName>
    <definedName name="NTPLT" localSheetId="31">'[4]C. Input'!$F$164</definedName>
    <definedName name="NTPLT">'[4]C. Input'!$F$164</definedName>
    <definedName name="NTSRR" localSheetId="2">'[4]B.2 NITS '!$P$220</definedName>
    <definedName name="NTSRR" localSheetId="11">'[4]B.2 NITS '!$P$220</definedName>
    <definedName name="NTSRR" localSheetId="31">'[4]B.2 NITS '!$P$220</definedName>
    <definedName name="NTSRR">'[4]B.2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2">'[4]A.2 PTP'!$P$129</definedName>
    <definedName name="OTR_TST" localSheetId="11">'[4]A.2 PTP'!$P$129</definedName>
    <definedName name="OTR_TST" localSheetId="31">'[4]A.2 PTP'!$P$129</definedName>
    <definedName name="OTR_TST">'[4]A.2 PTP'!$P$129</definedName>
    <definedName name="P_TYPE">#N/A</definedName>
    <definedName name="PAGE.1" localSheetId="2">#REF!</definedName>
    <definedName name="PAGE.1" localSheetId="14">#REF!</definedName>
    <definedName name="PAGE.1">#REF!</definedName>
    <definedName name="PAGE.2" localSheetId="2">#REF!</definedName>
    <definedName name="PAGE.2" localSheetId="14">#REF!</definedName>
    <definedName name="PAGE.2">#REF!</definedName>
    <definedName name="PAGE.4" localSheetId="2">#REF!</definedName>
    <definedName name="PAGE.4" localSheetId="14">#REF!</definedName>
    <definedName name="PAGE.4">#REF!</definedName>
    <definedName name="PAGE.5" localSheetId="2">#REF!</definedName>
    <definedName name="PAGE.5" localSheetId="14">#REF!</definedName>
    <definedName name="PAGE.5">#REF!</definedName>
    <definedName name="PAGE.6" localSheetId="2">#REF!</definedName>
    <definedName name="PAGE.6" localSheetId="14">#REF!</definedName>
    <definedName name="PAGE.6">#REF!</definedName>
    <definedName name="PAGE.7" localSheetId="2">#REF!</definedName>
    <definedName name="PAGE.7" localSheetId="14">#REF!</definedName>
    <definedName name="PAGE.7">#REF!</definedName>
    <definedName name="PAGE_2A" localSheetId="2">#REF!</definedName>
    <definedName name="PAGE_2A" localSheetId="14">#REF!</definedName>
    <definedName name="PAGE_2A" localSheetId="31">#REF!</definedName>
    <definedName name="PAGE_2A">#REF!</definedName>
    <definedName name="PAGE_3B" localSheetId="2">#REF!</definedName>
    <definedName name="PAGE_3B" localSheetId="14">#REF!</definedName>
    <definedName name="PAGE_3B" localSheetId="31">#REF!</definedName>
    <definedName name="PAGE_3B">#REF!</definedName>
    <definedName name="PAGE1" localSheetId="2">[7]FERCFACT!#REF!</definedName>
    <definedName name="PAGE1" localSheetId="11">[7]FERCFACT!#REF!</definedName>
    <definedName name="PAGE1" localSheetId="14">[7]FERCFACT!#REF!</definedName>
    <definedName name="PAGE1" localSheetId="19">[7]FERCFACT!#REF!</definedName>
    <definedName name="page1" localSheetId="24">'[10]W&amp;S by group'!#REF!</definedName>
    <definedName name="PAGE1" localSheetId="27">[7]FERCFACT!#REF!</definedName>
    <definedName name="PAGE1" localSheetId="31">#REF!</definedName>
    <definedName name="PAGE1">[7]FERCFACT!#REF!</definedName>
    <definedName name="page10" localSheetId="11">'[10]W&amp;S by group'!#REF!</definedName>
    <definedName name="page10" localSheetId="14">'[10]W&amp;S by group'!#REF!</definedName>
    <definedName name="page10" localSheetId="27">'[10]W&amp;S by group'!#REF!</definedName>
    <definedName name="page10">'[10]W&amp;S by group'!#REF!</definedName>
    <definedName name="page11" localSheetId="11">'[10]W&amp;S by group'!#REF!</definedName>
    <definedName name="page11" localSheetId="14">'[10]W&amp;S by group'!#REF!</definedName>
    <definedName name="page11" localSheetId="27">'[10]W&amp;S by group'!#REF!</definedName>
    <definedName name="page11">'[10]W&amp;S by group'!#REF!</definedName>
    <definedName name="page12" localSheetId="11">'[10]W&amp;S by group'!#REF!</definedName>
    <definedName name="page12" localSheetId="14">'[10]W&amp;S by group'!#REF!</definedName>
    <definedName name="page12" localSheetId="27">'[10]W&amp;S by group'!#REF!</definedName>
    <definedName name="page12">'[10]W&amp;S by group'!#REF!</definedName>
    <definedName name="page13" localSheetId="14">'[10]W&amp;S by group'!#REF!</definedName>
    <definedName name="page13">'[10]W&amp;S by group'!#REF!</definedName>
    <definedName name="page14" localSheetId="14">'[10]W&amp;S by group'!#REF!</definedName>
    <definedName name="page14">'[10]W&amp;S by group'!#REF!</definedName>
    <definedName name="page15" localSheetId="14">'[10]W&amp;S by group'!#REF!</definedName>
    <definedName name="page15">'[10]W&amp;S by group'!#REF!</definedName>
    <definedName name="page16" localSheetId="14">'[10]W&amp;S by group'!#REF!</definedName>
    <definedName name="page16">'[10]W&amp;S by group'!#REF!</definedName>
    <definedName name="PAGE1A" localSheetId="2">#REF!</definedName>
    <definedName name="PAGE1A" localSheetId="14">#REF!</definedName>
    <definedName name="PAGE1A" localSheetId="31">#REF!</definedName>
    <definedName name="PAGE1A">#REF!</definedName>
    <definedName name="PAGE2" localSheetId="2">#REF!</definedName>
    <definedName name="PAGE2" localSheetId="11">#REF!</definedName>
    <definedName name="PAGE2" localSheetId="14">#REF!</definedName>
    <definedName name="PAGE2" localSheetId="19">#REF!</definedName>
    <definedName name="PAGE2" localSheetId="23">#REF!</definedName>
    <definedName name="page2" localSheetId="24">'[10]W&amp;S by group'!#REF!</definedName>
    <definedName name="PAGE2" localSheetId="31">#REF!</definedName>
    <definedName name="PAGE2">#REF!</definedName>
    <definedName name="PAGE3" localSheetId="2">[7]FERCFACT!#REF!</definedName>
    <definedName name="PAGE3" localSheetId="11">[7]FERCFACT!#REF!</definedName>
    <definedName name="PAGE3" localSheetId="14">[7]FERCFACT!#REF!</definedName>
    <definedName name="PAGE3" localSheetId="19">[7]FERCFACT!#REF!</definedName>
    <definedName name="page3" localSheetId="24">'[10]W&amp;S by group'!#REF!</definedName>
    <definedName name="PAGE3" localSheetId="31">#REF!</definedName>
    <definedName name="PAGE3">[7]FERCFACT!#REF!</definedName>
    <definedName name="PAGE3A" localSheetId="2">#REF!</definedName>
    <definedName name="PAGE3A" localSheetId="14">#REF!</definedName>
    <definedName name="PAGE3A" localSheetId="31">#REF!</definedName>
    <definedName name="PAGE3A">#REF!</definedName>
    <definedName name="PAGE4" localSheetId="2">#REF!</definedName>
    <definedName name="PAGE4" localSheetId="11">#REF!</definedName>
    <definedName name="PAGE4" localSheetId="14">#REF!</definedName>
    <definedName name="PAGE4" localSheetId="19">#REF!</definedName>
    <definedName name="PAGE4" localSheetId="23">#REF!</definedName>
    <definedName name="page4" localSheetId="24">'[10]W&amp;S by group'!#REF!</definedName>
    <definedName name="PAGE4" localSheetId="27">#REF!</definedName>
    <definedName name="PAGE4" localSheetId="31">#REF!</definedName>
    <definedName name="PAGE4">#REF!</definedName>
    <definedName name="PAGE4A" localSheetId="2">#REF!</definedName>
    <definedName name="PAGE4A" localSheetId="14">#REF!</definedName>
    <definedName name="PAGE4A" localSheetId="31">#REF!</definedName>
    <definedName name="PAGE4A">#REF!</definedName>
    <definedName name="PAGE5" localSheetId="2">#REF!</definedName>
    <definedName name="PAGE5" localSheetId="11">#REF!</definedName>
    <definedName name="PAGE5" localSheetId="14">#REF!</definedName>
    <definedName name="PAGE5" localSheetId="23">#REF!</definedName>
    <definedName name="page5" localSheetId="24">#REF!</definedName>
    <definedName name="PAGE5" localSheetId="27">#REF!</definedName>
    <definedName name="PAGE5" localSheetId="31">#REF!</definedName>
    <definedName name="PAGE5">#REF!</definedName>
    <definedName name="PAGE6" localSheetId="2">#REF!</definedName>
    <definedName name="PAGE6" localSheetId="11">#REF!</definedName>
    <definedName name="PAGE6" localSheetId="14">#REF!</definedName>
    <definedName name="PAGE6" localSheetId="23">#REF!</definedName>
    <definedName name="page6" localSheetId="24">#REF!</definedName>
    <definedName name="PAGE6" localSheetId="27">#REF!</definedName>
    <definedName name="PAGE6" localSheetId="31">#REF!</definedName>
    <definedName name="PAGE6">#REF!</definedName>
    <definedName name="PAGE7" localSheetId="2">#REF!</definedName>
    <definedName name="PAGE7" localSheetId="11">#REF!</definedName>
    <definedName name="PAGE7" localSheetId="14">#REF!</definedName>
    <definedName name="PAGE7" localSheetId="19">#REF!</definedName>
    <definedName name="PAGE7" localSheetId="23">#REF!</definedName>
    <definedName name="page7" localSheetId="24">'[10]W&amp;S by group'!#REF!</definedName>
    <definedName name="PAGE7" localSheetId="27">#REF!</definedName>
    <definedName name="PAGE7" localSheetId="31">#REF!</definedName>
    <definedName name="PAGE7">#REF!</definedName>
    <definedName name="PAGE8" localSheetId="2">#REF!</definedName>
    <definedName name="PAGE8" localSheetId="11">#REF!</definedName>
    <definedName name="PAGE8" localSheetId="14">#REF!</definedName>
    <definedName name="PAGE8" localSheetId="19">#REF!</definedName>
    <definedName name="PAGE8" localSheetId="23">#REF!</definedName>
    <definedName name="page8" localSheetId="24">'[10]W&amp;S by group'!#REF!</definedName>
    <definedName name="PAGE8" localSheetId="27">#REF!</definedName>
    <definedName name="PAGE8">#REF!</definedName>
    <definedName name="PAGE9" localSheetId="2">#REF!</definedName>
    <definedName name="PAGE9" localSheetId="11">#REF!</definedName>
    <definedName name="PAGE9" localSheetId="14">#REF!</definedName>
    <definedName name="PAGE9" localSheetId="19">#REF!</definedName>
    <definedName name="PAGE9" localSheetId="23">#REF!</definedName>
    <definedName name="page9" localSheetId="24">'[10]W&amp;S by group'!#REF!</definedName>
    <definedName name="PAGE9" localSheetId="27">#REF!</definedName>
    <definedName name="PAGE9">#REF!</definedName>
    <definedName name="PageA" localSheetId="2">#REF!</definedName>
    <definedName name="PageA" localSheetId="14">#REF!</definedName>
    <definedName name="PageA" localSheetId="23">#REF!</definedName>
    <definedName name="PageA" localSheetId="27">#REF!</definedName>
    <definedName name="PageA">#REF!</definedName>
    <definedName name="PageB" localSheetId="2">#REF!</definedName>
    <definedName name="PageB" localSheetId="14">#REF!</definedName>
    <definedName name="PageB" localSheetId="23">#REF!</definedName>
    <definedName name="PageB">#REF!</definedName>
    <definedName name="PageC" localSheetId="2">#REF!</definedName>
    <definedName name="PageC" localSheetId="14">#REF!</definedName>
    <definedName name="PageC" localSheetId="23">#REF!</definedName>
    <definedName name="PageC">#REF!</definedName>
    <definedName name="PEAK">#N/A</definedName>
    <definedName name="PF" localSheetId="2">'[4]C. Input'!$F$35</definedName>
    <definedName name="PF" localSheetId="11">'[4]C. Input'!$F$35</definedName>
    <definedName name="PF" localSheetId="31">'[4]C. Input'!$F$35</definedName>
    <definedName name="PF">'[4]C. Input'!$F$35</definedName>
    <definedName name="PF_EAI" localSheetId="2">'[4]C. Input'!$I$35</definedName>
    <definedName name="PF_EAI" localSheetId="11">'[4]C. Input'!$I$35</definedName>
    <definedName name="PF_EAI" localSheetId="31">'[4]C. Input'!$I$35</definedName>
    <definedName name="PF_EAI">'[4]C. Input'!$I$35</definedName>
    <definedName name="PF_EGSI" localSheetId="2">'[4]C. Input'!$L$35</definedName>
    <definedName name="PF_EGSI" localSheetId="11">'[4]C. Input'!$L$35</definedName>
    <definedName name="PF_EGSI" localSheetId="31">'[4]C. Input'!$L$35</definedName>
    <definedName name="PF_EGSI">'[4]C. Input'!$L$35</definedName>
    <definedName name="PF_ELI" localSheetId="2">'[4]C. Input'!$O$35</definedName>
    <definedName name="PF_ELI" localSheetId="11">'[4]C. Input'!$O$35</definedName>
    <definedName name="PF_ELI" localSheetId="31">'[4]C. Input'!$O$35</definedName>
    <definedName name="PF_ELI">'[4]C. Input'!$O$35</definedName>
    <definedName name="PF_EMI" localSheetId="2">'[4]C. Input'!$R$35</definedName>
    <definedName name="PF_EMI" localSheetId="11">'[4]C. Input'!$R$35</definedName>
    <definedName name="PF_EMI" localSheetId="31">'[4]C. Input'!$R$35</definedName>
    <definedName name="PF_EMI">'[4]C. Input'!$R$35</definedName>
    <definedName name="PF_ENOI" localSheetId="2">'[4]C. Input'!$X$35</definedName>
    <definedName name="PF_ENOI" localSheetId="11">'[4]C. Input'!$X$35</definedName>
    <definedName name="PF_ENOI" localSheetId="31">'[4]C. Input'!$X$35</definedName>
    <definedName name="PF_ENOI">'[4]C. Input'!$X$35</definedName>
    <definedName name="PK_1">#N/A</definedName>
    <definedName name="PPLT" localSheetId="2">'[4]C. Input'!$F$152</definedName>
    <definedName name="PPLT" localSheetId="11">'[4]C. Input'!$F$152</definedName>
    <definedName name="PPLT" localSheetId="31">'[4]C. Input'!$F$152</definedName>
    <definedName name="PPLT">'[4]C. Input'!$F$152</definedName>
    <definedName name="PPT" localSheetId="2">'[4]C. Input'!$F$244</definedName>
    <definedName name="PPT" localSheetId="11">'[4]C. Input'!$F$244</definedName>
    <definedName name="PPT" localSheetId="31">'[4]C. Input'!$F$244</definedName>
    <definedName name="PPT">'[4]C. Input'!$F$244</definedName>
    <definedName name="PR" localSheetId="2">'[4]C. Input'!$F$25</definedName>
    <definedName name="PR" localSheetId="11">'[4]C. Input'!$F$25</definedName>
    <definedName name="PR" localSheetId="31">'[4]C. Input'!$F$25</definedName>
    <definedName name="PR">'[4]C. Input'!$F$25</definedName>
    <definedName name="_xlnm.Print_Area" localSheetId="4">'App A Support'!$A$1:$D$12</definedName>
    <definedName name="_xlnm.Print_Area" localSheetId="3">'Appendix A'!$A:$H</definedName>
    <definedName name="_xlnm.Print_Area" localSheetId="0">'Explanatory Statement'!$A:$B</definedName>
    <definedName name="_xlnm.Print_Area" localSheetId="2">'MISO Cover'!$A$1:$K$239</definedName>
    <definedName name="_xlnm.Print_Area" localSheetId="9">'Support to WP02'!$A$1:$I$71</definedName>
    <definedName name="_xlnm.Print_Area" localSheetId="36">'WP AJ1 MISO'!$A:$K</definedName>
    <definedName name="_xlnm.Print_Area" localSheetId="37">'WP AJ2 ITC'!$A$1:$F$68</definedName>
    <definedName name="_xlnm.Print_Area" localSheetId="38">'WP AJ3 GPRD'!$A:$E</definedName>
    <definedName name="_xlnm.Print_Area" localSheetId="39">'WP AJ4 LA Merger'!$A$1:$E$67</definedName>
    <definedName name="_xlnm.Print_Area" localSheetId="5">'WP01 True-Up'!$A:$I</definedName>
    <definedName name="_xlnm.Print_Area" localSheetId="6">'WP01 TU Support1'!$A$1:$I$82</definedName>
    <definedName name="_xlnm.Print_Area" localSheetId="8">'WP02 Support'!$A:$I</definedName>
    <definedName name="_xlnm.Print_Area" localSheetId="10">'WP03 W&amp;S'!$A$1:$D$37</definedName>
    <definedName name="_xlnm.Print_Area" localSheetId="11">'WP04 PIS'!$A:$L</definedName>
    <definedName name="_xlnm.Print_Area" localSheetId="12">'WP04 Support'!$A$1:$L$27</definedName>
    <definedName name="_xlnm.Print_Area" localSheetId="13">'WP04 Support 2'!$A$1:$E$46</definedName>
    <definedName name="_xlnm.Print_Area" localSheetId="14">'WP05 CapAds'!$A$1:$D$27</definedName>
    <definedName name="_xlnm.Print_Area" localSheetId="15">'WP06 ADIT'!$A$1:$N$223</definedName>
    <definedName name="_xlnm.Print_Area" localSheetId="17">'WP07 M&amp;S'!$A$1:$Q$14</definedName>
    <definedName name="_xlnm.Print_Area" localSheetId="18">'WP08 Prepay'!$A$1:$Q$60</definedName>
    <definedName name="_xlnm.Print_Area" localSheetId="19">'WP09 PHFU'!$A$1:$P$18</definedName>
    <definedName name="_xlnm.Print_Area" localSheetId="20">'WP10 Storm'!$A$1:$E$68</definedName>
    <definedName name="_xlnm.Print_Area" localSheetId="21">'WP11 Credits'!$A$1:$E$16</definedName>
    <definedName name="_xlnm.Print_Area" localSheetId="22">'WP12 PBOP'!$A$1:$C$16</definedName>
    <definedName name="_xlnm.Print_Area" localSheetId="23">'WP13 TOTI'!$A$1:$H$50</definedName>
    <definedName name="_xlnm.Print_Area" localSheetId="24">'WP14 COC'!$A$1:$J$57,'WP14 COC'!$K$1:$Q$48</definedName>
    <definedName name="_xlnm.Print_Area" localSheetId="25">'WP15 Radials'!$A$1:$G$19</definedName>
    <definedName name="_xlnm.Print_Area" localSheetId="26">'WP16 Interconn'!$A$1:$P$23</definedName>
    <definedName name="_xlnm.Print_Area" localSheetId="27">'WP17 Rev'!$A$1:$I$71</definedName>
    <definedName name="_xlnm.Print_Area" localSheetId="28">'WP17 Rev Support'!$A$1:$E$31</definedName>
    <definedName name="_xlnm.Print_Area" localSheetId="30">'WP18 Depr Support'!$A$1:$D$29</definedName>
    <definedName name="_xlnm.Print_Area" localSheetId="29">'WP18 Deprec'!$A$1:$F$53</definedName>
    <definedName name="_xlnm.Print_Area" localSheetId="31">'WP19 Load'!$A$1:$O$53</definedName>
    <definedName name="_xlnm.Print_Area" localSheetId="32">'WP20 Reserves'!$A$1:$Q$30</definedName>
    <definedName name="_xlnm.Print_Area" localSheetId="33">'WP21 Pension'!$A$1:$K$30</definedName>
    <definedName name="_xlnm.Print_Area" localSheetId="34">'WP22 IT Adj'!$A$1:$D$29</definedName>
    <definedName name="_xlnm.Print_Area" localSheetId="35">'WP22 Support'!$A$1:$G$27</definedName>
    <definedName name="_xlnm.Print_Area">'[2]BC 2 2005BC'!#REF!</definedName>
    <definedName name="PRINT_AREA_MI" localSheetId="2">'[2]BC 2 2005BC'!#REF!</definedName>
    <definedName name="PRINT_AREA_MI" localSheetId="11">'[2]BC 2 2005BC'!#REF!</definedName>
    <definedName name="PRINT_AREA_MI" localSheetId="14">'[2]BC 2 2005BC'!#REF!</definedName>
    <definedName name="PRINT_AREA_MI" localSheetId="27">'[2]BC 2 2005BC'!#REF!</definedName>
    <definedName name="Print_Area_MI" localSheetId="31">#REF!</definedName>
    <definedName name="PRINT_AREA_MI">'[2]BC 2 2005BC'!#REF!</definedName>
    <definedName name="Print_Area_MI.1" localSheetId="2">#REF!</definedName>
    <definedName name="Print_Area_MI.1" localSheetId="14">#REF!</definedName>
    <definedName name="Print_Area_MI.1">#REF!</definedName>
    <definedName name="_xlnm.Print_Titles" localSheetId="3">'Appendix A'!$1:$6</definedName>
    <definedName name="_xlnm.Print_Titles" localSheetId="9">'Support to WP02'!$1:$7</definedName>
    <definedName name="_xlnm.Print_Titles" localSheetId="36">'WP AJ1 MISO'!$1:$11</definedName>
    <definedName name="_xlnm.Print_Titles" localSheetId="37">'WP AJ2 ITC'!$B:$C,'WP AJ2 ITC'!$1:$7</definedName>
    <definedName name="_xlnm.Print_Titles" localSheetId="5">'WP01 True-Up'!$1:$7</definedName>
    <definedName name="_xlnm.Print_Titles" localSheetId="6">'WP01 TU Support1'!$1:$7</definedName>
    <definedName name="_xlnm.Print_Titles" localSheetId="8">'WP02 Support'!$1:$6</definedName>
    <definedName name="_xlnm.Print_Titles" localSheetId="11">'WP04 PIS'!$1:$3</definedName>
    <definedName name="_xlnm.Print_Titles" localSheetId="15">'WP06 ADIT'!$1:$7</definedName>
    <definedName name="_xlnm.Print_Titles" localSheetId="24">'WP14 COC'!$A:$C,'WP14 COC'!$1:$6</definedName>
    <definedName name="_xlnm.Print_Titles" localSheetId="25">'WP15 Radials'!$1:$6</definedName>
    <definedName name="_xlnm.Print_Titles" localSheetId="32">'WP20 Reserves'!$B:$C</definedName>
    <definedName name="PRINTFILE" localSheetId="2">#REF!</definedName>
    <definedName name="PRINTFILE" localSheetId="11">#REF!</definedName>
    <definedName name="PRINTFILE" localSheetId="14">#REF!</definedName>
    <definedName name="PRINTFILE" localSheetId="23">#REF!</definedName>
    <definedName name="PRINTFILE" localSheetId="27">#REF!</definedName>
    <definedName name="PRINTFILE">#REF!</definedName>
    <definedName name="PROJ_WOTextLen" localSheetId="2">#REF!</definedName>
    <definedName name="PROJ_WOTextLen" localSheetId="11">#REF!</definedName>
    <definedName name="PROJ_WOTextLen" localSheetId="14">#REF!</definedName>
    <definedName name="PROJ_WOTextLen" localSheetId="23">#REF!</definedName>
    <definedName name="PROJ_WOTextLen" localSheetId="27">#REF!</definedName>
    <definedName name="PROJ_WOTextLen">#REF!</definedName>
    <definedName name="Projection" localSheetId="2">'[5]Appendix A'!$H$7</definedName>
    <definedName name="Projection">'[5]Appendix A'!$H$7</definedName>
    <definedName name="PSLJ8LG">#N/A</definedName>
    <definedName name="PSOKI6">#N/A</definedName>
    <definedName name="PXAG" localSheetId="2">'[4]C. Input'!$F$185</definedName>
    <definedName name="PXAG" localSheetId="11">'[4]C. Input'!$F$185</definedName>
    <definedName name="PXAG" localSheetId="31">'[4]C. Input'!$F$185</definedName>
    <definedName name="PXAG">'[4]C. Input'!$F$185</definedName>
    <definedName name="PXAG_561" localSheetId="2">'[4]C. Input'!#REF!</definedName>
    <definedName name="PXAG_561" localSheetId="11">'[4]C. Input'!#REF!</definedName>
    <definedName name="PXAG_561" localSheetId="14">'[4]C. Input'!#REF!</definedName>
    <definedName name="PXAG_561" localSheetId="31">'[4]C. Input'!#REF!</definedName>
    <definedName name="PXAG_561">'[4]C. Input'!#REF!</definedName>
    <definedName name="PXAG_EAI" localSheetId="2">'[4]C. Input'!#REF!</definedName>
    <definedName name="PXAG_EAI" localSheetId="11">'[4]C. Input'!#REF!</definedName>
    <definedName name="PXAG_EAI" localSheetId="14">'[4]C. Input'!#REF!</definedName>
    <definedName name="PXAG_EAI" localSheetId="31">'[4]C. Input'!#REF!</definedName>
    <definedName name="PXAG_EAI">'[4]C. Input'!#REF!</definedName>
    <definedName name="PXAG_EGSI" localSheetId="2">'[4]C. Input'!#REF!</definedName>
    <definedName name="PXAG_EGSI" localSheetId="11">'[4]C. Input'!#REF!</definedName>
    <definedName name="PXAG_EGSI" localSheetId="14">'[4]C. Input'!#REF!</definedName>
    <definedName name="PXAG_EGSI" localSheetId="31">'[4]C. Input'!#REF!</definedName>
    <definedName name="PXAG_EGSI">'[4]C. Input'!#REF!</definedName>
    <definedName name="PXAG_ELI" localSheetId="2">'[4]C. Input'!#REF!</definedName>
    <definedName name="PXAG_ELI" localSheetId="11">'[4]C. Input'!#REF!</definedName>
    <definedName name="PXAG_ELI" localSheetId="14">'[4]C. Input'!#REF!</definedName>
    <definedName name="PXAG_ELI" localSheetId="31">'[4]C. Input'!#REF!</definedName>
    <definedName name="PXAG_ELI">'[4]C. Input'!#REF!</definedName>
    <definedName name="PXAG_EMI" localSheetId="2">'[4]C. Input'!#REF!</definedName>
    <definedName name="PXAG_EMI" localSheetId="11">'[4]C. Input'!#REF!</definedName>
    <definedName name="PXAG_EMI" localSheetId="14">'[4]C. Input'!#REF!</definedName>
    <definedName name="PXAG_EMI" localSheetId="31">'[4]C. Input'!#REF!</definedName>
    <definedName name="PXAG_EMI">'[4]C. Input'!#REF!</definedName>
    <definedName name="PXAG_ENOI" localSheetId="2">'[4]C. Input'!#REF!</definedName>
    <definedName name="PXAG_ENOI" localSheetId="11">'[4]C. Input'!#REF!</definedName>
    <definedName name="PXAG_ENOI" localSheetId="14">'[4]C. Input'!#REF!</definedName>
    <definedName name="PXAG_ENOI" localSheetId="31">'[4]C. Input'!#REF!</definedName>
    <definedName name="PXAG_ENOI">'[4]C. Input'!#REF!</definedName>
    <definedName name="PXAGBAD" localSheetId="2">'[4]C. Input'!#REF!</definedName>
    <definedName name="PXAGBAD" localSheetId="11">'[4]C. Input'!#REF!</definedName>
    <definedName name="PXAGBAD" localSheetId="14">'[4]C. Input'!#REF!</definedName>
    <definedName name="PXAGBAD" localSheetId="31">'[4]C. Input'!#REF!</definedName>
    <definedName name="PXAGBAD">'[4]C. Input'!#REF!</definedName>
    <definedName name="PYTX" localSheetId="2">'[4]C. Input'!$F$220</definedName>
    <definedName name="PYTX" localSheetId="11">'[4]C. Input'!$F$220</definedName>
    <definedName name="PYTX" localSheetId="31">'[4]C. Input'!$F$220</definedName>
    <definedName name="PYTX">'[4]C. Input'!$F$220</definedName>
    <definedName name="Q" localSheetId="2">#REF!</definedName>
    <definedName name="Q" localSheetId="11">#REF!</definedName>
    <definedName name="Q" localSheetId="14">#REF!</definedName>
    <definedName name="Q" localSheetId="23">#REF!</definedName>
    <definedName name="Q" localSheetId="27">#REF!</definedName>
    <definedName name="Q">#REF!</definedName>
    <definedName name="RA" localSheetId="2">'[4]C. Input'!$F$343</definedName>
    <definedName name="RA" localSheetId="11">'[4]C. Input'!$F$343</definedName>
    <definedName name="RA" localSheetId="31">'[4]C. Input'!$F$343</definedName>
    <definedName name="RA">'[4]C. Input'!$F$343</definedName>
    <definedName name="RECAP" localSheetId="2">#REF!</definedName>
    <definedName name="RECAP" localSheetId="14">#REF!</definedName>
    <definedName name="RECAP" localSheetId="31">#REF!</definedName>
    <definedName name="RECAP">#REF!</definedName>
    <definedName name="_xlnm.Recorder" localSheetId="2">#REF!</definedName>
    <definedName name="_xlnm.Recorder" localSheetId="11">#REF!</definedName>
    <definedName name="_xlnm.Recorder" localSheetId="14">#REF!</definedName>
    <definedName name="_xlnm.Recorder" localSheetId="23">#REF!</definedName>
    <definedName name="_xlnm.Recorder" localSheetId="27">#REF!</definedName>
    <definedName name="_xlnm.Recorder">#REF!</definedName>
    <definedName name="RES_CPB" localSheetId="2">#REF!</definedName>
    <definedName name="RES_CPB" localSheetId="11">#REF!</definedName>
    <definedName name="RES_CPB" localSheetId="14">#REF!</definedName>
    <definedName name="RES_CPB" localSheetId="23">#REF!</definedName>
    <definedName name="RES_CPB" localSheetId="27">#REF!</definedName>
    <definedName name="RES_CPB">#REF!</definedName>
    <definedName name="retail" localSheetId="2"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2">#REF!</definedName>
    <definedName name="RID" localSheetId="14">#REF!</definedName>
    <definedName name="RID" localSheetId="31">#REF!</definedName>
    <definedName name="RID">#REF!</definedName>
    <definedName name="right">OFFSET(!A1,0,1)</definedName>
    <definedName name="RRE" localSheetId="2">'[4]C. Input'!$F$207</definedName>
    <definedName name="RRE" localSheetId="11">'[4]C. Input'!$F$207</definedName>
    <definedName name="RRE" localSheetId="31">'[4]C. Input'!$F$207</definedName>
    <definedName name="RRE">'[4]C. Input'!$F$207</definedName>
    <definedName name="RTX" localSheetId="2">'[4]C. Input'!$F$222</definedName>
    <definedName name="RTX" localSheetId="11">'[4]C. Input'!$F$222</definedName>
    <definedName name="RTX" localSheetId="31">'[4]C. Input'!$F$222</definedName>
    <definedName name="RTX">'[4]C. Input'!$F$222</definedName>
    <definedName name="S" localSheetId="2">'[4]C. Input'!$F$76</definedName>
    <definedName name="S" localSheetId="11">'[4]C. Input'!$F$76</definedName>
    <definedName name="S" localSheetId="31">'[4]C. Input'!$F$76</definedName>
    <definedName name="S">'[4]C. Input'!$F$76</definedName>
    <definedName name="SAPBEXrevision" hidden="1">1</definedName>
    <definedName name="SAPBEXsysID" hidden="1">"BWP"</definedName>
    <definedName name="SAPBEXwbID" hidden="1">"45EQYSCWE9WJMGB34OOD1BOQZ"</definedName>
    <definedName name="SECUR_GI" localSheetId="2">'[4]C. Input'!$F$353</definedName>
    <definedName name="SECUR_GI" localSheetId="11">'[4]C. Input'!$F$353</definedName>
    <definedName name="SECUR_GI" localSheetId="31">'[4]C. Input'!$F$353</definedName>
    <definedName name="SECUR_GI">'[4]C. Input'!$F$353</definedName>
    <definedName name="SECUR_IS" localSheetId="2">'[4]C. Input'!$F$357</definedName>
    <definedName name="SECUR_IS" localSheetId="11">'[4]C. Input'!$F$357</definedName>
    <definedName name="SECUR_IS" localSheetId="31">'[4]C. Input'!$F$357</definedName>
    <definedName name="SECUR_IS">'[4]C. Input'!$F$357</definedName>
    <definedName name="SECUR_KR" localSheetId="2">'[4]C. Input'!$F$349</definedName>
    <definedName name="SECUR_KR" localSheetId="11">'[4]C. Input'!$F$349</definedName>
    <definedName name="SECUR_KR" localSheetId="31">'[4]C. Input'!$F$349</definedName>
    <definedName name="SECUR_KR">'[4]C. Input'!$F$349</definedName>
    <definedName name="SELECT">#N/A</definedName>
    <definedName name="SEP">#N/A</definedName>
    <definedName name="SEVEN">#N/A</definedName>
    <definedName name="shit" localSheetId="2"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2">#REF!</definedName>
    <definedName name="Spot_Purchases_and_Tailgate" localSheetId="11">#REF!</definedName>
    <definedName name="Spot_Purchases_and_Tailgate" localSheetId="14">#REF!</definedName>
    <definedName name="Spot_Purchases_and_Tailgate" localSheetId="23">#REF!</definedName>
    <definedName name="Spot_Purchases_and_Tailgate" localSheetId="27">#REF!</definedName>
    <definedName name="Spot_Purchases_and_Tailgate">#REF!</definedName>
    <definedName name="SPOTE_04" localSheetId="2">#REF!</definedName>
    <definedName name="SPOTE_04" localSheetId="11">#REF!</definedName>
    <definedName name="SPOTE_04" localSheetId="14">#REF!</definedName>
    <definedName name="SPOTE_04" localSheetId="23">#REF!</definedName>
    <definedName name="SPOTE_04" localSheetId="27">#REF!</definedName>
    <definedName name="SPOTE_04">#REF!</definedName>
    <definedName name="START" localSheetId="2">#REF!</definedName>
    <definedName name="START" localSheetId="11">#REF!</definedName>
    <definedName name="START" localSheetId="14">#REF!</definedName>
    <definedName name="START" localSheetId="23">#REF!</definedName>
    <definedName name="START" localSheetId="27">#REF!</definedName>
    <definedName name="START">#REF!</definedName>
    <definedName name="STARTCR" localSheetId="2">#REF!</definedName>
    <definedName name="STARTCR" localSheetId="14">#REF!</definedName>
    <definedName name="STARTCR" localSheetId="23">#REF!</definedName>
    <definedName name="STARTCR">#REF!</definedName>
    <definedName name="STARTDR" localSheetId="2">#REF!</definedName>
    <definedName name="STARTDR" localSheetId="14">#REF!</definedName>
    <definedName name="STARTDR" localSheetId="23">#REF!</definedName>
    <definedName name="STARTDR">#REF!</definedName>
    <definedName name="SUBTITLE">#N/A</definedName>
    <definedName name="SUMMARY" localSheetId="2">#REF!</definedName>
    <definedName name="SUMMARY" localSheetId="14">#REF!</definedName>
    <definedName name="SUMMARY" localSheetId="31">#REF!</definedName>
    <definedName name="SUMMARY">#REF!</definedName>
    <definedName name="SUPPORTING_DATA_TO_UPLOAD" localSheetId="2">#REF!</definedName>
    <definedName name="SUPPORTING_DATA_TO_UPLOAD" localSheetId="11">#REF!</definedName>
    <definedName name="SUPPORTING_DATA_TO_UPLOAD" localSheetId="14">#REF!</definedName>
    <definedName name="SUPPORTING_DATA_TO_UPLOAD" localSheetId="23">#REF!</definedName>
    <definedName name="SUPPORTING_DATA_TO_UPLOAD" localSheetId="27">#REF!</definedName>
    <definedName name="SUPPORTING_DATA_TO_UPLOAD">#REF!</definedName>
    <definedName name="suz" localSheetId="11">'[2]BC 2 2005BC'!#REF!</definedName>
    <definedName name="suz" localSheetId="14">'[2]BC 2 2005BC'!#REF!</definedName>
    <definedName name="suz" localSheetId="27">'[2]BC 2 2005BC'!#REF!</definedName>
    <definedName name="suz">'[2]BC 2 2005BC'!#REF!</definedName>
    <definedName name="TABLE4_1" localSheetId="2">#REF!</definedName>
    <definedName name="TABLE4_1" localSheetId="14">#REF!</definedName>
    <definedName name="TABLE4_1" localSheetId="31">#REF!</definedName>
    <definedName name="TABLE4_1">#REF!</definedName>
    <definedName name="TABLE4_2" localSheetId="2">#REF!</definedName>
    <definedName name="TABLE4_2" localSheetId="14">#REF!</definedName>
    <definedName name="TABLE4_2" localSheetId="31">#REF!</definedName>
    <definedName name="TABLE4_2">#REF!</definedName>
    <definedName name="TDR_ITC" localSheetId="2">'[4]C. Input'!#REF!</definedName>
    <definedName name="TDR_ITC" localSheetId="11">'[4]C. Input'!#REF!</definedName>
    <definedName name="TDR_ITC" localSheetId="14">'[4]C. Input'!#REF!</definedName>
    <definedName name="TDR_ITC" localSheetId="19">'[4]C. Input'!#REF!</definedName>
    <definedName name="TDR_ITC" localSheetId="31">'[4]C. Input'!#REF!</definedName>
    <definedName name="TDR_ITC">'[4]C. Input'!#REF!</definedName>
    <definedName name="TDR_TD" localSheetId="2">'[4]C. Input'!#REF!</definedName>
    <definedName name="TDR_TD" localSheetId="11">'[4]C. Input'!#REF!</definedName>
    <definedName name="TDR_TD" localSheetId="14">'[4]C. Input'!#REF!</definedName>
    <definedName name="TDR_TD" localSheetId="19">'[4]C. Input'!#REF!</definedName>
    <definedName name="TDR_TD" localSheetId="31">'[4]C. Input'!#REF!</definedName>
    <definedName name="TDR_TD">'[4]C. Input'!#REF!</definedName>
    <definedName name="TDRXS" localSheetId="2">'[4]C. Input'!$F$234</definedName>
    <definedName name="TDRXS" localSheetId="11">'[4]C. Input'!$F$234</definedName>
    <definedName name="TDRXS" localSheetId="31">'[4]C. Input'!$F$234</definedName>
    <definedName name="TDRXS">'[4]C. Input'!$F$234</definedName>
    <definedName name="TDX" localSheetId="2">'[4]C. Input'!$F$304</definedName>
    <definedName name="TDX" localSheetId="11">'[4]C. Input'!$F$304</definedName>
    <definedName name="TDX" localSheetId="31">'[4]C. Input'!$F$304</definedName>
    <definedName name="TDX">'[4]C. Input'!$F$304</definedName>
    <definedName name="TDX_TD" localSheetId="2">'[4]C. Input'!#REF!</definedName>
    <definedName name="TDX_TD" localSheetId="11">'[4]C. Input'!#REF!</definedName>
    <definedName name="TDX_TD" localSheetId="14">'[4]C. Input'!#REF!</definedName>
    <definedName name="TDX_TD" localSheetId="31">'[4]C. Input'!#REF!</definedName>
    <definedName name="TDX_TD">'[4]C. Input'!#REF!</definedName>
    <definedName name="TEN">#N/A</definedName>
    <definedName name="TEQ" localSheetId="2">'[4]C. Input'!$F$277</definedName>
    <definedName name="TEQ" localSheetId="11">'[4]C. Input'!$F$277</definedName>
    <definedName name="TEQ" localSheetId="31">'[4]C. Input'!$F$277</definedName>
    <definedName name="TEQ">'[4]C. Input'!$F$277</definedName>
    <definedName name="test" localSheetId="2" hidden="1">{"LBO Summary",#N/A,FALSE,"Summary"}</definedName>
    <definedName name="test" localSheetId="11" hidden="1">{"LBO Summary",#N/A,FALSE,"Summary"}</definedName>
    <definedName name="test" localSheetId="19" hidden="1">{"LBO Summary",#N/A,FALSE,"Summary"}</definedName>
    <definedName name="test" localSheetId="30" hidden="1">{"LBO Summary",#N/A,FALSE,"Summary"}</definedName>
    <definedName name="test" localSheetId="31" hidden="1">{"LBO Summary",#N/A,FALSE,"Summary"}</definedName>
    <definedName name="test" hidden="1">{"LBO Summary",#N/A,FALSE,"Summary"}</definedName>
    <definedName name="test1" localSheetId="2" hidden="1">{"LBO Summary",#N/A,FALSE,"Summary";"Income Statement",#N/A,FALSE,"Model";"Cash Flow",#N/A,FALSE,"Model";"Balance Sheet",#N/A,FALSE,"Model";"Working Capital",#N/A,FALSE,"Model";"Pro Forma Balance Sheets",#N/A,FALSE,"PFBS";"Debt Balances",#N/A,FALSE,"Model";"Fee Schedules",#N/A,FALSE,"Model"}</definedName>
    <definedName name="test1" localSheetId="11" hidden="1">{"LBO Summary",#N/A,FALSE,"Summary";"Income Statement",#N/A,FALSE,"Model";"Cash Flow",#N/A,FALSE,"Model";"Balance Sheet",#N/A,FALSE,"Model";"Working Capital",#N/A,FALSE,"Model";"Pro Forma Balance Sheets",#N/A,FALSE,"PFBS";"Debt Balances",#N/A,FALSE,"Model";"Fee Schedules",#N/A,FALSE,"Model"}</definedName>
    <definedName name="test1" localSheetId="19" hidden="1">{"LBO Summary",#N/A,FALSE,"Summary";"Income Statement",#N/A,FALSE,"Model";"Cash Flow",#N/A,FALSE,"Model";"Balance Sheet",#N/A,FALSE,"Model";"Working Capital",#N/A,FALSE,"Model";"Pro Forma Balance Sheets",#N/A,FALSE,"PFBS";"Debt Balances",#N/A,FALSE,"Model";"Fee Schedules",#N/A,FALSE,"Model"}</definedName>
    <definedName name="test1" localSheetId="30" hidden="1">{"LBO Summary",#N/A,FALSE,"Summary";"Income Statement",#N/A,FALSE,"Model";"Cash Flow",#N/A,FALSE,"Model";"Balance Sheet",#N/A,FALSE,"Model";"Working Capital",#N/A,FALSE,"Model";"Pro Forma Balance Sheets",#N/A,FALSE,"PFBS";"Debt Balances",#N/A,FALSE,"Model";"Fee Schedules",#N/A,FALSE,"Model"}</definedName>
    <definedName name="test1" localSheetId="31"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2" hidden="1">{"LBO Summary",#N/A,FALSE,"Summary";"Income Statement",#N/A,FALSE,"Model";"Cash Flow",#N/A,FALSE,"Model";"Balance Sheet",#N/A,FALSE,"Model";"Working Capital",#N/A,FALSE,"Model";"Pro Forma Balance Sheets",#N/A,FALSE,"PFBS";"Debt Balances",#N/A,FALSE,"Model";"Fee Schedules",#N/A,FALSE,"Model"}</definedName>
    <definedName name="test10" localSheetId="11" hidden="1">{"LBO Summary",#N/A,FALSE,"Summary";"Income Statement",#N/A,FALSE,"Model";"Cash Flow",#N/A,FALSE,"Model";"Balance Sheet",#N/A,FALSE,"Model";"Working Capital",#N/A,FALSE,"Model";"Pro Forma Balance Sheets",#N/A,FALSE,"PFBS";"Debt Balances",#N/A,FALSE,"Model";"Fee Schedules",#N/A,FALSE,"Model"}</definedName>
    <definedName name="test10" localSheetId="19" hidden="1">{"LBO Summary",#N/A,FALSE,"Summary";"Income Statement",#N/A,FALSE,"Model";"Cash Flow",#N/A,FALSE,"Model";"Balance Sheet",#N/A,FALSE,"Model";"Working Capital",#N/A,FALSE,"Model";"Pro Forma Balance Sheets",#N/A,FALSE,"PFBS";"Debt Balances",#N/A,FALSE,"Model";"Fee Schedules",#N/A,FALSE,"Model"}</definedName>
    <definedName name="test10" localSheetId="30" hidden="1">{"LBO Summary",#N/A,FALSE,"Summary";"Income Statement",#N/A,FALSE,"Model";"Cash Flow",#N/A,FALSE,"Model";"Balance Sheet",#N/A,FALSE,"Model";"Working Capital",#N/A,FALSE,"Model";"Pro Forma Balance Sheets",#N/A,FALSE,"PFBS";"Debt Balances",#N/A,FALSE,"Model";"Fee Schedules",#N/A,FALSE,"Model"}</definedName>
    <definedName name="test10" localSheetId="3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2" hidden="1">{"LBO Summary",#N/A,FALSE,"Summary"}</definedName>
    <definedName name="test11" localSheetId="11" hidden="1">{"LBO Summary",#N/A,FALSE,"Summary"}</definedName>
    <definedName name="test11" localSheetId="19" hidden="1">{"LBO Summary",#N/A,FALSE,"Summary"}</definedName>
    <definedName name="test11" localSheetId="30" hidden="1">{"LBO Summary",#N/A,FALSE,"Summary"}</definedName>
    <definedName name="test11" localSheetId="31" hidden="1">{"LBO Summary",#N/A,FALSE,"Summary"}</definedName>
    <definedName name="test11" hidden="1">{"LBO Summary",#N/A,FALSE,"Summary"}</definedName>
    <definedName name="test12" localSheetId="2" hidden="1">{"assumptions",#N/A,FALSE,"Scenario 1";"valuation",#N/A,FALSE,"Scenario 1"}</definedName>
    <definedName name="test12" localSheetId="11" hidden="1">{"assumptions",#N/A,FALSE,"Scenario 1";"valuation",#N/A,FALSE,"Scenario 1"}</definedName>
    <definedName name="test12" localSheetId="19" hidden="1">{"assumptions",#N/A,FALSE,"Scenario 1";"valuation",#N/A,FALSE,"Scenario 1"}</definedName>
    <definedName name="test12" localSheetId="30" hidden="1">{"assumptions",#N/A,FALSE,"Scenario 1";"valuation",#N/A,FALSE,"Scenario 1"}</definedName>
    <definedName name="test12" localSheetId="31" hidden="1">{"assumptions",#N/A,FALSE,"Scenario 1";"valuation",#N/A,FALSE,"Scenario 1"}</definedName>
    <definedName name="test12" hidden="1">{"assumptions",#N/A,FALSE,"Scenario 1";"valuation",#N/A,FALSE,"Scenario 1"}</definedName>
    <definedName name="test13" localSheetId="2" hidden="1">{"LBO Summary",#N/A,FALSE,"Summary"}</definedName>
    <definedName name="test13" localSheetId="11" hidden="1">{"LBO Summary",#N/A,FALSE,"Summary"}</definedName>
    <definedName name="test13" localSheetId="19" hidden="1">{"LBO Summary",#N/A,FALSE,"Summary"}</definedName>
    <definedName name="test13" localSheetId="30" hidden="1">{"LBO Summary",#N/A,FALSE,"Summary"}</definedName>
    <definedName name="test13" localSheetId="31" hidden="1">{"LBO Summary",#N/A,FALSE,"Summary"}</definedName>
    <definedName name="test13" hidden="1">{"LBO Summary",#N/A,FALSE,"Summary"}</definedName>
    <definedName name="test14" localSheetId="2" hidden="1">{"LBO Summary",#N/A,FALSE,"Summary";"Income Statement",#N/A,FALSE,"Model";"Cash Flow",#N/A,FALSE,"Model";"Balance Sheet",#N/A,FALSE,"Model";"Working Capital",#N/A,FALSE,"Model";"Pro Forma Balance Sheets",#N/A,FALSE,"PFBS";"Debt Balances",#N/A,FALSE,"Model";"Fee Schedules",#N/A,FALSE,"Model"}</definedName>
    <definedName name="test14" localSheetId="11" hidden="1">{"LBO Summary",#N/A,FALSE,"Summary";"Income Statement",#N/A,FALSE,"Model";"Cash Flow",#N/A,FALSE,"Model";"Balance Sheet",#N/A,FALSE,"Model";"Working Capital",#N/A,FALSE,"Model";"Pro Forma Balance Sheets",#N/A,FALSE,"PFBS";"Debt Balances",#N/A,FALSE,"Model";"Fee Schedules",#N/A,FALSE,"Model"}</definedName>
    <definedName name="test14" localSheetId="19" hidden="1">{"LBO Summary",#N/A,FALSE,"Summary";"Income Statement",#N/A,FALSE,"Model";"Cash Flow",#N/A,FALSE,"Model";"Balance Sheet",#N/A,FALSE,"Model";"Working Capital",#N/A,FALSE,"Model";"Pro Forma Balance Sheets",#N/A,FALSE,"PFBS";"Debt Balances",#N/A,FALSE,"Model";"Fee Schedules",#N/A,FALSE,"Model"}</definedName>
    <definedName name="test14" localSheetId="30" hidden="1">{"LBO Summary",#N/A,FALSE,"Summary";"Income Statement",#N/A,FALSE,"Model";"Cash Flow",#N/A,FALSE,"Model";"Balance Sheet",#N/A,FALSE,"Model";"Working Capital",#N/A,FALSE,"Model";"Pro Forma Balance Sheets",#N/A,FALSE,"PFBS";"Debt Balances",#N/A,FALSE,"Model";"Fee Schedules",#N/A,FALSE,"Model"}</definedName>
    <definedName name="test14" localSheetId="31"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2" hidden="1">{"LBO Summary",#N/A,FALSE,"Summary";"Income Statement",#N/A,FALSE,"Model";"Cash Flow",#N/A,FALSE,"Model";"Balance Sheet",#N/A,FALSE,"Model";"Working Capital",#N/A,FALSE,"Model";"Pro Forma Balance Sheets",#N/A,FALSE,"PFBS";"Debt Balances",#N/A,FALSE,"Model";"Fee Schedules",#N/A,FALSE,"Model"}</definedName>
    <definedName name="test15" localSheetId="11" hidden="1">{"LBO Summary",#N/A,FALSE,"Summary";"Income Statement",#N/A,FALSE,"Model";"Cash Flow",#N/A,FALSE,"Model";"Balance Sheet",#N/A,FALSE,"Model";"Working Capital",#N/A,FALSE,"Model";"Pro Forma Balance Sheets",#N/A,FALSE,"PFBS";"Debt Balances",#N/A,FALSE,"Model";"Fee Schedules",#N/A,FALSE,"Model"}</definedName>
    <definedName name="test15" localSheetId="19" hidden="1">{"LBO Summary",#N/A,FALSE,"Summary";"Income Statement",#N/A,FALSE,"Model";"Cash Flow",#N/A,FALSE,"Model";"Balance Sheet",#N/A,FALSE,"Model";"Working Capital",#N/A,FALSE,"Model";"Pro Forma Balance Sheets",#N/A,FALSE,"PFBS";"Debt Balances",#N/A,FALSE,"Model";"Fee Schedules",#N/A,FALSE,"Model"}</definedName>
    <definedName name="test15" localSheetId="30" hidden="1">{"LBO Summary",#N/A,FALSE,"Summary";"Income Statement",#N/A,FALSE,"Model";"Cash Flow",#N/A,FALSE,"Model";"Balance Sheet",#N/A,FALSE,"Model";"Working Capital",#N/A,FALSE,"Model";"Pro Forma Balance Sheets",#N/A,FALSE,"PFBS";"Debt Balances",#N/A,FALSE,"Model";"Fee Schedules",#N/A,FALSE,"Model"}</definedName>
    <definedName name="test15" localSheetId="31"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2" hidden="1">{"LBO Summary",#N/A,FALSE,"Summary";"Income Statement",#N/A,FALSE,"Model";"Cash Flow",#N/A,FALSE,"Model";"Balance Sheet",#N/A,FALSE,"Model";"Working Capital",#N/A,FALSE,"Model";"Pro Forma Balance Sheets",#N/A,FALSE,"PFBS";"Debt Balances",#N/A,FALSE,"Model";"Fee Schedules",#N/A,FALSE,"Model"}</definedName>
    <definedName name="test16" localSheetId="11" hidden="1">{"LBO Summary",#N/A,FALSE,"Summary";"Income Statement",#N/A,FALSE,"Model";"Cash Flow",#N/A,FALSE,"Model";"Balance Sheet",#N/A,FALSE,"Model";"Working Capital",#N/A,FALSE,"Model";"Pro Forma Balance Sheets",#N/A,FALSE,"PFBS";"Debt Balances",#N/A,FALSE,"Model";"Fee Schedules",#N/A,FALSE,"Model"}</definedName>
    <definedName name="test16" localSheetId="19" hidden="1">{"LBO Summary",#N/A,FALSE,"Summary";"Income Statement",#N/A,FALSE,"Model";"Cash Flow",#N/A,FALSE,"Model";"Balance Sheet",#N/A,FALSE,"Model";"Working Capital",#N/A,FALSE,"Model";"Pro Forma Balance Sheets",#N/A,FALSE,"PFBS";"Debt Balances",#N/A,FALSE,"Model";"Fee Schedules",#N/A,FALSE,"Model"}</definedName>
    <definedName name="test16" localSheetId="30" hidden="1">{"LBO Summary",#N/A,FALSE,"Summary";"Income Statement",#N/A,FALSE,"Model";"Cash Flow",#N/A,FALSE,"Model";"Balance Sheet",#N/A,FALSE,"Model";"Working Capital",#N/A,FALSE,"Model";"Pro Forma Balance Sheets",#N/A,FALSE,"PFBS";"Debt Balances",#N/A,FALSE,"Model";"Fee Schedules",#N/A,FALSE,"Model"}</definedName>
    <definedName name="test16" localSheetId="31"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2" hidden="1">{"LBO Summary",#N/A,FALSE,"Summary"}</definedName>
    <definedName name="test2" localSheetId="11" hidden="1">{"LBO Summary",#N/A,FALSE,"Summary"}</definedName>
    <definedName name="test2" localSheetId="19" hidden="1">{"LBO Summary",#N/A,FALSE,"Summary"}</definedName>
    <definedName name="test2" localSheetId="30" hidden="1">{"LBO Summary",#N/A,FALSE,"Summary"}</definedName>
    <definedName name="test2" localSheetId="31" hidden="1">{"LBO Summary",#N/A,FALSE,"Summary"}</definedName>
    <definedName name="test2" hidden="1">{"LBO Summary",#N/A,FALSE,"Summary"}</definedName>
    <definedName name="test4" localSheetId="2" hidden="1">{"assumptions",#N/A,FALSE,"Scenario 1";"valuation",#N/A,FALSE,"Scenario 1"}</definedName>
    <definedName name="test4" localSheetId="11" hidden="1">{"assumptions",#N/A,FALSE,"Scenario 1";"valuation",#N/A,FALSE,"Scenario 1"}</definedName>
    <definedName name="test4" localSheetId="19" hidden="1">{"assumptions",#N/A,FALSE,"Scenario 1";"valuation",#N/A,FALSE,"Scenario 1"}</definedName>
    <definedName name="test4" localSheetId="30" hidden="1">{"assumptions",#N/A,FALSE,"Scenario 1";"valuation",#N/A,FALSE,"Scenario 1"}</definedName>
    <definedName name="test4" localSheetId="31" hidden="1">{"assumptions",#N/A,FALSE,"Scenario 1";"valuation",#N/A,FALSE,"Scenario 1"}</definedName>
    <definedName name="test4" hidden="1">{"assumptions",#N/A,FALSE,"Scenario 1";"valuation",#N/A,FALSE,"Scenario 1"}</definedName>
    <definedName name="test6" localSheetId="2" hidden="1">{"LBO Summary",#N/A,FALSE,"Summary"}</definedName>
    <definedName name="test6" localSheetId="11" hidden="1">{"LBO Summary",#N/A,FALSE,"Summary"}</definedName>
    <definedName name="test6" localSheetId="19" hidden="1">{"LBO Summary",#N/A,FALSE,"Summary"}</definedName>
    <definedName name="test6" localSheetId="30" hidden="1">{"LBO Summary",#N/A,FALSE,"Summary"}</definedName>
    <definedName name="test6" localSheetId="31" hidden="1">{"LBO Summary",#N/A,FALSE,"Summary"}</definedName>
    <definedName name="test6" hidden="1">{"LBO Summary",#N/A,FALSE,"Summary"}</definedName>
    <definedName name="TextRefCopyRangeCount" hidden="1">1</definedName>
    <definedName name="THREE">#N/A</definedName>
    <definedName name="TKW" localSheetId="2">'[4]C. Input'!$F$330</definedName>
    <definedName name="TKW" localSheetId="11">'[4]C. Input'!$F$330</definedName>
    <definedName name="TKW" localSheetId="31">'[4]C. Input'!$F$330</definedName>
    <definedName name="TKW">'[4]C. Input'!$F$330</definedName>
    <definedName name="TKWS" localSheetId="2">'[4]C. Input'!#REF!</definedName>
    <definedName name="TKWS" localSheetId="11">'[4]C. Input'!#REF!</definedName>
    <definedName name="TKWS" localSheetId="14">'[4]C. Input'!#REF!</definedName>
    <definedName name="TKWS" localSheetId="31">'[4]C. Input'!#REF!</definedName>
    <definedName name="TKWS">'[4]C. Input'!#REF!</definedName>
    <definedName name="TL" localSheetId="2">'[4]C. Input'!$F$178</definedName>
    <definedName name="TL" localSheetId="11">'[4]C. Input'!$F$178</definedName>
    <definedName name="TL" localSheetId="31">'[4]C. Input'!$F$178</definedName>
    <definedName name="TL">'[4]C. Input'!$F$178</definedName>
    <definedName name="TL_561" localSheetId="2">'[4]C. Input'!#REF!</definedName>
    <definedName name="TL_561" localSheetId="11">'[4]C. Input'!#REF!</definedName>
    <definedName name="TL_561" localSheetId="14">'[4]C. Input'!#REF!</definedName>
    <definedName name="TL_561" localSheetId="31">'[4]C. Input'!#REF!</definedName>
    <definedName name="TL_561">'[4]C. Input'!#REF!</definedName>
    <definedName name="TLR_TST" localSheetId="2">'[4]A.2 PTP'!$P$91</definedName>
    <definedName name="TLR_TST" localSheetId="11">'[4]A.2 PTP'!$P$91</definedName>
    <definedName name="TLR_TST" localSheetId="31">'[4]A.2 PTP'!$P$91</definedName>
    <definedName name="TLR_TST">'[4]A.2 PTP'!$P$91</definedName>
    <definedName name="Toggle" localSheetId="2">'[5]Appendix A'!$H$7</definedName>
    <definedName name="Toggle">'[5]Appendix A'!$H$7</definedName>
    <definedName name="TOM" localSheetId="2">'[4]C. Input'!$F$270</definedName>
    <definedName name="TOM" localSheetId="11">'[4]C. Input'!$F$270</definedName>
    <definedName name="TOM" localSheetId="31">'[4]C. Input'!$F$270</definedName>
    <definedName name="TOM">'[4]C. Input'!$F$270</definedName>
    <definedName name="TOM_EAI" localSheetId="2">'[4]C. Input'!#REF!</definedName>
    <definedName name="TOM_EAI" localSheetId="11">'[4]C. Input'!#REF!</definedName>
    <definedName name="TOM_EAI" localSheetId="14">'[4]C. Input'!#REF!</definedName>
    <definedName name="TOM_EAI" localSheetId="31">'[4]C. Input'!#REF!</definedName>
    <definedName name="TOM_EAI">'[4]C. Input'!#REF!</definedName>
    <definedName name="TOM_EGSI" localSheetId="2">'[4]C. Input'!#REF!</definedName>
    <definedName name="TOM_EGSI" localSheetId="11">'[4]C. Input'!#REF!</definedName>
    <definedName name="TOM_EGSI" localSheetId="14">'[4]C. Input'!#REF!</definedName>
    <definedName name="TOM_EGSI" localSheetId="31">'[4]C. Input'!#REF!</definedName>
    <definedName name="TOM_EGSI">'[4]C. Input'!#REF!</definedName>
    <definedName name="TOM_ELI" localSheetId="2">'[4]C. Input'!#REF!</definedName>
    <definedName name="TOM_ELI" localSheetId="11">'[4]C. Input'!#REF!</definedName>
    <definedName name="TOM_ELI" localSheetId="14">'[4]C. Input'!#REF!</definedName>
    <definedName name="TOM_ELI" localSheetId="31">'[4]C. Input'!#REF!</definedName>
    <definedName name="TOM_ELI">'[4]C. Input'!#REF!</definedName>
    <definedName name="TOM_EMI" localSheetId="2">'[4]C. Input'!#REF!</definedName>
    <definedName name="TOM_EMI" localSheetId="11">'[4]C. Input'!#REF!</definedName>
    <definedName name="TOM_EMI" localSheetId="14">'[4]C. Input'!#REF!</definedName>
    <definedName name="TOM_EMI" localSheetId="31">'[4]C. Input'!#REF!</definedName>
    <definedName name="TOM_EMI">'[4]C. Input'!#REF!</definedName>
    <definedName name="TOM_ENOI" localSheetId="2">'[4]C. Input'!#REF!</definedName>
    <definedName name="TOM_ENOI" localSheetId="11">'[4]C. Input'!#REF!</definedName>
    <definedName name="TOM_ENOI" localSheetId="14">'[4]C. Input'!#REF!</definedName>
    <definedName name="TOM_ENOI" localSheetId="31">'[4]C. Input'!#REF!</definedName>
    <definedName name="TOM_ENOI">'[4]C. Input'!#REF!</definedName>
    <definedName name="TOM_ICTC" localSheetId="2">'[4]C. Input'!#REF!</definedName>
    <definedName name="TOM_ICTC" localSheetId="11">'[4]C. Input'!#REF!</definedName>
    <definedName name="TOM_ICTC" localSheetId="14">'[4]C. Input'!#REF!</definedName>
    <definedName name="TOM_ICTC" localSheetId="31">'[4]C. Input'!#REF!</definedName>
    <definedName name="TOM_ICTC">'[4]C. Input'!#REF!</definedName>
    <definedName name="TOTAL" localSheetId="2">#REF!</definedName>
    <definedName name="TOTAL" localSheetId="14">#REF!</definedName>
    <definedName name="TOTAL" localSheetId="31">#REF!</definedName>
    <definedName name="TOTAL">#REF!</definedName>
    <definedName name="TP">'MISO Cover'!$I$194</definedName>
    <definedName name="TPLT" localSheetId="2">'[4]C. Input'!$F$161</definedName>
    <definedName name="TPLT" localSheetId="11">'[4]C. Input'!$F$161</definedName>
    <definedName name="TPLT" localSheetId="31">'[4]C. Input'!$F$161</definedName>
    <definedName name="TPLT">'[4]C. Input'!$F$161</definedName>
    <definedName name="TPLT_ITC" localSheetId="2">'[4]C. Input'!#REF!</definedName>
    <definedName name="TPLT_ITC" localSheetId="11">'[4]C. Input'!#REF!</definedName>
    <definedName name="TPLT_ITC" localSheetId="14">'[4]C. Input'!#REF!</definedName>
    <definedName name="TPLT_ITC" localSheetId="31">'[4]C. Input'!#REF!</definedName>
    <definedName name="TPLT_ITC">'[4]C. Input'!#REF!</definedName>
    <definedName name="TPLTXS" localSheetId="2">'[4]C. Input'!$F$164</definedName>
    <definedName name="TPLTXS" localSheetId="11">'[4]C. Input'!$F$164</definedName>
    <definedName name="TPLTXS" localSheetId="31">'[4]C. Input'!$F$164</definedName>
    <definedName name="TPLTXS">'[4]C. Input'!$F$164</definedName>
    <definedName name="TPR_TST" localSheetId="2">'[4]A.2 PTP'!$P$75</definedName>
    <definedName name="TPR_TST" localSheetId="11">'[4]A.2 PTP'!$P$75</definedName>
    <definedName name="TPR_TST" localSheetId="31">'[4]A.2 PTP'!$P$75</definedName>
    <definedName name="TPR_TST">'[4]A.2 PTP'!$P$75</definedName>
    <definedName name="TRB" localSheetId="2">'[4]A.2 PTP'!$P$165</definedName>
    <definedName name="TRB" localSheetId="11">'[4]A.2 PTP'!$P$165</definedName>
    <definedName name="TRB" localSheetId="31">'[4]A.2 PTP'!$P$165</definedName>
    <definedName name="TRB">'[4]A.2 PTP'!$P$165</definedName>
    <definedName name="TREV" localSheetId="2">'[4]C. Input'!$F$287</definedName>
    <definedName name="TREV" localSheetId="11">'[4]C. Input'!$F$287</definedName>
    <definedName name="TREV" localSheetId="31">'[4]C. Input'!$F$287</definedName>
    <definedName name="TREV">'[4]C. Input'!$F$287</definedName>
    <definedName name="True_up" localSheetId="2">'[5]Appendix A'!$H$6</definedName>
    <definedName name="True_up">'[5]Appendix A'!$H$6</definedName>
    <definedName name="TWELVE">#N/A</definedName>
    <definedName name="TWO">#N/A</definedName>
    <definedName name="TX" localSheetId="2">'[4]A.2 PTP'!$P$31</definedName>
    <definedName name="TX" localSheetId="11">'[4]A.2 PTP'!$P$31</definedName>
    <definedName name="TX" localSheetId="31">'[4]A.2 PTP'!$P$31</definedName>
    <definedName name="TX">'[4]A.2 PTP'!$P$31</definedName>
    <definedName name="TXO" localSheetId="2">'[4]C. Input'!$F$215</definedName>
    <definedName name="TXO" localSheetId="11">'[4]C. Input'!$F$215</definedName>
    <definedName name="TXO" localSheetId="31">'[4]C. Input'!$F$215</definedName>
    <definedName name="TXO">'[4]C. Input'!$F$215</definedName>
    <definedName name="TXP_TST" localSheetId="2">'[4]A.2 PTP'!$P$212</definedName>
    <definedName name="TXP_TST" localSheetId="11">'[4]A.2 PTP'!$P$212</definedName>
    <definedName name="TXP_TST" localSheetId="31">'[4]A.2 PTP'!$P$212</definedName>
    <definedName name="TXP_TST">'[4]A.2 PTP'!$P$212</definedName>
    <definedName name="TYE">#N/A</definedName>
    <definedName name="TYE_1">#N/A</definedName>
    <definedName name="TYPETextLen" localSheetId="2">#REF!</definedName>
    <definedName name="TYPETextLen" localSheetId="11">#REF!</definedName>
    <definedName name="TYPETextLen" localSheetId="14">#REF!</definedName>
    <definedName name="TYPETextLen" localSheetId="23">#REF!</definedName>
    <definedName name="TYPETextLen" localSheetId="27">#REF!</definedName>
    <definedName name="TYPETextLen">#REF!</definedName>
    <definedName name="Underground_Storage_Activity" localSheetId="2">#REF!</definedName>
    <definedName name="Underground_Storage_Activity" localSheetId="11">#REF!</definedName>
    <definedName name="Underground_Storage_Activity" localSheetId="14">#REF!</definedName>
    <definedName name="Underground_Storage_Activity" localSheetId="23">#REF!</definedName>
    <definedName name="Underground_Storage_Activity" localSheetId="27">#REF!</definedName>
    <definedName name="Underground_Storage_Activity">#REF!</definedName>
    <definedName name="URA" localSheetId="2">'[4]C. Input'!$F$337</definedName>
    <definedName name="URA" localSheetId="11">'[4]C. Input'!$F$337</definedName>
    <definedName name="URA" localSheetId="31">'[4]C. Input'!$F$337</definedName>
    <definedName name="URA">'[4]C. Input'!$F$337</definedName>
    <definedName name="Value" localSheetId="2" hidden="1">{"assumptions",#N/A,FALSE,"Scenario 1";"valuation",#N/A,FALSE,"Scenario 1"}</definedName>
    <definedName name="Value" localSheetId="11" hidden="1">{"assumptions",#N/A,FALSE,"Scenario 1";"valuation",#N/A,FALSE,"Scenario 1"}</definedName>
    <definedName name="Value" localSheetId="19" hidden="1">{"assumptions",#N/A,FALSE,"Scenario 1";"valuation",#N/A,FALSE,"Scenario 1"}</definedName>
    <definedName name="Value" localSheetId="30" hidden="1">{"assumptions",#N/A,FALSE,"Scenario 1";"valuation",#N/A,FALSE,"Scenario 1"}</definedName>
    <definedName name="Value" localSheetId="31" hidden="1">{"assumptions",#N/A,FALSE,"Scenario 1";"valuation",#N/A,FALSE,"Scenario 1"}</definedName>
    <definedName name="Value" hidden="1">{"assumptions",#N/A,FALSE,"Scenario 1";"valuation",#N/A,FALSE,"Scenario 1"}</definedName>
    <definedName name="VSPAE" localSheetId="2">'[4]C. Input'!#REF!</definedName>
    <definedName name="VSPAE" localSheetId="11">'[4]C. Input'!#REF!</definedName>
    <definedName name="VSPAE" localSheetId="14">'[4]C. Input'!#REF!</definedName>
    <definedName name="VSPAE" localSheetId="31">'[4]C. Input'!#REF!</definedName>
    <definedName name="VSPAE">'[4]C. Input'!#REF!</definedName>
    <definedName name="VSPRB" localSheetId="2">'[4]C. Input'!#REF!</definedName>
    <definedName name="VSPRB" localSheetId="11">'[4]C. Input'!#REF!</definedName>
    <definedName name="VSPRB" localSheetId="14">'[4]C. Input'!#REF!</definedName>
    <definedName name="VSPRB" localSheetId="31">'[4]C. Input'!#REF!</definedName>
    <definedName name="VSPRB">'[4]C. Input'!#REF!</definedName>
    <definedName name="WELL_HEAD_ESTIMATES" localSheetId="2">#REF!</definedName>
    <definedName name="WELL_HEAD_ESTIMATES" localSheetId="11">#REF!</definedName>
    <definedName name="WELL_HEAD_ESTIMATES" localSheetId="14">#REF!</definedName>
    <definedName name="WELL_HEAD_ESTIMATES" localSheetId="23">#REF!</definedName>
    <definedName name="WELL_HEAD_ESTIMATES" localSheetId="27">#REF!</definedName>
    <definedName name="WELL_HEAD_ESTIMATES">#REF!</definedName>
    <definedName name="WFTSR" localSheetId="2">'[4]A.2 PTP'!$P$282</definedName>
    <definedName name="WFTSR" localSheetId="11">'[4]A.2 PTP'!$P$282</definedName>
    <definedName name="WFTSR" localSheetId="31">'[4]A.2 PTP'!$P$282</definedName>
    <definedName name="WFTSR">'[4]A.2 PTP'!$P$282</definedName>
    <definedName name="WITHSTD" localSheetId="2">#REF!</definedName>
    <definedName name="WITHSTD" localSheetId="11">#REF!</definedName>
    <definedName name="WITHSTD" localSheetId="14">#REF!</definedName>
    <definedName name="WITHSTD" localSheetId="23">#REF!</definedName>
    <definedName name="WITHSTD">#REF!</definedName>
    <definedName name="wrn.All._.Pages." localSheetId="2"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2" hidden="1">{#N/A,#N/A,FALSE,"LOCAL.XLS"}</definedName>
    <definedName name="wrn.ARKANSAS." localSheetId="11" hidden="1">{#N/A,#N/A,FALSE,"LOCAL.XLS"}</definedName>
    <definedName name="wrn.ARKANSAS." localSheetId="19" hidden="1">{#N/A,#N/A,FALSE,"LOCAL.XLS"}</definedName>
    <definedName name="wrn.ARKANSAS." localSheetId="30" hidden="1">{#N/A,#N/A,FALSE,"LOCAL.XLS"}</definedName>
    <definedName name="wrn.ARKANSAS." localSheetId="31" hidden="1">{#N/A,#N/A,FALSE,"LOCAL.XLS"}</definedName>
    <definedName name="wrn.ARKANSAS." hidden="1">{#N/A,#N/A,FALSE,"LOCAL.XLS"}</definedName>
    <definedName name="wrn.CP._.Demand." localSheetId="2" hidden="1">{"Retail CP pg1",#N/A,FALSE,"FACTOR3";"Retail CP pg2",#N/A,FALSE,"FACTOR3";"Retail CP pg3",#N/A,FALSE,"FACTOR3"}</definedName>
    <definedName name="wrn.CP._.Demand." localSheetId="11" hidden="1">{"Retail CP pg1",#N/A,FALSE,"FACTOR3";"Retail CP pg2",#N/A,FALSE,"FACTOR3";"Retail CP pg3",#N/A,FALSE,"FACTOR3"}</definedName>
    <definedName name="wrn.CP._.Demand." localSheetId="19" hidden="1">{"Retail CP pg1",#N/A,FALSE,"FACTOR3";"Retail CP pg2",#N/A,FALSE,"FACTOR3";"Retail CP pg3",#N/A,FALSE,"FACTOR3"}</definedName>
    <definedName name="wrn.CP._.Demand." localSheetId="23" hidden="1">{"Retail CP pg1",#N/A,FALSE,"FACTOR3";"Retail CP pg2",#N/A,FALSE,"FACTOR3";"Retail CP pg3",#N/A,FALSE,"FACTOR3"}</definedName>
    <definedName name="wrn.CP._.Demand." localSheetId="27" hidden="1">{"Retail CP pg1",#N/A,FALSE,"FACTOR3";"Retail CP pg2",#N/A,FALSE,"FACTOR3";"Retail CP pg3",#N/A,FALSE,"FACTOR3"}</definedName>
    <definedName name="wrn.CP._.Demand." localSheetId="30" hidden="1">{"Retail CP pg1",#N/A,FALSE,"FACTOR3";"Retail CP pg2",#N/A,FALSE,"FACTOR3";"Retail CP pg3",#N/A,FALSE,"FACTOR3"}</definedName>
    <definedName name="wrn.CP._.Demand." hidden="1">{"Retail CP pg1",#N/A,FALSE,"FACTOR3";"Retail CP pg2",#N/A,FALSE,"FACTOR3";"Retail CP pg3",#N/A,FALSE,"FACTOR3"}</definedName>
    <definedName name="wrn.CP._.Demand2." localSheetId="2" hidden="1">{"Retail CP pg1",#N/A,FALSE,"FACTOR3";"Retail CP pg2",#N/A,FALSE,"FACTOR3";"Retail CP pg3",#N/A,FALSE,"FACTOR3"}</definedName>
    <definedName name="wrn.CP._.Demand2." localSheetId="11" hidden="1">{"Retail CP pg1",#N/A,FALSE,"FACTOR3";"Retail CP pg2",#N/A,FALSE,"FACTOR3";"Retail CP pg3",#N/A,FALSE,"FACTOR3"}</definedName>
    <definedName name="wrn.CP._.Demand2." localSheetId="19" hidden="1">{"Retail CP pg1",#N/A,FALSE,"FACTOR3";"Retail CP pg2",#N/A,FALSE,"FACTOR3";"Retail CP pg3",#N/A,FALSE,"FACTOR3"}</definedName>
    <definedName name="wrn.CP._.Demand2." localSheetId="23" hidden="1">{"Retail CP pg1",#N/A,FALSE,"FACTOR3";"Retail CP pg2",#N/A,FALSE,"FACTOR3";"Retail CP pg3",#N/A,FALSE,"FACTOR3"}</definedName>
    <definedName name="wrn.CP._.Demand2." localSheetId="27" hidden="1">{"Retail CP pg1",#N/A,FALSE,"FACTOR3";"Retail CP pg2",#N/A,FALSE,"FACTOR3";"Retail CP pg3",#N/A,FALSE,"FACTOR3"}</definedName>
    <definedName name="wrn.CP._.Demand2." localSheetId="30" hidden="1">{"Retail CP pg1",#N/A,FALSE,"FACTOR3";"Retail CP pg2",#N/A,FALSE,"FACTOR3";"Retail CP pg3",#N/A,FALSE,"FACTOR3"}</definedName>
    <definedName name="wrn.CP._.Demand2." hidden="1">{"Retail CP pg1",#N/A,FALSE,"FACTOR3";"Retail CP pg2",#N/A,FALSE,"FACTOR3";"Retail CP pg3",#N/A,FALSE,"FACTOR3"}</definedName>
    <definedName name="wrn.Factors._.Tab._.10." localSheetId="2"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2" hidden="1">{"assumptions",#N/A,FALSE,"Scenario 1";"valuation",#N/A,FALSE,"Scenario 1"}</definedName>
    <definedName name="wrn.IPO._.Valuation." localSheetId="11" hidden="1">{"assumptions",#N/A,FALSE,"Scenario 1";"valuation",#N/A,FALSE,"Scenario 1"}</definedName>
    <definedName name="wrn.IPO._.Valuation." localSheetId="19" hidden="1">{"assumptions",#N/A,FALSE,"Scenario 1";"valuation",#N/A,FALSE,"Scenario 1"}</definedName>
    <definedName name="wrn.IPO._.Valuation." localSheetId="30" hidden="1">{"assumptions",#N/A,FALSE,"Scenario 1";"valuation",#N/A,FALSE,"Scenario 1"}</definedName>
    <definedName name="wrn.IPO._.Valuation." localSheetId="31" hidden="1">{"assumptions",#N/A,FALSE,"Scenario 1";"valuation",#N/A,FALSE,"Scenario 1"}</definedName>
    <definedName name="wrn.IPO._.Valuation." hidden="1">{"assumptions",#N/A,FALSE,"Scenario 1";"valuation",#N/A,FALSE,"Scenario 1"}</definedName>
    <definedName name="wrn.LBO._.Summary." localSheetId="2" hidden="1">{"LBO Summary",#N/A,FALSE,"Summary"}</definedName>
    <definedName name="wrn.LBO._.Summary." localSheetId="11" hidden="1">{"LBO Summary",#N/A,FALSE,"Summary"}</definedName>
    <definedName name="wrn.LBO._.Summary." localSheetId="19" hidden="1">{"LBO Summary",#N/A,FALSE,"Summary"}</definedName>
    <definedName name="wrn.LBO._.Summary." localSheetId="30" hidden="1">{"LBO Summary",#N/A,FALSE,"Summary"}</definedName>
    <definedName name="wrn.LBO._.Summary." localSheetId="31" hidden="1">{"LBO Summary",#N/A,FALSE,"Summary"}</definedName>
    <definedName name="wrn.LBO._.Summary." hidden="1">{"LBO Summary",#N/A,FALSE,"Summary"}</definedName>
    <definedName name="wrn.LOUISIANA." localSheetId="2" hidden="1">{#N/A,#N/A,FALSE,"LOCAL.XLS"}</definedName>
    <definedName name="wrn.LOUISIANA." localSheetId="11" hidden="1">{#N/A,#N/A,FALSE,"LOCAL.XLS"}</definedName>
    <definedName name="wrn.LOUISIANA." localSheetId="19" hidden="1">{#N/A,#N/A,FALSE,"LOCAL.XLS"}</definedName>
    <definedName name="wrn.LOUISIANA." localSheetId="30" hidden="1">{#N/A,#N/A,FALSE,"LOCAL.XLS"}</definedName>
    <definedName name="wrn.LOUISIANA." localSheetId="31" hidden="1">{#N/A,#N/A,FALSE,"LOCAL.XLS"}</definedName>
    <definedName name="wrn.LOUISIANA." hidden="1">{#N/A,#N/A,FALSE,"LOCAL.XLS"}</definedName>
    <definedName name="wrn.OR._.Carrying._.Charge._.JV." localSheetId="2"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2" hidden="1">{"LBO Summary",#N/A,FALSE,"Summary";"Income Statement",#N/A,FALSE,"Model";"Cash Flow",#N/A,FALSE,"Model";"Balance Sheet",#N/A,FALSE,"Model";"Working Capital",#N/A,FALSE,"Model";"Pro Forma Balance Sheets",#N/A,FALSE,"PFBS";"Debt Balances",#N/A,FALSE,"Model";"Fee Schedules",#N/A,FALSE,"Model"}</definedName>
    <definedName name="wrn.Print._.All._.Pages." localSheetId="11" hidden="1">{"LBO Summary",#N/A,FALSE,"Summary";"Income Statement",#N/A,FALSE,"Model";"Cash Flow",#N/A,FALSE,"Model";"Balance Sheet",#N/A,FALSE,"Model";"Working Capital",#N/A,FALSE,"Model";"Pro Forma Balance Sheets",#N/A,FALSE,"PFBS";"Debt Balances",#N/A,FALSE,"Model";"Fee Schedules",#N/A,FALSE,"Model"}</definedName>
    <definedName name="wrn.Print._.All._.Pages." localSheetId="19" hidden="1">{"LBO Summary",#N/A,FALSE,"Summary";"Income Statement",#N/A,FALSE,"Model";"Cash Flow",#N/A,FALSE,"Model";"Balance Sheet",#N/A,FALSE,"Model";"Working Capital",#N/A,FALSE,"Model";"Pro Forma Balance Sheets",#N/A,FALSE,"PFBS";"Debt Balances",#N/A,FALSE,"Model";"Fee Schedules",#N/A,FALSE,"Model"}</definedName>
    <definedName name="wrn.Print._.All._.Pages." localSheetId="30" hidden="1">{"LBO Summary",#N/A,FALSE,"Summary";"Income Statement",#N/A,FALSE,"Model";"Cash Flow",#N/A,FALSE,"Model";"Balance Sheet",#N/A,FALSE,"Model";"Working Capital",#N/A,FALSE,"Model";"Pro Forma Balance Sheets",#N/A,FALSE,"PFBS";"Debt Balances",#N/A,FALSE,"Model";"Fee Schedules",#N/A,FALSE,"Model"}</definedName>
    <definedName name="wrn.Print._.All._.Pages." localSheetId="31"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2"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0"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1"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2"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2" hidden="1">{#N/A,#N/A,FALSE,"AP&amp;L"}</definedName>
    <definedName name="wrn.summary." localSheetId="11" hidden="1">{#N/A,#N/A,FALSE,"AP&amp;L"}</definedName>
    <definedName name="wrn.summary." localSheetId="19" hidden="1">{#N/A,#N/A,FALSE,"AP&amp;L"}</definedName>
    <definedName name="wrn.summary." localSheetId="30" hidden="1">{#N/A,#N/A,FALSE,"AP&amp;L"}</definedName>
    <definedName name="wrn.summary." localSheetId="31" hidden="1">{#N/A,#N/A,FALSE,"AP&amp;L"}</definedName>
    <definedName name="wrn.summary." hidden="1">{#N/A,#N/A,FALSE,"AP&amp;L"}</definedName>
    <definedName name="wrn.YearEnd." localSheetId="2"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'MISO Cover'!$I$202</definedName>
    <definedName name="XLRG_GE" localSheetId="2">#REF!</definedName>
    <definedName name="XLRG_GE" localSheetId="11">#REF!</definedName>
    <definedName name="XLRG_GE" localSheetId="14">#REF!</definedName>
    <definedName name="XLRG_GE" localSheetId="23">#REF!</definedName>
    <definedName name="XLRG_GE" localSheetId="27">#REF!</definedName>
    <definedName name="XLRG_GE">#REF!</definedName>
    <definedName name="XLRG_GJ" localSheetId="2">#REF!</definedName>
    <definedName name="XLRG_GJ" localSheetId="11">#REF!</definedName>
    <definedName name="XLRG_GJ" localSheetId="14">#REF!</definedName>
    <definedName name="XLRG_GJ" localSheetId="23">#REF!</definedName>
    <definedName name="XLRG_GJ" localSheetId="27">#REF!</definedName>
    <definedName name="XLRG_GJ">#REF!</definedName>
    <definedName name="Z_1155D18F_BFDD_426B_8E78_817CEB25FB23_.wvu.Cols" localSheetId="15" hidden="1">'WP06 ADIT'!#REF!</definedName>
    <definedName name="Z_1155D18F_BFDD_426B_8E78_817CEB25FB23_.wvu.PrintArea" localSheetId="15" hidden="1">'WP06 ADIT'!$B$1:$N$223</definedName>
    <definedName name="Z_16940A0E_2B20_4241_BF05_A4686E5A0274_.wvu.Cols" localSheetId="15" hidden="1">'WP06 ADIT'!#REF!</definedName>
    <definedName name="Z_16940A0E_2B20_4241_BF05_A4686E5A0274_.wvu.PrintArea" localSheetId="15" hidden="1">'WP06 ADIT'!$B$1:$N$223</definedName>
    <definedName name="Z_28948E05_8F34_4F1E_96FB_A80A6A844600_.wvu.Cols" localSheetId="15" hidden="1">'WP06 ADIT'!#REF!</definedName>
    <definedName name="Z_28948E05_8F34_4F1E_96FB_A80A6A844600_.wvu.PrintArea" localSheetId="15" hidden="1">'WP06 ADIT'!$B$1:$N$223</definedName>
    <definedName name="Z_3768C7C8_9953_11DA_B318_000FB55D51DC_.wvu.PrintArea" localSheetId="8" hidden="1">'WP02 Support'!$A$162:$M$166</definedName>
    <definedName name="Z_3768C7C8_9953_11DA_B318_000FB55D51DC_.wvu.PrintTitles" localSheetId="8" hidden="1">'WP02 Support'!#REF!</definedName>
    <definedName name="Z_3768C7C8_9953_11DA_B318_000FB55D51DC_.wvu.Rows" localSheetId="8" hidden="1">'WP02 Support'!#REF!</definedName>
    <definedName name="Z_3BDD6235_B127_4929_8311_BDAF7BB89818_.wvu.PrintArea" localSheetId="8" hidden="1">'WP02 Support'!$A$162:$M$166</definedName>
    <definedName name="Z_3BDD6235_B127_4929_8311_BDAF7BB89818_.wvu.PrintTitles" localSheetId="8" hidden="1">'WP02 Support'!#REF!</definedName>
    <definedName name="Z_3BDD6235_B127_4929_8311_BDAF7BB89818_.wvu.Rows" localSheetId="8" hidden="1">'WP02 Support'!#REF!</definedName>
    <definedName name="Z_44504B44_F20F_4B6F_B585_74D55BA74563_.wvu.Cols" localSheetId="15" hidden="1">'WP06 ADIT'!#REF!</definedName>
    <definedName name="Z_44504B44_F20F_4B6F_B585_74D55BA74563_.wvu.PrintArea" localSheetId="15" hidden="1">'WP06 ADIT'!$B$1:$N$223</definedName>
    <definedName name="Z_63011E91_4609_4523_98FE_FD252E915668_.wvu.Cols" localSheetId="15" hidden="1">'WP06 ADIT'!#REF!</definedName>
    <definedName name="Z_63011E91_4609_4523_98FE_FD252E915668_.wvu.PrintArea" localSheetId="5" hidden="1">'WP01 True-Up'!#REF!</definedName>
    <definedName name="Z_63011E91_4609_4523_98FE_FD252E915668_.wvu.PrintArea" localSheetId="14" hidden="1">'WP05 CapAds'!$A$2:$D$23</definedName>
    <definedName name="Z_63011E91_4609_4523_98FE_FD252E915668_.wvu.PrintArea" localSheetId="15" hidden="1">'WP06 ADIT'!$B$1:$N$223</definedName>
    <definedName name="Z_71B42B22_A376_44B5_B0C1_23FC1AA3DBA2_.wvu.Cols" localSheetId="15" hidden="1">'WP06 ADIT'!#REF!</definedName>
    <definedName name="Z_71B42B22_A376_44B5_B0C1_23FC1AA3DBA2_.wvu.PrintArea" localSheetId="15" hidden="1">'WP06 ADIT'!$B$1:$N$223</definedName>
    <definedName name="Z_B0241363_5C8A_48FC_89A6_56D55586BABE_.wvu.PrintArea" localSheetId="8" hidden="1">'WP02 Support'!$A$162:$M$166</definedName>
    <definedName name="Z_B0241363_5C8A_48FC_89A6_56D55586BABE_.wvu.PrintTitles" localSheetId="8" hidden="1">'WP02 Support'!#REF!</definedName>
    <definedName name="Z_B0241363_5C8A_48FC_89A6_56D55586BABE_.wvu.Rows" localSheetId="8" hidden="1">'WP02 Support'!#REF!</definedName>
    <definedName name="Z_B647CB7F_C846_4278_B6B1_1EF7F3C004F5_.wvu.Cols" localSheetId="15" hidden="1">'WP06 ADIT'!#REF!</definedName>
    <definedName name="Z_B647CB7F_C846_4278_B6B1_1EF7F3C004F5_.wvu.PrintArea" localSheetId="15" hidden="1">'WP06 ADIT'!$B$1:$N$223</definedName>
    <definedName name="Z_C0EA0F9F_7310_4201_82C9_7B8FC8DB9137_.wvu.PrintArea" localSheetId="8" hidden="1">'WP02 Support'!$A$162:$M$166</definedName>
    <definedName name="Z_C0EA0F9F_7310_4201_82C9_7B8FC8DB9137_.wvu.PrintTitles" localSheetId="8" hidden="1">'WP02 Support'!#REF!</definedName>
    <definedName name="Z_C0EA0F9F_7310_4201_82C9_7B8FC8DB9137_.wvu.Rows" localSheetId="8" hidden="1">'WP02 Support'!#REF!</definedName>
    <definedName name="Z_DC91DEF3_837B_4BB9_A81E_3B78C5914E6C_.wvu.Cols" localSheetId="15" hidden="1">'WP06 ADIT'!#REF!</definedName>
    <definedName name="Z_DC91DEF3_837B_4BB9_A81E_3B78C5914E6C_.wvu.PrintArea" localSheetId="15" hidden="1">'WP06 ADIT'!$B$1:$N$223</definedName>
    <definedName name="Z_FAAD9AAC_1337_43AB_BF1F_CCF9DFCF5B78_.wvu.Cols" localSheetId="15" hidden="1">'WP06 ADIT'!#REF!</definedName>
    <definedName name="Z_FAAD9AAC_1337_43AB_BF1F_CCF9DFCF5B78_.wvu.PrintArea" localSheetId="15" hidden="1">'WP06 ADIT'!$B$1:$N$223</definedName>
    <definedName name="Zone_Inputs" localSheetId="2">'[9]Attachment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 localSheetId="11">'[9]Attachment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 localSheetId="31">'[9]Attachment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s>
  <calcPr calcId="145621" concurrentCalc="0"/>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D32" i="112" l="1"/>
  <c r="D33" i="112"/>
  <c r="D34" i="112"/>
  <c r="D35" i="112"/>
  <c r="D36" i="112"/>
  <c r="D37" i="112"/>
  <c r="D38" i="112"/>
  <c r="D39" i="112"/>
  <c r="D40" i="112"/>
  <c r="D31" i="112"/>
  <c r="H40" i="62"/>
  <c r="H39" i="62"/>
  <c r="H38" i="62"/>
  <c r="H37" i="62"/>
  <c r="H36" i="62"/>
  <c r="H35" i="62"/>
  <c r="H34" i="62"/>
  <c r="H33" i="62"/>
  <c r="H32" i="62"/>
  <c r="H31" i="62"/>
  <c r="H30" i="62"/>
  <c r="H29" i="62"/>
  <c r="H21" i="62"/>
  <c r="H20" i="62"/>
  <c r="H19" i="62"/>
  <c r="H18" i="62"/>
  <c r="H17" i="62"/>
  <c r="H16" i="62"/>
  <c r="H15" i="62"/>
  <c r="H14" i="62"/>
  <c r="H13" i="62"/>
  <c r="H12" i="62"/>
  <c r="H11" i="62"/>
  <c r="H10" i="62"/>
  <c r="A144" i="77"/>
  <c r="A143" i="77"/>
  <c r="A134" i="77"/>
  <c r="A135" i="77"/>
  <c r="A136" i="77"/>
  <c r="A137" i="77"/>
  <c r="A138" i="77"/>
  <c r="A139" i="77"/>
  <c r="A140" i="77"/>
  <c r="A141" i="77"/>
  <c r="A142" i="77"/>
  <c r="H9" i="62"/>
  <c r="B40" i="112"/>
  <c r="B39" i="112"/>
  <c r="B38" i="112"/>
  <c r="B37" i="112"/>
  <c r="B36" i="112"/>
  <c r="B35" i="112"/>
  <c r="B34" i="112"/>
  <c r="B33" i="112"/>
  <c r="C42" i="112"/>
  <c r="B32" i="112"/>
  <c r="B31" i="112"/>
  <c r="E30" i="112"/>
  <c r="B30" i="112"/>
  <c r="E29" i="112"/>
  <c r="B29" i="112"/>
  <c r="E28" i="112"/>
  <c r="B28" i="112"/>
  <c r="C23" i="112"/>
  <c r="D19" i="112"/>
  <c r="D13" i="112"/>
  <c r="E13" i="112"/>
  <c r="E11" i="112"/>
  <c r="E10" i="112"/>
  <c r="E9" i="112"/>
  <c r="A7" i="112"/>
  <c r="A8" i="112"/>
  <c r="A9" i="112"/>
  <c r="A10" i="112"/>
  <c r="A11" i="112"/>
  <c r="A12" i="112"/>
  <c r="A13" i="112"/>
  <c r="A14" i="112"/>
  <c r="A15" i="112"/>
  <c r="A16" i="112"/>
  <c r="A17" i="112"/>
  <c r="A18" i="112"/>
  <c r="A19" i="112"/>
  <c r="A20" i="112"/>
  <c r="A21" i="112"/>
  <c r="A22" i="112"/>
  <c r="A23" i="112"/>
  <c r="A24" i="112"/>
  <c r="A25" i="112"/>
  <c r="A26" i="112"/>
  <c r="A27" i="112"/>
  <c r="A28" i="112"/>
  <c r="A29" i="112"/>
  <c r="A30" i="112"/>
  <c r="A31" i="112"/>
  <c r="A32" i="112"/>
  <c r="A33" i="112"/>
  <c r="A34" i="112"/>
  <c r="A35" i="112"/>
  <c r="A36" i="112"/>
  <c r="A37" i="112"/>
  <c r="A38" i="112"/>
  <c r="A39" i="112"/>
  <c r="A40" i="112"/>
  <c r="A41" i="112"/>
  <c r="A42" i="112"/>
  <c r="D42" i="112"/>
  <c r="E18" i="112"/>
  <c r="H28" i="62"/>
  <c r="D20" i="112"/>
  <c r="E19" i="112"/>
  <c r="E12" i="112"/>
  <c r="D14" i="112"/>
  <c r="H235" i="75"/>
  <c r="D22" i="77"/>
  <c r="D23" i="77"/>
  <c r="D24" i="77"/>
  <c r="D25" i="77"/>
  <c r="D26" i="77"/>
  <c r="D30" i="77"/>
  <c r="H16" i="75"/>
  <c r="H17" i="75"/>
  <c r="D33" i="77"/>
  <c r="D34" i="77"/>
  <c r="D35" i="77"/>
  <c r="D36" i="77"/>
  <c r="D37" i="77"/>
  <c r="D41" i="77"/>
  <c r="H20" i="75"/>
  <c r="H21" i="75"/>
  <c r="H23" i="75"/>
  <c r="D11" i="77"/>
  <c r="D12" i="77"/>
  <c r="D13" i="77"/>
  <c r="D14" i="77"/>
  <c r="D15" i="77"/>
  <c r="D19" i="77"/>
  <c r="H12" i="75"/>
  <c r="H13" i="75"/>
  <c r="H24" i="75"/>
  <c r="H233" i="75"/>
  <c r="D11" i="110"/>
  <c r="D22" i="110"/>
  <c r="H232" i="75"/>
  <c r="C10" i="110"/>
  <c r="C22" i="110"/>
  <c r="H231" i="75"/>
  <c r="G235" i="75"/>
  <c r="G16" i="75"/>
  <c r="G17" i="75"/>
  <c r="G20" i="75"/>
  <c r="G21" i="75"/>
  <c r="G23" i="75"/>
  <c r="G12" i="75"/>
  <c r="G13" i="75"/>
  <c r="G24" i="75"/>
  <c r="G233" i="75"/>
  <c r="G232" i="75"/>
  <c r="G231" i="75"/>
  <c r="F232" i="75"/>
  <c r="F231" i="75"/>
  <c r="H47" i="75"/>
  <c r="H48" i="75"/>
  <c r="H50" i="75"/>
  <c r="H58" i="75"/>
  <c r="H59" i="75"/>
  <c r="H61" i="75"/>
  <c r="H63" i="75"/>
  <c r="H34" i="75"/>
  <c r="H35" i="75"/>
  <c r="H230" i="75"/>
  <c r="H234" i="75"/>
  <c r="H237" i="75"/>
  <c r="G47" i="75"/>
  <c r="G48" i="75"/>
  <c r="G50" i="75"/>
  <c r="G58" i="75"/>
  <c r="G59" i="75"/>
  <c r="G61" i="75"/>
  <c r="G63" i="75"/>
  <c r="G34" i="75"/>
  <c r="G35" i="75"/>
  <c r="G230" i="75"/>
  <c r="G234" i="75"/>
  <c r="G237" i="75"/>
  <c r="A235" i="75"/>
  <c r="A236" i="75"/>
  <c r="A237" i="75"/>
  <c r="F235" i="75"/>
  <c r="F233" i="75"/>
  <c r="F230" i="75"/>
  <c r="A230" i="75"/>
  <c r="G12" i="111"/>
  <c r="G13" i="111"/>
  <c r="A3" i="110"/>
  <c r="A1" i="110"/>
  <c r="A3" i="111"/>
  <c r="A1" i="111"/>
  <c r="G11" i="111"/>
  <c r="G17" i="111"/>
  <c r="G18" i="111"/>
  <c r="G19" i="111"/>
  <c r="G22" i="111"/>
  <c r="G23" i="111"/>
  <c r="G24" i="111"/>
  <c r="G26" i="111"/>
  <c r="F26" i="111"/>
  <c r="E26" i="111"/>
  <c r="D26" i="111"/>
  <c r="A11" i="111"/>
  <c r="A12" i="111"/>
  <c r="A13" i="111"/>
  <c r="A17" i="111"/>
  <c r="A18" i="111"/>
  <c r="A19" i="111"/>
  <c r="A22" i="111"/>
  <c r="A23" i="111"/>
  <c r="A24" i="111"/>
  <c r="A26" i="111"/>
  <c r="D12" i="110"/>
  <c r="D16" i="110"/>
  <c r="D17" i="110"/>
  <c r="D20" i="110"/>
  <c r="D21" i="110"/>
  <c r="C15" i="110"/>
  <c r="C19" i="110"/>
  <c r="A13" i="110"/>
  <c r="A14" i="110"/>
  <c r="A18" i="110"/>
  <c r="A22" i="110"/>
  <c r="A19" i="110"/>
  <c r="A20" i="110"/>
  <c r="A21" i="110"/>
  <c r="A15" i="110"/>
  <c r="A16" i="110"/>
  <c r="A17" i="110"/>
  <c r="A10" i="110"/>
  <c r="A11" i="110"/>
  <c r="A12" i="110"/>
  <c r="F169" i="2"/>
  <c r="J169" i="2"/>
  <c r="F170" i="2"/>
  <c r="J170" i="2"/>
  <c r="M39" i="2"/>
  <c r="I39" i="2"/>
  <c r="M38" i="2"/>
  <c r="I38" i="2"/>
  <c r="I15" i="77"/>
  <c r="I156" i="77"/>
  <c r="D156" i="77"/>
  <c r="A147" i="77"/>
  <c r="A148" i="77"/>
  <c r="A149" i="77"/>
  <c r="A150" i="77"/>
  <c r="A151" i="77"/>
  <c r="A152" i="77"/>
  <c r="A153" i="77"/>
  <c r="A154" i="77"/>
  <c r="A155" i="77"/>
  <c r="A156" i="77"/>
  <c r="D142" i="77"/>
  <c r="I142" i="77"/>
  <c r="I110" i="77"/>
  <c r="D110" i="77"/>
  <c r="A106" i="77"/>
  <c r="A107" i="77"/>
  <c r="A108" i="77"/>
  <c r="A109" i="77"/>
  <c r="A110" i="77"/>
  <c r="I99" i="77"/>
  <c r="D99" i="77"/>
  <c r="A96" i="77"/>
  <c r="A97" i="77"/>
  <c r="A98" i="77"/>
  <c r="A99" i="77"/>
  <c r="I37" i="77"/>
  <c r="A33" i="77"/>
  <c r="A34" i="77"/>
  <c r="A35" i="77"/>
  <c r="A36" i="77"/>
  <c r="A37" i="77"/>
  <c r="K28" i="99"/>
  <c r="L28" i="99"/>
  <c r="M28" i="99"/>
  <c r="N28" i="99"/>
  <c r="A42" i="99"/>
  <c r="A43" i="99"/>
  <c r="A44" i="99"/>
  <c r="A45" i="99"/>
  <c r="A46" i="99"/>
  <c r="A47" i="99"/>
  <c r="A48" i="99"/>
  <c r="A49" i="99"/>
  <c r="A50" i="99"/>
  <c r="A51" i="99"/>
  <c r="A52" i="99"/>
  <c r="A53" i="99"/>
  <c r="A54" i="99"/>
  <c r="A55" i="99"/>
  <c r="A56" i="99"/>
  <c r="A57" i="99"/>
  <c r="A58" i="99"/>
  <c r="A59" i="99"/>
  <c r="A60" i="99"/>
  <c r="A61" i="99"/>
  <c r="I26" i="77"/>
  <c r="H12" i="99"/>
  <c r="D13" i="99"/>
  <c r="L8" i="99"/>
  <c r="L9" i="99"/>
  <c r="N9" i="99"/>
  <c r="F13" i="99"/>
  <c r="H13" i="99"/>
  <c r="D14" i="99"/>
  <c r="H14" i="99"/>
  <c r="D15" i="99"/>
  <c r="H15" i="99"/>
  <c r="D16" i="99"/>
  <c r="H16" i="99"/>
  <c r="D17" i="99"/>
  <c r="L13" i="99"/>
  <c r="L14" i="99"/>
  <c r="N14" i="99"/>
  <c r="F17" i="99"/>
  <c r="H17" i="99"/>
  <c r="D18" i="99"/>
  <c r="H18" i="99"/>
  <c r="D19" i="99"/>
  <c r="H19" i="99"/>
  <c r="H54" i="99"/>
  <c r="H20" i="99"/>
  <c r="F22" i="99"/>
  <c r="H22" i="99"/>
  <c r="D21" i="99"/>
  <c r="H21" i="99"/>
  <c r="D23" i="99"/>
  <c r="H23" i="99"/>
  <c r="D24" i="99"/>
  <c r="H24" i="99"/>
  <c r="D25" i="99"/>
  <c r="H25" i="99"/>
  <c r="H55" i="99"/>
  <c r="L42" i="99"/>
  <c r="L43" i="99"/>
  <c r="N43" i="99"/>
  <c r="F30" i="99"/>
  <c r="H30" i="99"/>
  <c r="H31" i="99"/>
  <c r="N48" i="99"/>
  <c r="F32" i="99"/>
  <c r="H32" i="99"/>
  <c r="H33" i="99"/>
  <c r="H34" i="99"/>
  <c r="L52" i="99"/>
  <c r="L53" i="99"/>
  <c r="L54" i="99"/>
  <c r="N52" i="99"/>
  <c r="N53" i="99"/>
  <c r="N54" i="99"/>
  <c r="F35" i="99"/>
  <c r="H35" i="99"/>
  <c r="H36" i="99"/>
  <c r="L67" i="99"/>
  <c r="N67" i="99"/>
  <c r="F37" i="99"/>
  <c r="H37" i="99"/>
  <c r="H38" i="99"/>
  <c r="H39" i="99"/>
  <c r="H40" i="99"/>
  <c r="H60" i="99"/>
  <c r="H8" i="99"/>
  <c r="H9" i="99"/>
  <c r="H51" i="99"/>
  <c r="H10" i="99"/>
  <c r="H52" i="99"/>
  <c r="H11" i="99"/>
  <c r="H53" i="99"/>
  <c r="H26" i="99"/>
  <c r="H56" i="99"/>
  <c r="L32" i="99"/>
  <c r="L33" i="99"/>
  <c r="L34" i="99"/>
  <c r="L35" i="99"/>
  <c r="L36" i="99"/>
  <c r="L37" i="99"/>
  <c r="N37" i="99"/>
  <c r="F27" i="99"/>
  <c r="H27" i="99"/>
  <c r="H57" i="99"/>
  <c r="H28" i="99"/>
  <c r="H58" i="99"/>
  <c r="H29" i="99"/>
  <c r="H59" i="99"/>
  <c r="H61" i="99"/>
  <c r="A22" i="77"/>
  <c r="A23" i="77"/>
  <c r="A24" i="77"/>
  <c r="A25" i="77"/>
  <c r="A26" i="77"/>
  <c r="H47" i="99"/>
  <c r="A11" i="77"/>
  <c r="A12" i="77"/>
  <c r="A13" i="77"/>
  <c r="A14" i="77"/>
  <c r="A15" i="77"/>
  <c r="M67" i="99"/>
  <c r="K8" i="99"/>
  <c r="P8" i="99"/>
  <c r="T8" i="99"/>
  <c r="K9" i="99"/>
  <c r="M9" i="99"/>
  <c r="K13" i="99"/>
  <c r="P13" i="99"/>
  <c r="T13" i="99"/>
  <c r="K14" i="99"/>
  <c r="M14" i="99"/>
  <c r="K32" i="99"/>
  <c r="P32" i="99"/>
  <c r="K33" i="99"/>
  <c r="P33" i="99"/>
  <c r="T33" i="99"/>
  <c r="K34" i="99"/>
  <c r="P34" i="99"/>
  <c r="T34" i="99"/>
  <c r="K35" i="99"/>
  <c r="P35" i="99"/>
  <c r="T35" i="99"/>
  <c r="K36" i="99"/>
  <c r="P36" i="99"/>
  <c r="T36" i="99"/>
  <c r="K37" i="99"/>
  <c r="M37" i="99"/>
  <c r="K42" i="99"/>
  <c r="P42" i="99"/>
  <c r="T42" i="99"/>
  <c r="K43" i="99"/>
  <c r="M43" i="99"/>
  <c r="T47" i="99"/>
  <c r="K48" i="99"/>
  <c r="M48" i="99"/>
  <c r="K52" i="99"/>
  <c r="M52" i="99"/>
  <c r="P52" i="99"/>
  <c r="T52" i="99"/>
  <c r="K53" i="99"/>
  <c r="M53" i="99"/>
  <c r="P53" i="99"/>
  <c r="T53" i="99"/>
  <c r="K54" i="99"/>
  <c r="M54" i="99"/>
  <c r="K67" i="99"/>
  <c r="H63" i="99"/>
  <c r="F51" i="99"/>
  <c r="F52" i="99"/>
  <c r="F53" i="99"/>
  <c r="F54" i="99"/>
  <c r="F55" i="99"/>
  <c r="F56" i="99"/>
  <c r="F57" i="99"/>
  <c r="F58" i="99"/>
  <c r="F59" i="99"/>
  <c r="F63" i="99"/>
  <c r="D51" i="99"/>
  <c r="D52" i="99"/>
  <c r="D53" i="99"/>
  <c r="D54" i="99"/>
  <c r="D55" i="99"/>
  <c r="D56" i="99"/>
  <c r="D57" i="99"/>
  <c r="D58" i="99"/>
  <c r="D59" i="99"/>
  <c r="D63" i="99"/>
  <c r="G8" i="99"/>
  <c r="I8" i="99"/>
  <c r="G9" i="99"/>
  <c r="I9" i="99"/>
  <c r="I51" i="99"/>
  <c r="G10" i="99"/>
  <c r="I10" i="99"/>
  <c r="I52" i="99"/>
  <c r="G11" i="99"/>
  <c r="I11" i="99"/>
  <c r="I53" i="99"/>
  <c r="G12" i="99"/>
  <c r="I12" i="99"/>
  <c r="C13" i="99"/>
  <c r="E13" i="99"/>
  <c r="G13" i="99"/>
  <c r="I13" i="99"/>
  <c r="C14" i="99"/>
  <c r="G14" i="99"/>
  <c r="I14" i="99"/>
  <c r="C15" i="99"/>
  <c r="G15" i="99"/>
  <c r="I15" i="99"/>
  <c r="C16" i="99"/>
  <c r="G16" i="99"/>
  <c r="I16" i="99"/>
  <c r="C17" i="99"/>
  <c r="E17" i="99"/>
  <c r="G17" i="99"/>
  <c r="I17" i="99"/>
  <c r="C18" i="99"/>
  <c r="G18" i="99"/>
  <c r="I18" i="99"/>
  <c r="C19" i="99"/>
  <c r="G19" i="99"/>
  <c r="I19" i="99"/>
  <c r="I54" i="99"/>
  <c r="G20" i="99"/>
  <c r="I20" i="99"/>
  <c r="C21" i="99"/>
  <c r="G21" i="99"/>
  <c r="I21" i="99"/>
  <c r="E22" i="99"/>
  <c r="G22" i="99"/>
  <c r="I22" i="99"/>
  <c r="C23" i="99"/>
  <c r="G23" i="99"/>
  <c r="I23" i="99"/>
  <c r="C24" i="99"/>
  <c r="G24" i="99"/>
  <c r="I24" i="99"/>
  <c r="C25" i="99"/>
  <c r="G25" i="99"/>
  <c r="I25" i="99"/>
  <c r="I55" i="99"/>
  <c r="G26" i="99"/>
  <c r="I26" i="99"/>
  <c r="I56" i="99"/>
  <c r="E27" i="99"/>
  <c r="G27" i="99"/>
  <c r="I27" i="99"/>
  <c r="I57" i="99"/>
  <c r="G28" i="99"/>
  <c r="I28" i="99"/>
  <c r="I58" i="99"/>
  <c r="G29" i="99"/>
  <c r="I29" i="99"/>
  <c r="I59" i="99"/>
  <c r="E30" i="99"/>
  <c r="G30" i="99"/>
  <c r="I30" i="99"/>
  <c r="G31" i="99"/>
  <c r="I31" i="99"/>
  <c r="E32" i="99"/>
  <c r="G32" i="99"/>
  <c r="I32" i="99"/>
  <c r="G33" i="99"/>
  <c r="I33" i="99"/>
  <c r="G34" i="99"/>
  <c r="I34" i="99"/>
  <c r="E35" i="99"/>
  <c r="G35" i="99"/>
  <c r="I35" i="99"/>
  <c r="G36" i="99"/>
  <c r="I36" i="99"/>
  <c r="E37" i="99"/>
  <c r="G37" i="99"/>
  <c r="I37" i="99"/>
  <c r="G38" i="99"/>
  <c r="I38" i="99"/>
  <c r="G39" i="99"/>
  <c r="I39" i="99"/>
  <c r="G40" i="99"/>
  <c r="I40" i="99"/>
  <c r="I60" i="99"/>
  <c r="I61" i="99"/>
  <c r="G51" i="99"/>
  <c r="G52" i="99"/>
  <c r="G53" i="99"/>
  <c r="G54" i="99"/>
  <c r="G55" i="99"/>
  <c r="G56" i="99"/>
  <c r="G57" i="99"/>
  <c r="G58" i="99"/>
  <c r="G59" i="99"/>
  <c r="G60" i="99"/>
  <c r="G61" i="99"/>
  <c r="F60" i="99"/>
  <c r="F61" i="99"/>
  <c r="E51" i="99"/>
  <c r="E52" i="99"/>
  <c r="E53" i="99"/>
  <c r="E54" i="99"/>
  <c r="E55" i="99"/>
  <c r="E56" i="99"/>
  <c r="E57" i="99"/>
  <c r="E58" i="99"/>
  <c r="E59" i="99"/>
  <c r="E60" i="99"/>
  <c r="E61" i="99"/>
  <c r="D60" i="99"/>
  <c r="D61" i="99"/>
  <c r="C51" i="99"/>
  <c r="C52" i="99"/>
  <c r="C53" i="99"/>
  <c r="C54" i="99"/>
  <c r="C55" i="99"/>
  <c r="C56" i="99"/>
  <c r="C57" i="99"/>
  <c r="C58" i="99"/>
  <c r="C59" i="99"/>
  <c r="C60" i="99"/>
  <c r="C61" i="99"/>
  <c r="B61" i="99"/>
  <c r="I45" i="99"/>
  <c r="I46" i="99"/>
  <c r="I47" i="99"/>
  <c r="I48" i="99"/>
  <c r="H45" i="99"/>
  <c r="H46" i="99"/>
  <c r="H48" i="99"/>
  <c r="G45" i="99"/>
  <c r="G46" i="99"/>
  <c r="G47" i="99"/>
  <c r="G48" i="99"/>
  <c r="F45" i="99"/>
  <c r="F46" i="99"/>
  <c r="F47" i="99"/>
  <c r="F48" i="99"/>
  <c r="E45" i="99"/>
  <c r="E46" i="99"/>
  <c r="E47" i="99"/>
  <c r="E48" i="99"/>
  <c r="D45" i="99"/>
  <c r="D46" i="99"/>
  <c r="D47" i="99"/>
  <c r="D48" i="99"/>
  <c r="C45" i="99"/>
  <c r="C46" i="99"/>
  <c r="C47" i="99"/>
  <c r="C48" i="99"/>
  <c r="F41" i="99"/>
  <c r="E41" i="99"/>
  <c r="D41" i="99"/>
  <c r="C41" i="99"/>
  <c r="H27" i="108"/>
  <c r="D27" i="108"/>
  <c r="B27" i="108"/>
  <c r="A8" i="108"/>
  <c r="A28" i="108"/>
  <c r="A9" i="108"/>
  <c r="A10" i="108"/>
  <c r="A11" i="108"/>
  <c r="A12" i="108"/>
  <c r="A13" i="108"/>
  <c r="A14" i="108"/>
  <c r="A15" i="108"/>
  <c r="A16" i="108"/>
  <c r="A17" i="108"/>
  <c r="A18" i="108"/>
  <c r="A19" i="108"/>
  <c r="A20" i="108"/>
  <c r="A21" i="108"/>
  <c r="A22" i="108"/>
  <c r="A23" i="108"/>
  <c r="A24" i="108"/>
  <c r="A25" i="108"/>
  <c r="A26" i="108"/>
  <c r="A27" i="108"/>
  <c r="N11" i="105"/>
  <c r="N9" i="105"/>
  <c r="N8" i="105"/>
  <c r="N7" i="105"/>
  <c r="L10" i="105"/>
  <c r="J10" i="105"/>
  <c r="L9" i="105"/>
  <c r="L11" i="105"/>
  <c r="B40" i="107"/>
  <c r="B39" i="107"/>
  <c r="B38" i="107"/>
  <c r="D29" i="101"/>
  <c r="E29" i="101"/>
  <c r="K11" i="105"/>
  <c r="K10" i="105"/>
  <c r="K9" i="105"/>
  <c r="K12" i="105"/>
  <c r="K8" i="105"/>
  <c r="K7" i="105"/>
  <c r="C11" i="105"/>
  <c r="C10" i="105"/>
  <c r="C9" i="105"/>
  <c r="C8" i="105"/>
  <c r="F7" i="105"/>
  <c r="C7" i="105"/>
  <c r="C12" i="105"/>
  <c r="D9" i="105"/>
  <c r="D8" i="105"/>
  <c r="L8" i="105"/>
  <c r="D7" i="105"/>
  <c r="L7" i="105"/>
  <c r="L12" i="105"/>
  <c r="H25" i="104"/>
  <c r="H22" i="104"/>
  <c r="I28" i="107"/>
  <c r="G28" i="107"/>
  <c r="I29" i="107"/>
  <c r="G29" i="107"/>
  <c r="I30" i="107"/>
  <c r="G30" i="107"/>
  <c r="G32" i="107"/>
  <c r="A10" i="107"/>
  <c r="A11" i="107"/>
  <c r="A12" i="107"/>
  <c r="A13" i="107"/>
  <c r="A14" i="107"/>
  <c r="A15" i="107"/>
  <c r="A16" i="107"/>
  <c r="A17" i="107"/>
  <c r="A18" i="107"/>
  <c r="A19" i="107"/>
  <c r="A20" i="107"/>
  <c r="A21" i="107"/>
  <c r="A22" i="107"/>
  <c r="A23" i="107"/>
  <c r="A24" i="107"/>
  <c r="A25" i="107"/>
  <c r="A26" i="107"/>
  <c r="A32" i="107"/>
  <c r="N28" i="107"/>
  <c r="N29" i="107"/>
  <c r="N30" i="107"/>
  <c r="N31" i="107"/>
  <c r="I31" i="107"/>
  <c r="I22" i="107"/>
  <c r="H22" i="107"/>
  <c r="G22" i="107"/>
  <c r="F22" i="107"/>
  <c r="D94" i="77"/>
  <c r="D95" i="77"/>
  <c r="D96" i="77"/>
  <c r="D97" i="77"/>
  <c r="D103" i="77"/>
  <c r="G129" i="75"/>
  <c r="G130" i="75"/>
  <c r="J12" i="105"/>
  <c r="I12" i="105"/>
  <c r="H12" i="105"/>
  <c r="G12" i="105"/>
  <c r="F12" i="105"/>
  <c r="E12" i="105"/>
  <c r="A10" i="105"/>
  <c r="A11" i="105"/>
  <c r="A12" i="105"/>
  <c r="F31" i="101"/>
  <c r="F28" i="101"/>
  <c r="F26" i="101"/>
  <c r="F17" i="101"/>
  <c r="F21" i="101"/>
  <c r="F25" i="101"/>
  <c r="F22" i="101"/>
  <c r="F18" i="101"/>
  <c r="F14" i="101"/>
  <c r="F13" i="101"/>
  <c r="F10" i="101"/>
  <c r="A30" i="101"/>
  <c r="A31" i="101"/>
  <c r="K11" i="102"/>
  <c r="K12" i="102"/>
  <c r="K13" i="102"/>
  <c r="K14" i="102"/>
  <c r="K15" i="102"/>
  <c r="K16" i="102"/>
  <c r="K17" i="102"/>
  <c r="K18" i="102"/>
  <c r="K19" i="102"/>
  <c r="K20" i="102"/>
  <c r="K21" i="102"/>
  <c r="K22" i="102"/>
  <c r="K10" i="102"/>
  <c r="F163" i="75"/>
  <c r="F164" i="75"/>
  <c r="F161" i="75"/>
  <c r="E165" i="75"/>
  <c r="E164" i="75"/>
  <c r="D153" i="77"/>
  <c r="E8" i="96"/>
  <c r="E25" i="96"/>
  <c r="A25" i="96"/>
  <c r="E9" i="96"/>
  <c r="E10" i="96"/>
  <c r="E11" i="96"/>
  <c r="E12" i="96"/>
  <c r="E13" i="96"/>
  <c r="E14" i="96"/>
  <c r="E15" i="96"/>
  <c r="E16" i="96"/>
  <c r="E17" i="96"/>
  <c r="E18" i="96"/>
  <c r="E19" i="96"/>
  <c r="E20" i="96"/>
  <c r="E21" i="96"/>
  <c r="E22" i="96"/>
  <c r="D8" i="96"/>
  <c r="C9" i="96"/>
  <c r="D9" i="96"/>
  <c r="C10" i="96"/>
  <c r="D10" i="96"/>
  <c r="C11" i="96"/>
  <c r="D11" i="96"/>
  <c r="C12" i="96"/>
  <c r="D12" i="96"/>
  <c r="C13" i="96"/>
  <c r="D13" i="96"/>
  <c r="C14" i="96"/>
  <c r="D14" i="96"/>
  <c r="C15" i="96"/>
  <c r="D15" i="96"/>
  <c r="C16" i="96"/>
  <c r="D16" i="96"/>
  <c r="C17" i="96"/>
  <c r="D17" i="96"/>
  <c r="C18" i="96"/>
  <c r="D18" i="96"/>
  <c r="C19" i="96"/>
  <c r="D19" i="96"/>
  <c r="C20" i="96"/>
  <c r="D20" i="96"/>
  <c r="C21" i="96"/>
  <c r="D21" i="96"/>
  <c r="C22" i="96"/>
  <c r="D22" i="96"/>
  <c r="B9" i="96"/>
  <c r="B10" i="96"/>
  <c r="B11" i="96"/>
  <c r="B12" i="96"/>
  <c r="B13" i="96"/>
  <c r="B14" i="96"/>
  <c r="B15" i="96"/>
  <c r="B16" i="96"/>
  <c r="B17" i="96"/>
  <c r="B18" i="96"/>
  <c r="B19" i="96"/>
  <c r="B20" i="96"/>
  <c r="B21" i="96"/>
  <c r="B22" i="96"/>
  <c r="A8" i="96"/>
  <c r="A9" i="96"/>
  <c r="A10" i="96"/>
  <c r="A11" i="96"/>
  <c r="A12" i="96"/>
  <c r="A13" i="96"/>
  <c r="A14" i="96"/>
  <c r="A15" i="96"/>
  <c r="A16" i="96"/>
  <c r="A17" i="96"/>
  <c r="A18" i="96"/>
  <c r="A19" i="96"/>
  <c r="A20" i="96"/>
  <c r="A21" i="96"/>
  <c r="A22" i="96"/>
  <c r="A4" i="106"/>
  <c r="A1" i="106"/>
  <c r="A1" i="99"/>
  <c r="A3" i="105"/>
  <c r="A1" i="105"/>
  <c r="L9" i="62"/>
  <c r="L10" i="62"/>
  <c r="L11" i="62"/>
  <c r="L12" i="62"/>
  <c r="L13" i="62"/>
  <c r="L14" i="62"/>
  <c r="L15" i="62"/>
  <c r="L16" i="62"/>
  <c r="L17" i="62"/>
  <c r="L18" i="62"/>
  <c r="L19" i="62"/>
  <c r="L20" i="62"/>
  <c r="L21" i="62"/>
  <c r="L23" i="62"/>
  <c r="G27" i="75"/>
  <c r="L28" i="62"/>
  <c r="L29" i="62"/>
  <c r="L30" i="62"/>
  <c r="L31" i="62"/>
  <c r="L32" i="62"/>
  <c r="L33" i="62"/>
  <c r="L34" i="62"/>
  <c r="L35" i="62"/>
  <c r="L36" i="62"/>
  <c r="L37" i="62"/>
  <c r="L38" i="62"/>
  <c r="L39" i="62"/>
  <c r="L40" i="62"/>
  <c r="L42" i="62"/>
  <c r="G28" i="75"/>
  <c r="G29" i="75"/>
  <c r="K23" i="62"/>
  <c r="G44" i="75"/>
  <c r="C23" i="62"/>
  <c r="G45" i="75"/>
  <c r="G46" i="75"/>
  <c r="C15" i="61"/>
  <c r="C27" i="61"/>
  <c r="G15" i="75"/>
  <c r="D53" i="93"/>
  <c r="D59" i="93"/>
  <c r="E51" i="56"/>
  <c r="E56" i="56"/>
  <c r="E57" i="56"/>
  <c r="E58" i="56"/>
  <c r="E59" i="56"/>
  <c r="E60" i="56"/>
  <c r="E61" i="56"/>
  <c r="D46" i="95"/>
  <c r="D47" i="95"/>
  <c r="D48" i="95"/>
  <c r="D49" i="95"/>
  <c r="D50" i="95"/>
  <c r="D52" i="95"/>
  <c r="D53" i="95"/>
  <c r="D54" i="95"/>
  <c r="D55" i="95"/>
  <c r="D56" i="95"/>
  <c r="C31" i="61"/>
  <c r="C32" i="61"/>
  <c r="C33" i="61"/>
  <c r="G19" i="75"/>
  <c r="C10" i="61"/>
  <c r="G11" i="75"/>
  <c r="D45" i="93"/>
  <c r="D39" i="95"/>
  <c r="D40" i="95"/>
  <c r="D41" i="95"/>
  <c r="D42" i="95"/>
  <c r="G23" i="62"/>
  <c r="G40" i="75"/>
  <c r="G42" i="75"/>
  <c r="K42" i="62"/>
  <c r="G55" i="75"/>
  <c r="C42" i="62"/>
  <c r="G56" i="75"/>
  <c r="G57" i="75"/>
  <c r="G42" i="62"/>
  <c r="G53" i="75"/>
  <c r="G153" i="75"/>
  <c r="E65" i="93"/>
  <c r="G150" i="75"/>
  <c r="G152" i="75"/>
  <c r="G154" i="75"/>
  <c r="E16" i="93"/>
  <c r="E45" i="93"/>
  <c r="K23" i="55"/>
  <c r="K24" i="55"/>
  <c r="K25" i="55"/>
  <c r="K26" i="55"/>
  <c r="K27" i="55"/>
  <c r="K28" i="55"/>
  <c r="K29" i="55"/>
  <c r="K30" i="55"/>
  <c r="K31" i="55"/>
  <c r="K32" i="55"/>
  <c r="K33" i="55"/>
  <c r="K34" i="55"/>
  <c r="K35" i="55"/>
  <c r="K61" i="55"/>
  <c r="F20" i="56"/>
  <c r="F21" i="56"/>
  <c r="F22" i="56"/>
  <c r="F23" i="56"/>
  <c r="F24" i="56"/>
  <c r="F25" i="56"/>
  <c r="F47" i="56"/>
  <c r="E17" i="95"/>
  <c r="E18" i="95"/>
  <c r="E19" i="95"/>
  <c r="E20" i="95"/>
  <c r="E21" i="95"/>
  <c r="E39" i="95"/>
  <c r="E40" i="95"/>
  <c r="E41" i="95"/>
  <c r="E42" i="95"/>
  <c r="G142" i="75"/>
  <c r="C11" i="57"/>
  <c r="G134" i="75"/>
  <c r="D122" i="77"/>
  <c r="G138" i="75"/>
  <c r="K41" i="55"/>
  <c r="K42" i="55"/>
  <c r="K43" i="55"/>
  <c r="K44" i="55"/>
  <c r="K45" i="55"/>
  <c r="K46" i="55"/>
  <c r="K47" i="55"/>
  <c r="K48" i="55"/>
  <c r="K49" i="55"/>
  <c r="K50" i="55"/>
  <c r="K51" i="55"/>
  <c r="K52" i="55"/>
  <c r="K53" i="55"/>
  <c r="K54" i="55"/>
  <c r="K74" i="55"/>
  <c r="D107" i="77"/>
  <c r="F30" i="56"/>
  <c r="F31" i="56"/>
  <c r="F32" i="56"/>
  <c r="F33" i="56"/>
  <c r="F34" i="56"/>
  <c r="F35" i="56"/>
  <c r="F36" i="56"/>
  <c r="F37" i="56"/>
  <c r="F38" i="56"/>
  <c r="F39" i="56"/>
  <c r="F40" i="56"/>
  <c r="F60" i="56"/>
  <c r="D108" i="77"/>
  <c r="E30" i="95"/>
  <c r="E31" i="95"/>
  <c r="E32" i="95"/>
  <c r="E33" i="95"/>
  <c r="E34" i="95"/>
  <c r="E35" i="95"/>
  <c r="E55" i="95"/>
  <c r="D109" i="77"/>
  <c r="D106" i="77"/>
  <c r="D114" i="77"/>
  <c r="G140" i="75"/>
  <c r="G141" i="75"/>
  <c r="G143" i="75"/>
  <c r="D131" i="77"/>
  <c r="G146" i="75"/>
  <c r="G148" i="75"/>
  <c r="G156" i="75"/>
  <c r="G250" i="75"/>
  <c r="G31" i="75"/>
  <c r="G32" i="75"/>
  <c r="G179" i="75"/>
  <c r="F11" i="49"/>
  <c r="F14" i="49"/>
  <c r="F20" i="49"/>
  <c r="F22" i="49"/>
  <c r="F26" i="49"/>
  <c r="F27" i="49"/>
  <c r="F28" i="49"/>
  <c r="F29" i="49"/>
  <c r="F31" i="49"/>
  <c r="F34" i="49"/>
  <c r="F36" i="49"/>
  <c r="F39" i="49"/>
  <c r="G176" i="75"/>
  <c r="K16" i="55"/>
  <c r="K67" i="55"/>
  <c r="F11" i="56"/>
  <c r="F53" i="56"/>
  <c r="D154" i="77"/>
  <c r="E11" i="95"/>
  <c r="E48" i="95"/>
  <c r="D155" i="77"/>
  <c r="D152" i="77"/>
  <c r="D160" i="77"/>
  <c r="G177" i="75"/>
  <c r="G178" i="75"/>
  <c r="G180" i="75"/>
  <c r="G9" i="49"/>
  <c r="G10" i="49"/>
  <c r="G13" i="49"/>
  <c r="G25" i="49"/>
  <c r="G33" i="49"/>
  <c r="G39" i="49"/>
  <c r="G182" i="75"/>
  <c r="G183" i="75"/>
  <c r="G184" i="75"/>
  <c r="G174" i="75"/>
  <c r="G185" i="75"/>
  <c r="G252" i="75"/>
  <c r="D9" i="101"/>
  <c r="D10" i="101"/>
  <c r="D13" i="101"/>
  <c r="D14" i="101"/>
  <c r="D17" i="101"/>
  <c r="D18" i="101"/>
  <c r="F28" i="62"/>
  <c r="D21" i="101"/>
  <c r="D22" i="101"/>
  <c r="D25" i="101"/>
  <c r="D26" i="101"/>
  <c r="D28" i="101"/>
  <c r="D31" i="101"/>
  <c r="D162" i="2"/>
  <c r="E9" i="101"/>
  <c r="E10" i="101"/>
  <c r="E13" i="101"/>
  <c r="E14" i="101"/>
  <c r="E17" i="101"/>
  <c r="E18" i="101"/>
  <c r="F40" i="62"/>
  <c r="E21" i="101"/>
  <c r="E22" i="101"/>
  <c r="E25" i="101"/>
  <c r="E26" i="101"/>
  <c r="E28" i="101"/>
  <c r="E31" i="101"/>
  <c r="E162" i="2"/>
  <c r="H162" i="2"/>
  <c r="H113" i="2"/>
  <c r="H114" i="2"/>
  <c r="H117" i="2"/>
  <c r="H118" i="2"/>
  <c r="H119" i="2"/>
  <c r="H120" i="2"/>
  <c r="H121" i="2"/>
  <c r="H122" i="2"/>
  <c r="H123" i="2"/>
  <c r="H124" i="2"/>
  <c r="H125" i="2"/>
  <c r="H126" i="2"/>
  <c r="H127" i="2"/>
  <c r="H128" i="2"/>
  <c r="H131" i="2"/>
  <c r="H132" i="2"/>
  <c r="H133" i="2"/>
  <c r="H134" i="2"/>
  <c r="H137" i="2"/>
  <c r="H138" i="2"/>
  <c r="H145" i="2"/>
  <c r="H146" i="2"/>
  <c r="H154" i="2"/>
  <c r="H155" i="2"/>
  <c r="H156" i="2"/>
  <c r="H161" i="2"/>
  <c r="H164" i="2"/>
  <c r="H11" i="2"/>
  <c r="H24" i="2"/>
  <c r="H25" i="2"/>
  <c r="H30" i="2"/>
  <c r="H31" i="2"/>
  <c r="H42" i="2"/>
  <c r="H43" i="2"/>
  <c r="H55" i="2"/>
  <c r="H56" i="2"/>
  <c r="H85" i="2"/>
  <c r="H86" i="2"/>
  <c r="H89" i="2"/>
  <c r="H90" i="2"/>
  <c r="H91" i="2"/>
  <c r="H92" i="2"/>
  <c r="H96" i="2"/>
  <c r="H97" i="2"/>
  <c r="H98" i="2"/>
  <c r="H99" i="2"/>
  <c r="H108" i="2"/>
  <c r="H110" i="2"/>
  <c r="H9" i="2"/>
  <c r="H177" i="2"/>
  <c r="H178" i="2"/>
  <c r="H195" i="2"/>
  <c r="H196" i="2"/>
  <c r="H199" i="2"/>
  <c r="H200" i="2"/>
  <c r="H211" i="2"/>
  <c r="H213" i="2"/>
  <c r="H12" i="2"/>
  <c r="H13" i="2"/>
  <c r="G69" i="75"/>
  <c r="G70" i="75"/>
  <c r="G71" i="75"/>
  <c r="G143" i="2"/>
  <c r="G144" i="2"/>
  <c r="G161" i="2"/>
  <c r="G164" i="2"/>
  <c r="G11" i="2"/>
  <c r="G171" i="2"/>
  <c r="G172" i="2"/>
  <c r="G185" i="2"/>
  <c r="G186" i="2"/>
  <c r="G211" i="2"/>
  <c r="G213" i="2"/>
  <c r="G12" i="2"/>
  <c r="G108" i="2"/>
  <c r="G110" i="2"/>
  <c r="G9" i="2"/>
  <c r="G13" i="2"/>
  <c r="G68" i="75"/>
  <c r="I28" i="2"/>
  <c r="I29" i="2"/>
  <c r="I34" i="2"/>
  <c r="I35" i="2"/>
  <c r="I44" i="2"/>
  <c r="I45" i="2"/>
  <c r="I79" i="2"/>
  <c r="I80" i="2"/>
  <c r="I88" i="2"/>
  <c r="I102" i="2"/>
  <c r="I103" i="2"/>
  <c r="I108" i="2"/>
  <c r="I110" i="2"/>
  <c r="I9" i="2"/>
  <c r="I129" i="2"/>
  <c r="I130" i="2"/>
  <c r="I161" i="2"/>
  <c r="I164" i="2"/>
  <c r="I11" i="2"/>
  <c r="I211" i="2"/>
  <c r="I213" i="2"/>
  <c r="I12" i="2"/>
  <c r="I13" i="2"/>
  <c r="G72" i="75"/>
  <c r="G73" i="75"/>
  <c r="G74" i="75"/>
  <c r="G75" i="75"/>
  <c r="G82" i="75"/>
  <c r="G56" i="77"/>
  <c r="G63" i="77"/>
  <c r="G70" i="77"/>
  <c r="G79" i="77"/>
  <c r="G88" i="77"/>
  <c r="G89" i="77"/>
  <c r="G81" i="75"/>
  <c r="G83" i="75"/>
  <c r="Q14" i="74"/>
  <c r="D58" i="77"/>
  <c r="H58" i="77"/>
  <c r="Q15" i="74"/>
  <c r="D59" i="77"/>
  <c r="H59" i="77"/>
  <c r="H63" i="77"/>
  <c r="Q16" i="74"/>
  <c r="D65" i="77"/>
  <c r="H65" i="77"/>
  <c r="H70" i="77"/>
  <c r="F10" i="102"/>
  <c r="F11" i="102"/>
  <c r="F12" i="102"/>
  <c r="F13" i="102"/>
  <c r="F14" i="102"/>
  <c r="F15" i="102"/>
  <c r="F16" i="102"/>
  <c r="F17" i="102"/>
  <c r="F18" i="102"/>
  <c r="F19" i="102"/>
  <c r="F20" i="102"/>
  <c r="F21" i="102"/>
  <c r="F22" i="102"/>
  <c r="F24" i="102"/>
  <c r="D83" i="77"/>
  <c r="H83" i="77"/>
  <c r="K24" i="102"/>
  <c r="D84" i="77"/>
  <c r="H84" i="77"/>
  <c r="H88" i="77"/>
  <c r="H56" i="77"/>
  <c r="H79" i="77"/>
  <c r="H89" i="77"/>
  <c r="G84" i="75"/>
  <c r="G85" i="75"/>
  <c r="G86" i="75"/>
  <c r="F56" i="77"/>
  <c r="F63" i="77"/>
  <c r="F70" i="77"/>
  <c r="F79" i="77"/>
  <c r="F88" i="77"/>
  <c r="F89" i="77"/>
  <c r="G80" i="75"/>
  <c r="G87" i="75"/>
  <c r="G99" i="75"/>
  <c r="Q11" i="73"/>
  <c r="D35" i="73"/>
  <c r="G35" i="73"/>
  <c r="Q12" i="73"/>
  <c r="D36" i="73"/>
  <c r="G36" i="73"/>
  <c r="Q15" i="73"/>
  <c r="D39" i="73"/>
  <c r="G39" i="73"/>
  <c r="G51" i="73"/>
  <c r="G98" i="75"/>
  <c r="G100" i="75"/>
  <c r="Q9" i="73"/>
  <c r="D33" i="73"/>
  <c r="H33" i="73"/>
  <c r="Q13" i="73"/>
  <c r="D37" i="73"/>
  <c r="H37" i="73"/>
  <c r="Q14" i="73"/>
  <c r="D38" i="73"/>
  <c r="H38" i="73"/>
  <c r="Q16" i="73"/>
  <c r="D40" i="73"/>
  <c r="H40" i="73"/>
  <c r="Q18" i="73"/>
  <c r="D42" i="73"/>
  <c r="H42" i="73"/>
  <c r="Q23" i="73"/>
  <c r="D47" i="73"/>
  <c r="H47" i="73"/>
  <c r="H51" i="73"/>
  <c r="G101" i="75"/>
  <c r="G102" i="75"/>
  <c r="G103" i="75"/>
  <c r="G97" i="75"/>
  <c r="G104" i="75"/>
  <c r="G109" i="75"/>
  <c r="G111" i="75"/>
  <c r="Q10" i="91"/>
  <c r="G91" i="75"/>
  <c r="G92" i="75"/>
  <c r="G93" i="75"/>
  <c r="G90" i="75"/>
  <c r="G94" i="75"/>
  <c r="G116" i="75"/>
  <c r="G106" i="75"/>
  <c r="G118" i="75"/>
  <c r="G120" i="75"/>
  <c r="Q8" i="44"/>
  <c r="Q9" i="44"/>
  <c r="Q10" i="44"/>
  <c r="Q11" i="44"/>
  <c r="Q12" i="44"/>
  <c r="G197" i="75"/>
  <c r="Q33" i="44"/>
  <c r="Q38" i="44"/>
  <c r="Q34" i="44"/>
  <c r="Q35" i="44"/>
  <c r="Q36" i="44"/>
  <c r="Q37" i="44"/>
  <c r="Q39" i="44"/>
  <c r="G200" i="75"/>
  <c r="Q44" i="44"/>
  <c r="D39" i="44"/>
  <c r="D45" i="44"/>
  <c r="E39" i="44"/>
  <c r="E45" i="44"/>
  <c r="F39" i="44"/>
  <c r="F45" i="44"/>
  <c r="G39" i="44"/>
  <c r="G45" i="44"/>
  <c r="H39" i="44"/>
  <c r="H45" i="44"/>
  <c r="I39" i="44"/>
  <c r="I45" i="44"/>
  <c r="J39" i="44"/>
  <c r="J45" i="44"/>
  <c r="K39" i="44"/>
  <c r="K45" i="44"/>
  <c r="L39" i="44"/>
  <c r="L45" i="44"/>
  <c r="M39" i="44"/>
  <c r="M45" i="44"/>
  <c r="N39" i="44"/>
  <c r="N45" i="44"/>
  <c r="O39" i="44"/>
  <c r="O45" i="44"/>
  <c r="P39" i="44"/>
  <c r="P45" i="44"/>
  <c r="Q45" i="44"/>
  <c r="Q46" i="44"/>
  <c r="Q47" i="44"/>
  <c r="Q48" i="44"/>
  <c r="G202" i="75"/>
  <c r="G205" i="75"/>
  <c r="G206" i="75"/>
  <c r="G204" i="75"/>
  <c r="Q15" i="44"/>
  <c r="Q16" i="44"/>
  <c r="Q17" i="44"/>
  <c r="Q18" i="44"/>
  <c r="Q19" i="44"/>
  <c r="Q20" i="44"/>
  <c r="G198" i="75"/>
  <c r="P30" i="44"/>
  <c r="G199" i="75"/>
  <c r="G208" i="75"/>
  <c r="G212" i="75"/>
  <c r="G201" i="75"/>
  <c r="G209" i="75"/>
  <c r="G213" i="75"/>
  <c r="G210" i="75"/>
  <c r="G214" i="75"/>
  <c r="G215" i="75"/>
  <c r="G217" i="75"/>
  <c r="G254" i="75"/>
  <c r="G225" i="75"/>
  <c r="G226" i="75"/>
  <c r="G239" i="75"/>
  <c r="G241" i="75"/>
  <c r="G255" i="75"/>
  <c r="E50" i="66"/>
  <c r="G161" i="75"/>
  <c r="E22" i="66"/>
  <c r="G164" i="75"/>
  <c r="K15" i="55"/>
  <c r="K66" i="55"/>
  <c r="D138" i="77"/>
  <c r="F10" i="56"/>
  <c r="F52" i="56"/>
  <c r="D139" i="77"/>
  <c r="E10" i="95"/>
  <c r="E47" i="95"/>
  <c r="D140" i="77"/>
  <c r="D141" i="77"/>
  <c r="D137" i="77"/>
  <c r="D147" i="77"/>
  <c r="G165" i="75"/>
  <c r="E35" i="66"/>
  <c r="G163" i="75"/>
  <c r="G166" i="75"/>
  <c r="G167" i="75"/>
  <c r="G168" i="75"/>
  <c r="G170" i="75"/>
  <c r="G251" i="75"/>
  <c r="G191" i="75"/>
  <c r="G192" i="75"/>
  <c r="G193" i="75"/>
  <c r="G253" i="75"/>
  <c r="G259" i="75"/>
  <c r="G266" i="75"/>
  <c r="G262" i="75"/>
  <c r="I23" i="62"/>
  <c r="D166" i="77"/>
  <c r="D167" i="77"/>
  <c r="D168" i="77"/>
  <c r="D10" i="51"/>
  <c r="G271" i="75"/>
  <c r="F10" i="51"/>
  <c r="G272" i="75"/>
  <c r="G273" i="75"/>
  <c r="G274" i="75"/>
  <c r="G275" i="75"/>
  <c r="D25" i="51"/>
  <c r="D29" i="51"/>
  <c r="D30" i="51"/>
  <c r="D37" i="51"/>
  <c r="D39" i="51"/>
  <c r="D48" i="51"/>
  <c r="D51" i="51"/>
  <c r="D52" i="51"/>
  <c r="D53" i="51"/>
  <c r="D55" i="51"/>
  <c r="D61" i="51"/>
  <c r="G278" i="75"/>
  <c r="E24" i="51"/>
  <c r="E26" i="51"/>
  <c r="E31" i="51"/>
  <c r="E38" i="51"/>
  <c r="E40" i="51"/>
  <c r="E44" i="51"/>
  <c r="E55" i="51"/>
  <c r="E61" i="51"/>
  <c r="G279" i="75"/>
  <c r="G280" i="75"/>
  <c r="F35" i="51"/>
  <c r="F61" i="51"/>
  <c r="G281" i="75"/>
  <c r="G282" i="75"/>
  <c r="G283" i="75"/>
  <c r="G284" i="75"/>
  <c r="G285" i="75"/>
  <c r="G286" i="75"/>
  <c r="G287" i="75"/>
  <c r="G288" i="75"/>
  <c r="E62" i="51"/>
  <c r="G23" i="78"/>
  <c r="G55" i="104"/>
  <c r="G56" i="104"/>
  <c r="G57" i="104"/>
  <c r="G58" i="104"/>
  <c r="G59" i="104"/>
  <c r="G60" i="104"/>
  <c r="G69" i="104"/>
  <c r="G24" i="78"/>
  <c r="G25" i="78"/>
  <c r="G55" i="78"/>
  <c r="G56" i="78"/>
  <c r="G57" i="78"/>
  <c r="G58" i="78"/>
  <c r="G59" i="78"/>
  <c r="G60" i="78"/>
  <c r="G61" i="78"/>
  <c r="G62" i="78"/>
  <c r="G63" i="78"/>
  <c r="G64" i="78"/>
  <c r="G65" i="78"/>
  <c r="E55" i="78"/>
  <c r="E56" i="78"/>
  <c r="E57" i="78"/>
  <c r="E58" i="78"/>
  <c r="E59" i="78"/>
  <c r="E60" i="78"/>
  <c r="E61" i="78"/>
  <c r="E62" i="78"/>
  <c r="E63" i="78"/>
  <c r="E64" i="78"/>
  <c r="E65" i="78"/>
  <c r="F65" i="78"/>
  <c r="D23" i="62"/>
  <c r="E23" i="62"/>
  <c r="F9" i="62"/>
  <c r="F10" i="62"/>
  <c r="F11" i="62"/>
  <c r="F12" i="62"/>
  <c r="F13" i="62"/>
  <c r="F14" i="62"/>
  <c r="F15" i="62"/>
  <c r="F16" i="62"/>
  <c r="F17" i="62"/>
  <c r="F18" i="62"/>
  <c r="F19" i="62"/>
  <c r="F20" i="62"/>
  <c r="F21" i="62"/>
  <c r="F23" i="62"/>
  <c r="J23" i="62"/>
  <c r="H44" i="75"/>
  <c r="H45" i="75"/>
  <c r="H46" i="75"/>
  <c r="H15" i="75"/>
  <c r="H19" i="75"/>
  <c r="H11" i="75"/>
  <c r="H40" i="75"/>
  <c r="D9" i="84"/>
  <c r="D10" i="84"/>
  <c r="D11" i="84"/>
  <c r="D12" i="84"/>
  <c r="D13" i="84"/>
  <c r="D14" i="84"/>
  <c r="D15" i="84"/>
  <c r="D16" i="84"/>
  <c r="D17" i="84"/>
  <c r="D18" i="84"/>
  <c r="D19" i="84"/>
  <c r="D20" i="84"/>
  <c r="D22" i="84"/>
  <c r="H41" i="75"/>
  <c r="H42" i="75"/>
  <c r="H55" i="75"/>
  <c r="H56" i="75"/>
  <c r="H57" i="75"/>
  <c r="H53" i="75"/>
  <c r="K143" i="2"/>
  <c r="K144" i="2"/>
  <c r="K161" i="2"/>
  <c r="K164" i="2"/>
  <c r="K11" i="2"/>
  <c r="K171" i="2"/>
  <c r="K172" i="2"/>
  <c r="K185" i="2"/>
  <c r="K186" i="2"/>
  <c r="K211" i="2"/>
  <c r="K213" i="2"/>
  <c r="K12" i="2"/>
  <c r="K108" i="2"/>
  <c r="K110" i="2"/>
  <c r="K9" i="2"/>
  <c r="K13" i="2"/>
  <c r="H68" i="75"/>
  <c r="L162" i="2"/>
  <c r="L113" i="2"/>
  <c r="L114" i="2"/>
  <c r="L117" i="2"/>
  <c r="L118" i="2"/>
  <c r="L119" i="2"/>
  <c r="L120" i="2"/>
  <c r="L121" i="2"/>
  <c r="L122" i="2"/>
  <c r="L123" i="2"/>
  <c r="L124" i="2"/>
  <c r="L125" i="2"/>
  <c r="L126" i="2"/>
  <c r="L127" i="2"/>
  <c r="L128" i="2"/>
  <c r="L131" i="2"/>
  <c r="L132" i="2"/>
  <c r="L133" i="2"/>
  <c r="L134" i="2"/>
  <c r="L137" i="2"/>
  <c r="L138" i="2"/>
  <c r="L145" i="2"/>
  <c r="L146" i="2"/>
  <c r="L154" i="2"/>
  <c r="L155" i="2"/>
  <c r="L156" i="2"/>
  <c r="L161" i="2"/>
  <c r="L164" i="2"/>
  <c r="L11" i="2"/>
  <c r="L24" i="2"/>
  <c r="L25" i="2"/>
  <c r="L30" i="2"/>
  <c r="L31" i="2"/>
  <c r="L42" i="2"/>
  <c r="L43" i="2"/>
  <c r="L55" i="2"/>
  <c r="L56" i="2"/>
  <c r="L85" i="2"/>
  <c r="L86" i="2"/>
  <c r="L89" i="2"/>
  <c r="L90" i="2"/>
  <c r="L91" i="2"/>
  <c r="L92" i="2"/>
  <c r="L96" i="2"/>
  <c r="L97" i="2"/>
  <c r="L98" i="2"/>
  <c r="L99" i="2"/>
  <c r="L108" i="2"/>
  <c r="L110" i="2"/>
  <c r="L9" i="2"/>
  <c r="L177" i="2"/>
  <c r="L178" i="2"/>
  <c r="L195" i="2"/>
  <c r="L196" i="2"/>
  <c r="L199" i="2"/>
  <c r="L200" i="2"/>
  <c r="L211" i="2"/>
  <c r="L213" i="2"/>
  <c r="L12" i="2"/>
  <c r="L13" i="2"/>
  <c r="H69" i="75"/>
  <c r="H27" i="75"/>
  <c r="H31" i="75"/>
  <c r="H32" i="75"/>
  <c r="H70" i="75"/>
  <c r="H71" i="75"/>
  <c r="M28" i="2"/>
  <c r="M29" i="2"/>
  <c r="M34" i="2"/>
  <c r="M35" i="2"/>
  <c r="M44" i="2"/>
  <c r="M45" i="2"/>
  <c r="M79" i="2"/>
  <c r="M80" i="2"/>
  <c r="M88" i="2"/>
  <c r="M102" i="2"/>
  <c r="M103" i="2"/>
  <c r="M108" i="2"/>
  <c r="M110" i="2"/>
  <c r="M9" i="2"/>
  <c r="M129" i="2"/>
  <c r="M130" i="2"/>
  <c r="M161" i="2"/>
  <c r="M164" i="2"/>
  <c r="M11" i="2"/>
  <c r="M211" i="2"/>
  <c r="M213" i="2"/>
  <c r="M12" i="2"/>
  <c r="M13" i="2"/>
  <c r="H72" i="75"/>
  <c r="H73" i="75"/>
  <c r="H74" i="75"/>
  <c r="H75" i="75"/>
  <c r="H80" i="75"/>
  <c r="H81" i="75"/>
  <c r="H28" i="75"/>
  <c r="H29" i="75"/>
  <c r="H82" i="75"/>
  <c r="H83" i="75"/>
  <c r="H84" i="75"/>
  <c r="H85" i="75"/>
  <c r="H86" i="75"/>
  <c r="H87" i="75"/>
  <c r="H97" i="75"/>
  <c r="H98" i="75"/>
  <c r="H99" i="75"/>
  <c r="H100" i="75"/>
  <c r="H101" i="75"/>
  <c r="H102" i="75"/>
  <c r="H103" i="75"/>
  <c r="H104" i="75"/>
  <c r="H106" i="75"/>
  <c r="H90" i="75"/>
  <c r="H91" i="75"/>
  <c r="H92" i="75"/>
  <c r="H93" i="75"/>
  <c r="H94" i="75"/>
  <c r="H129" i="75"/>
  <c r="H130" i="75"/>
  <c r="H142" i="75"/>
  <c r="H134" i="75"/>
  <c r="H138" i="75"/>
  <c r="H140" i="75"/>
  <c r="H141" i="75"/>
  <c r="H143" i="75"/>
  <c r="H146" i="75"/>
  <c r="H148" i="75"/>
  <c r="H153" i="75"/>
  <c r="H150" i="75"/>
  <c r="H152" i="75"/>
  <c r="H154" i="75"/>
  <c r="H156" i="75"/>
  <c r="H109" i="75"/>
  <c r="H111" i="75"/>
  <c r="H116" i="75"/>
  <c r="H118" i="75"/>
  <c r="H120" i="75"/>
  <c r="P12" i="44"/>
  <c r="H197" i="75"/>
  <c r="H200" i="75"/>
  <c r="P48" i="44"/>
  <c r="H202" i="75"/>
  <c r="H205" i="75"/>
  <c r="H206" i="75"/>
  <c r="H204" i="75"/>
  <c r="P20" i="44"/>
  <c r="H198" i="75"/>
  <c r="H199" i="75"/>
  <c r="H208" i="75"/>
  <c r="H212" i="75"/>
  <c r="H201" i="75"/>
  <c r="H209" i="75"/>
  <c r="H213" i="75"/>
  <c r="H210" i="75"/>
  <c r="H214" i="75"/>
  <c r="H215" i="75"/>
  <c r="H217" i="75"/>
  <c r="H161" i="75"/>
  <c r="H164" i="75"/>
  <c r="H165" i="75"/>
  <c r="H163" i="75"/>
  <c r="H166" i="75"/>
  <c r="H167" i="75"/>
  <c r="H168" i="75"/>
  <c r="H170" i="75"/>
  <c r="Q17" i="74"/>
  <c r="D66" i="77"/>
  <c r="E66" i="77"/>
  <c r="C19" i="67"/>
  <c r="C25" i="67"/>
  <c r="C31" i="67"/>
  <c r="C37" i="67"/>
  <c r="C41" i="67"/>
  <c r="D19" i="67"/>
  <c r="D25" i="67"/>
  <c r="D31" i="67"/>
  <c r="D37" i="67"/>
  <c r="D41" i="67"/>
  <c r="E19" i="67"/>
  <c r="E25" i="67"/>
  <c r="E31" i="67"/>
  <c r="E37" i="67"/>
  <c r="E41" i="67"/>
  <c r="F19" i="67"/>
  <c r="F25" i="67"/>
  <c r="F31" i="67"/>
  <c r="F37" i="67"/>
  <c r="F41" i="67"/>
  <c r="G19" i="67"/>
  <c r="G25" i="67"/>
  <c r="G31" i="67"/>
  <c r="G37" i="67"/>
  <c r="G41" i="67"/>
  <c r="H19" i="67"/>
  <c r="H25" i="67"/>
  <c r="H31" i="67"/>
  <c r="H37" i="67"/>
  <c r="H41" i="67"/>
  <c r="I19" i="67"/>
  <c r="I25" i="67"/>
  <c r="I31" i="67"/>
  <c r="I37" i="67"/>
  <c r="I41" i="67"/>
  <c r="J19" i="67"/>
  <c r="J25" i="67"/>
  <c r="J31" i="67"/>
  <c r="J37" i="67"/>
  <c r="J41" i="67"/>
  <c r="K19" i="67"/>
  <c r="K25" i="67"/>
  <c r="K31" i="67"/>
  <c r="K37" i="67"/>
  <c r="K41" i="67"/>
  <c r="L19" i="67"/>
  <c r="L25" i="67"/>
  <c r="L31" i="67"/>
  <c r="L37" i="67"/>
  <c r="L41" i="67"/>
  <c r="M19" i="67"/>
  <c r="M25" i="67"/>
  <c r="M31" i="67"/>
  <c r="M37" i="67"/>
  <c r="M41" i="67"/>
  <c r="N19" i="67"/>
  <c r="N25" i="67"/>
  <c r="N31" i="67"/>
  <c r="N37" i="67"/>
  <c r="N41" i="67"/>
  <c r="O41" i="67"/>
  <c r="H303" i="75"/>
  <c r="A56" i="77"/>
  <c r="A57" i="77"/>
  <c r="A63" i="77"/>
  <c r="A64" i="77"/>
  <c r="A70" i="77"/>
  <c r="A71" i="77"/>
  <c r="A79" i="77"/>
  <c r="A80" i="77"/>
  <c r="A81" i="77"/>
  <c r="A88" i="77"/>
  <c r="A89" i="77"/>
  <c r="A90" i="77"/>
  <c r="A91" i="77"/>
  <c r="A92" i="77"/>
  <c r="A93" i="77"/>
  <c r="A103" i="77"/>
  <c r="A104" i="77"/>
  <c r="A105" i="77"/>
  <c r="A114" i="77"/>
  <c r="A115" i="77"/>
  <c r="A116" i="77"/>
  <c r="A117" i="77"/>
  <c r="A118" i="77"/>
  <c r="A119" i="77"/>
  <c r="Q10" i="73"/>
  <c r="D34" i="73"/>
  <c r="Q17" i="73"/>
  <c r="D41" i="73"/>
  <c r="Q19" i="73"/>
  <c r="D43" i="73"/>
  <c r="Q20" i="73"/>
  <c r="D44" i="73"/>
  <c r="Q21" i="73"/>
  <c r="D45" i="73"/>
  <c r="Q22" i="73"/>
  <c r="D46" i="73"/>
  <c r="Q24" i="73"/>
  <c r="D48" i="73"/>
  <c r="Q25" i="73"/>
  <c r="D49" i="73"/>
  <c r="Q26" i="73"/>
  <c r="D50" i="73"/>
  <c r="D51" i="73"/>
  <c r="E46" i="73"/>
  <c r="E44" i="73"/>
  <c r="E45" i="73"/>
  <c r="E43" i="73"/>
  <c r="B47" i="73"/>
  <c r="B46" i="73"/>
  <c r="B45" i="73"/>
  <c r="B44" i="73"/>
  <c r="B43" i="73"/>
  <c r="C48" i="73"/>
  <c r="A48" i="73"/>
  <c r="A47" i="73"/>
  <c r="A46" i="73"/>
  <c r="A45" i="73"/>
  <c r="A44" i="73"/>
  <c r="A10" i="73"/>
  <c r="A11" i="73"/>
  <c r="A12" i="73"/>
  <c r="A13" i="73"/>
  <c r="A14" i="73"/>
  <c r="A15" i="73"/>
  <c r="A16" i="73"/>
  <c r="A17" i="73"/>
  <c r="A18" i="73"/>
  <c r="A19" i="73"/>
  <c r="A20" i="73"/>
  <c r="A21" i="73"/>
  <c r="A22" i="73"/>
  <c r="A23" i="73"/>
  <c r="A24" i="73"/>
  <c r="B34" i="73"/>
  <c r="B35" i="73"/>
  <c r="B36" i="73"/>
  <c r="B37" i="73"/>
  <c r="B38" i="73"/>
  <c r="B39" i="73"/>
  <c r="B40" i="73"/>
  <c r="B41" i="73"/>
  <c r="B42" i="73"/>
  <c r="D37" i="49"/>
  <c r="A36" i="49"/>
  <c r="G8" i="51"/>
  <c r="C8" i="51"/>
  <c r="G9" i="51"/>
  <c r="C9" i="51"/>
  <c r="C10" i="51"/>
  <c r="G54" i="51"/>
  <c r="A55" i="51"/>
  <c r="A54"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O16" i="67"/>
  <c r="A9" i="67"/>
  <c r="A10" i="67"/>
  <c r="A11" i="67"/>
  <c r="A12" i="67"/>
  <c r="A13" i="67"/>
  <c r="A14" i="67"/>
  <c r="A15" i="67"/>
  <c r="A16" i="67"/>
  <c r="A3" i="102"/>
  <c r="A1" i="102"/>
  <c r="I55" i="55"/>
  <c r="G87" i="55"/>
  <c r="J55" i="55"/>
  <c r="I87" i="55"/>
  <c r="K87" i="55"/>
  <c r="K86" i="55"/>
  <c r="K17" i="55"/>
  <c r="K18" i="55"/>
  <c r="K19" i="55"/>
  <c r="K20" i="55"/>
  <c r="K21" i="55"/>
  <c r="K22" i="55"/>
  <c r="K36" i="55"/>
  <c r="K37" i="55"/>
  <c r="K38" i="55"/>
  <c r="K39" i="55"/>
  <c r="K40" i="55"/>
  <c r="K11" i="55"/>
  <c r="K12" i="55"/>
  <c r="K13" i="55"/>
  <c r="K14" i="55"/>
  <c r="K88" i="55"/>
  <c r="I88" i="55"/>
  <c r="G88" i="55"/>
  <c r="D36" i="95"/>
  <c r="D66" i="95"/>
  <c r="C36" i="95"/>
  <c r="C66" i="95"/>
  <c r="E65" i="95"/>
  <c r="C39" i="95"/>
  <c r="E66" i="95"/>
  <c r="E67" i="95"/>
  <c r="D67" i="95"/>
  <c r="C67" i="95"/>
  <c r="H41" i="99"/>
  <c r="H70" i="99"/>
  <c r="H71" i="99"/>
  <c r="G41" i="99"/>
  <c r="G70" i="99"/>
  <c r="I70" i="99"/>
  <c r="I69" i="99"/>
  <c r="I71" i="99"/>
  <c r="G71" i="99"/>
  <c r="A10" i="104"/>
  <c r="A11" i="104"/>
  <c r="A12" i="104"/>
  <c r="A13" i="104"/>
  <c r="A14" i="104"/>
  <c r="A15" i="104"/>
  <c r="A16" i="104"/>
  <c r="A17" i="104"/>
  <c r="A18" i="104"/>
  <c r="A19" i="104"/>
  <c r="A20" i="104"/>
  <c r="A21" i="104"/>
  <c r="A22" i="104"/>
  <c r="A23" i="104"/>
  <c r="A24" i="104"/>
  <c r="A25" i="104"/>
  <c r="A26" i="104"/>
  <c r="A27" i="104"/>
  <c r="A28" i="104"/>
  <c r="A29" i="104"/>
  <c r="A30" i="104"/>
  <c r="A31" i="104"/>
  <c r="A32" i="104"/>
  <c r="A33" i="104"/>
  <c r="A36" i="104"/>
  <c r="A66" i="104"/>
  <c r="A67" i="104"/>
  <c r="H68" i="104"/>
  <c r="G22" i="104"/>
  <c r="G25" i="104"/>
  <c r="G29" i="104"/>
  <c r="G37" i="104"/>
  <c r="H37" i="104"/>
  <c r="F37" i="104"/>
  <c r="G38" i="104"/>
  <c r="H38" i="104"/>
  <c r="F38" i="104"/>
  <c r="G39" i="104"/>
  <c r="H39" i="104"/>
  <c r="F39" i="104"/>
  <c r="I37" i="104"/>
  <c r="I38" i="104"/>
  <c r="I39" i="104"/>
  <c r="G40" i="104"/>
  <c r="H40" i="104"/>
  <c r="F40" i="104"/>
  <c r="G41" i="104"/>
  <c r="H41" i="104"/>
  <c r="F41" i="104"/>
  <c r="G42" i="104"/>
  <c r="H42" i="104"/>
  <c r="F42" i="104"/>
  <c r="I40" i="104"/>
  <c r="I41" i="104"/>
  <c r="I42" i="104"/>
  <c r="G43" i="104"/>
  <c r="H43" i="104"/>
  <c r="F43" i="104"/>
  <c r="G44" i="104"/>
  <c r="H44" i="104"/>
  <c r="F44" i="104"/>
  <c r="G45" i="104"/>
  <c r="H45" i="104"/>
  <c r="F45" i="104"/>
  <c r="I43" i="104"/>
  <c r="I44" i="104"/>
  <c r="I45" i="104"/>
  <c r="G46" i="104"/>
  <c r="H46" i="104"/>
  <c r="F46" i="104"/>
  <c r="G47" i="104"/>
  <c r="H47" i="104"/>
  <c r="E47" i="104"/>
  <c r="F47" i="104"/>
  <c r="G48" i="104"/>
  <c r="H48" i="104"/>
  <c r="E48" i="104"/>
  <c r="F48" i="104"/>
  <c r="I46" i="104"/>
  <c r="I47" i="104"/>
  <c r="I48" i="104"/>
  <c r="H49" i="104"/>
  <c r="E49" i="104"/>
  <c r="F49" i="104"/>
  <c r="H50" i="104"/>
  <c r="E50" i="104"/>
  <c r="F50" i="104"/>
  <c r="H51" i="104"/>
  <c r="E51" i="104"/>
  <c r="F51" i="104"/>
  <c r="I49" i="104"/>
  <c r="I50" i="104"/>
  <c r="I51" i="104"/>
  <c r="H52" i="104"/>
  <c r="E52" i="104"/>
  <c r="F52" i="104"/>
  <c r="H53" i="104"/>
  <c r="E53" i="104"/>
  <c r="F53" i="104"/>
  <c r="H54" i="104"/>
  <c r="E54" i="104"/>
  <c r="F54" i="104"/>
  <c r="I52" i="104"/>
  <c r="I53" i="104"/>
  <c r="I54" i="104"/>
  <c r="H55" i="104"/>
  <c r="E55" i="104"/>
  <c r="F55" i="104"/>
  <c r="H56" i="104"/>
  <c r="E56" i="104"/>
  <c r="F56" i="104"/>
  <c r="H57" i="104"/>
  <c r="E57" i="104"/>
  <c r="F57" i="104"/>
  <c r="I55" i="104"/>
  <c r="I56" i="104"/>
  <c r="I57" i="104"/>
  <c r="H58" i="104"/>
  <c r="E58" i="104"/>
  <c r="F58" i="104"/>
  <c r="H59" i="104"/>
  <c r="E59" i="104"/>
  <c r="F59" i="104"/>
  <c r="H60" i="104"/>
  <c r="E60" i="104"/>
  <c r="F60" i="104"/>
  <c r="I58" i="104"/>
  <c r="I59" i="104"/>
  <c r="I60" i="104"/>
  <c r="G61" i="104"/>
  <c r="H61" i="104"/>
  <c r="E61" i="104"/>
  <c r="F61" i="104"/>
  <c r="G62" i="104"/>
  <c r="H62" i="104"/>
  <c r="E62" i="104"/>
  <c r="F62" i="104"/>
  <c r="G63" i="104"/>
  <c r="H63" i="104"/>
  <c r="E63" i="104"/>
  <c r="F63" i="104"/>
  <c r="I61" i="104"/>
  <c r="I62" i="104"/>
  <c r="I63" i="104"/>
  <c r="G64" i="104"/>
  <c r="H64" i="104"/>
  <c r="E64" i="104"/>
  <c r="F64" i="104"/>
  <c r="E65" i="104"/>
  <c r="F65" i="104"/>
  <c r="F66" i="104"/>
  <c r="F67" i="104"/>
  <c r="F68" i="104"/>
  <c r="A68" i="104"/>
  <c r="H67" i="104"/>
  <c r="H66" i="104"/>
  <c r="I64" i="104"/>
  <c r="G65" i="104"/>
  <c r="I65" i="104"/>
  <c r="A37" i="104"/>
  <c r="A38" i="104"/>
  <c r="A39" i="104"/>
  <c r="A40" i="104"/>
  <c r="A41" i="104"/>
  <c r="A42" i="104"/>
  <c r="A43" i="104"/>
  <c r="A44" i="104"/>
  <c r="A45" i="104"/>
  <c r="A46" i="104"/>
  <c r="A47" i="104"/>
  <c r="A48" i="104"/>
  <c r="A49" i="104"/>
  <c r="A50" i="104"/>
  <c r="A51" i="104"/>
  <c r="A52" i="104"/>
  <c r="A53" i="104"/>
  <c r="A54" i="104"/>
  <c r="A55" i="104"/>
  <c r="A56" i="104"/>
  <c r="A57" i="104"/>
  <c r="A58" i="104"/>
  <c r="A59" i="104"/>
  <c r="A60" i="104"/>
  <c r="A61" i="104"/>
  <c r="A62" i="104"/>
  <c r="A63" i="104"/>
  <c r="A64" i="104"/>
  <c r="A65" i="104"/>
  <c r="M64" i="104"/>
  <c r="M62" i="104"/>
  <c r="H29" i="104"/>
  <c r="A12" i="75"/>
  <c r="A13" i="75"/>
  <c r="A15" i="75"/>
  <c r="A16" i="75"/>
  <c r="A17" i="75"/>
  <c r="A19" i="75"/>
  <c r="A20" i="75"/>
  <c r="A21" i="75"/>
  <c r="A23" i="75"/>
  <c r="A24" i="75"/>
  <c r="A27" i="75"/>
  <c r="A28" i="75"/>
  <c r="A29" i="75"/>
  <c r="A31" i="75"/>
  <c r="A32" i="75"/>
  <c r="A34" i="75"/>
  <c r="A35" i="75"/>
  <c r="A40" i="75"/>
  <c r="A41" i="75"/>
  <c r="A42" i="75"/>
  <c r="A44" i="75"/>
  <c r="A45" i="75"/>
  <c r="A46" i="75"/>
  <c r="A47" i="75"/>
  <c r="A48" i="75"/>
  <c r="A50" i="75"/>
  <c r="A53" i="75"/>
  <c r="A55" i="75"/>
  <c r="A56" i="75"/>
  <c r="A57" i="75"/>
  <c r="A58" i="75"/>
  <c r="A59" i="75"/>
  <c r="A61" i="75"/>
  <c r="A63" i="75"/>
  <c r="A68" i="75"/>
  <c r="A69" i="75"/>
  <c r="A70" i="75"/>
  <c r="A71" i="75"/>
  <c r="A72" i="75"/>
  <c r="A73" i="75"/>
  <c r="A74" i="75"/>
  <c r="A75" i="75"/>
  <c r="A77" i="75"/>
  <c r="A80" i="75"/>
  <c r="A81" i="75"/>
  <c r="A82" i="75"/>
  <c r="A83" i="75"/>
  <c r="A84" i="75"/>
  <c r="A85" i="75"/>
  <c r="A86" i="75"/>
  <c r="A87" i="75"/>
  <c r="A90" i="75"/>
  <c r="A91" i="75"/>
  <c r="A92" i="75"/>
  <c r="A93" i="75"/>
  <c r="A94" i="75"/>
  <c r="A97" i="75"/>
  <c r="A98" i="75"/>
  <c r="A99" i="75"/>
  <c r="A100" i="75"/>
  <c r="A101" i="75"/>
  <c r="A102" i="75"/>
  <c r="A103" i="75"/>
  <c r="A104" i="75"/>
  <c r="A106" i="75"/>
  <c r="A109" i="75"/>
  <c r="A110" i="75"/>
  <c r="A111" i="75"/>
  <c r="A114" i="75"/>
  <c r="A115" i="75"/>
  <c r="A116" i="75"/>
  <c r="A118" i="75"/>
  <c r="A120" i="75"/>
  <c r="A125" i="75"/>
  <c r="A126" i="75"/>
  <c r="A127" i="75"/>
  <c r="A128" i="75"/>
  <c r="A129" i="75"/>
  <c r="A130" i="75"/>
  <c r="A133" i="75"/>
  <c r="A134" i="75"/>
  <c r="A135" i="75"/>
  <c r="A136" i="75"/>
  <c r="A137" i="75"/>
  <c r="A138" i="75"/>
  <c r="A139" i="75"/>
  <c r="A140" i="75"/>
  <c r="A141" i="75"/>
  <c r="A142" i="75"/>
  <c r="A143" i="75"/>
  <c r="A146" i="75"/>
  <c r="A147" i="75"/>
  <c r="A148" i="75"/>
  <c r="A149" i="75"/>
  <c r="A150" i="75"/>
  <c r="A151" i="75"/>
  <c r="A152" i="75"/>
  <c r="A153" i="75"/>
  <c r="A154" i="75"/>
  <c r="A155" i="75"/>
  <c r="A156" i="75"/>
  <c r="A161" i="75"/>
  <c r="A162" i="75"/>
  <c r="A163" i="75"/>
  <c r="A164" i="75"/>
  <c r="A165" i="75"/>
  <c r="A166" i="75"/>
  <c r="A167" i="75"/>
  <c r="A168" i="75"/>
  <c r="A169" i="75"/>
  <c r="A170" i="75"/>
  <c r="A174" i="75"/>
  <c r="A175" i="75"/>
  <c r="A176" i="75"/>
  <c r="A177" i="75"/>
  <c r="A178" i="75"/>
  <c r="A179" i="75"/>
  <c r="A180" i="75"/>
  <c r="A181" i="75"/>
  <c r="A182" i="75"/>
  <c r="A183" i="75"/>
  <c r="A184" i="75"/>
  <c r="A185" i="75"/>
  <c r="A189" i="75"/>
  <c r="A190" i="75"/>
  <c r="A191" i="75"/>
  <c r="A192" i="75"/>
  <c r="A193" i="75"/>
  <c r="A197" i="75"/>
  <c r="A198" i="75"/>
  <c r="A199" i="75"/>
  <c r="A200" i="75"/>
  <c r="A201" i="75"/>
  <c r="A202" i="75"/>
  <c r="A204" i="75"/>
  <c r="A205" i="75"/>
  <c r="A206" i="75"/>
  <c r="A208" i="75"/>
  <c r="A209" i="75"/>
  <c r="A210" i="75"/>
  <c r="A212" i="75"/>
  <c r="A213" i="75"/>
  <c r="A214" i="75"/>
  <c r="A215" i="75"/>
  <c r="A217" i="75"/>
  <c r="A222" i="75"/>
  <c r="A223" i="75"/>
  <c r="A224" i="75"/>
  <c r="A225" i="75"/>
  <c r="A226" i="75"/>
  <c r="A229" i="75"/>
  <c r="H225" i="75"/>
  <c r="I84" i="77"/>
  <c r="I83" i="77"/>
  <c r="A82" i="77"/>
  <c r="A83" i="77"/>
  <c r="A84" i="77"/>
  <c r="A85" i="77"/>
  <c r="A157" i="2"/>
  <c r="A8" i="102"/>
  <c r="A9" i="102"/>
  <c r="A10" i="102"/>
  <c r="A11" i="102"/>
  <c r="A12" i="102"/>
  <c r="A13" i="102"/>
  <c r="A14" i="102"/>
  <c r="A15" i="102"/>
  <c r="A16" i="102"/>
  <c r="A17" i="102"/>
  <c r="A18" i="102"/>
  <c r="A19" i="102"/>
  <c r="A20" i="102"/>
  <c r="A21" i="102"/>
  <c r="A22" i="102"/>
  <c r="A23" i="102"/>
  <c r="A24" i="102"/>
  <c r="E55" i="75"/>
  <c r="A9" i="101"/>
  <c r="A10" i="101"/>
  <c r="A11" i="101"/>
  <c r="A12" i="101"/>
  <c r="A13" i="101"/>
  <c r="A14" i="101"/>
  <c r="A15" i="101"/>
  <c r="A16" i="101"/>
  <c r="A17" i="101"/>
  <c r="A18" i="101"/>
  <c r="A19" i="101"/>
  <c r="A20" i="101"/>
  <c r="A21" i="101"/>
  <c r="A22" i="101"/>
  <c r="A23" i="101"/>
  <c r="A24" i="101"/>
  <c r="A25" i="101"/>
  <c r="A8" i="101"/>
  <c r="A26" i="101"/>
  <c r="A27" i="101"/>
  <c r="A28" i="101"/>
  <c r="A29" i="101"/>
  <c r="A3" i="101"/>
  <c r="A1" i="101"/>
  <c r="C9" i="100"/>
  <c r="D7" i="100"/>
  <c r="D8" i="100"/>
  <c r="D9" i="100"/>
  <c r="A3" i="100"/>
  <c r="A1" i="100"/>
  <c r="A122" i="77"/>
  <c r="A123" i="77"/>
  <c r="A124" i="77"/>
  <c r="A125" i="77"/>
  <c r="A131" i="77"/>
  <c r="A132" i="77"/>
  <c r="A133" i="77"/>
  <c r="A157" i="77"/>
  <c r="A111" i="77"/>
  <c r="A94" i="77"/>
  <c r="A95" i="77"/>
  <c r="A100" i="77"/>
  <c r="A8" i="77"/>
  <c r="A9" i="77"/>
  <c r="A10" i="77"/>
  <c r="A19" i="77"/>
  <c r="A20" i="77"/>
  <c r="A21" i="77"/>
  <c r="A30" i="77"/>
  <c r="A31" i="77"/>
  <c r="A32" i="77"/>
  <c r="A38" i="77"/>
  <c r="I23" i="77"/>
  <c r="A27" i="77"/>
  <c r="A36" i="95"/>
  <c r="A37" i="95"/>
  <c r="A38" i="95"/>
  <c r="A39" i="95"/>
  <c r="A40" i="95"/>
  <c r="A41" i="95"/>
  <c r="A42" i="95"/>
  <c r="I14" i="77"/>
  <c r="A16" i="77"/>
  <c r="A62" i="99"/>
  <c r="A63" i="99"/>
  <c r="I41" i="99"/>
  <c r="A9" i="99"/>
  <c r="A10" i="99"/>
  <c r="A11" i="99"/>
  <c r="A12" i="99"/>
  <c r="A13" i="99"/>
  <c r="A14" i="99"/>
  <c r="A15" i="99"/>
  <c r="A16" i="99"/>
  <c r="A17" i="99"/>
  <c r="A18" i="99"/>
  <c r="A19" i="99"/>
  <c r="A20" i="99"/>
  <c r="A21" i="99"/>
  <c r="A22" i="99"/>
  <c r="A23" i="99"/>
  <c r="A24" i="99"/>
  <c r="A25" i="99"/>
  <c r="A26" i="99"/>
  <c r="A27" i="99"/>
  <c r="A28" i="99"/>
  <c r="A29" i="99"/>
  <c r="A30" i="99"/>
  <c r="A31" i="99"/>
  <c r="A32" i="99"/>
  <c r="A33" i="99"/>
  <c r="A34" i="99"/>
  <c r="A35" i="99"/>
  <c r="A36" i="99"/>
  <c r="A37" i="99"/>
  <c r="A38" i="99"/>
  <c r="A39" i="99"/>
  <c r="A40" i="99"/>
  <c r="A3" i="99"/>
  <c r="C61" i="51"/>
  <c r="G55" i="51"/>
  <c r="G56" i="51"/>
  <c r="D56" i="51"/>
  <c r="G57" i="51"/>
  <c r="E57" i="51"/>
  <c r="G15" i="51"/>
  <c r="G16" i="51"/>
  <c r="G17" i="51"/>
  <c r="G18" i="51"/>
  <c r="G19" i="51"/>
  <c r="G20" i="51"/>
  <c r="G21" i="51"/>
  <c r="G22" i="51"/>
  <c r="G23" i="51"/>
  <c r="G27" i="51"/>
  <c r="G28" i="51"/>
  <c r="G32" i="51"/>
  <c r="G33" i="51"/>
  <c r="G34" i="51"/>
  <c r="G36" i="51"/>
  <c r="G41" i="51"/>
  <c r="G42" i="51"/>
  <c r="G43" i="51"/>
  <c r="G45" i="51"/>
  <c r="G46" i="51"/>
  <c r="G47" i="51"/>
  <c r="G49" i="51"/>
  <c r="G50" i="51"/>
  <c r="G61" i="51"/>
  <c r="A53" i="51"/>
  <c r="A56" i="51"/>
  <c r="A57" i="51"/>
  <c r="A58" i="51"/>
  <c r="A10" i="51"/>
  <c r="A11" i="51"/>
  <c r="A12" i="51"/>
  <c r="A3" i="98"/>
  <c r="A1" i="98"/>
  <c r="D25" i="98"/>
  <c r="C25" i="98"/>
  <c r="A7" i="98"/>
  <c r="A8" i="98"/>
  <c r="A9" i="98"/>
  <c r="A10" i="98"/>
  <c r="A11" i="98"/>
  <c r="A12" i="98"/>
  <c r="A13" i="98"/>
  <c r="A14" i="98"/>
  <c r="A15" i="98"/>
  <c r="A16" i="98"/>
  <c r="A17" i="98"/>
  <c r="A18" i="98"/>
  <c r="A19" i="98"/>
  <c r="A20" i="98"/>
  <c r="A21" i="98"/>
  <c r="A22" i="98"/>
  <c r="A23" i="98"/>
  <c r="A24" i="98"/>
  <c r="A25" i="98"/>
  <c r="D18" i="98"/>
  <c r="C18" i="98"/>
  <c r="C11" i="98"/>
  <c r="A8" i="2"/>
  <c r="A9" i="2"/>
  <c r="A10" i="2"/>
  <c r="A11" i="2"/>
  <c r="A12" i="2"/>
  <c r="A13" i="2"/>
  <c r="A14" i="2"/>
  <c r="A15" i="2"/>
  <c r="A16" i="2"/>
  <c r="A17" i="2"/>
  <c r="A107" i="2"/>
  <c r="A108" i="2"/>
  <c r="A109" i="2"/>
  <c r="A110" i="2"/>
  <c r="A111" i="2"/>
  <c r="A112" i="2"/>
  <c r="A160" i="2"/>
  <c r="A161" i="2"/>
  <c r="A162" i="2"/>
  <c r="A163" i="2"/>
  <c r="A164" i="2"/>
  <c r="A165" i="2"/>
  <c r="A166" i="2"/>
  <c r="A208" i="2"/>
  <c r="A207"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J205" i="2"/>
  <c r="J206" i="2"/>
  <c r="F205" i="2"/>
  <c r="F206"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J101" i="2"/>
  <c r="J100" i="2"/>
  <c r="F101" i="2"/>
  <c r="F100"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 i="97"/>
  <c r="E54" i="78"/>
  <c r="E53" i="78"/>
  <c r="E52" i="78"/>
  <c r="E51" i="78"/>
  <c r="E50" i="78"/>
  <c r="E49" i="78"/>
  <c r="E48" i="78"/>
  <c r="E47" i="78"/>
  <c r="E46" i="78"/>
  <c r="E45" i="78"/>
  <c r="E44" i="78"/>
  <c r="E43" i="78"/>
  <c r="E42" i="78"/>
  <c r="E41" i="78"/>
  <c r="E40" i="78"/>
  <c r="E39" i="78"/>
  <c r="E38" i="78"/>
  <c r="E37" i="78"/>
  <c r="I141" i="77"/>
  <c r="A210" i="2"/>
  <c r="A211" i="2"/>
  <c r="A212" i="2"/>
  <c r="A213" i="2"/>
  <c r="A214" i="2"/>
  <c r="A215" i="2"/>
  <c r="A216" i="2"/>
  <c r="A217" i="2"/>
  <c r="A218" i="2"/>
  <c r="A219" i="2"/>
  <c r="A220" i="2"/>
  <c r="A221" i="2"/>
  <c r="A222" i="2"/>
  <c r="N164" i="2"/>
  <c r="M163" i="2"/>
  <c r="L163" i="2"/>
  <c r="K163" i="2"/>
  <c r="J147" i="2"/>
  <c r="J148" i="2"/>
  <c r="J149" i="2"/>
  <c r="J150" i="2"/>
  <c r="J151" i="2"/>
  <c r="J152" i="2"/>
  <c r="J153" i="2"/>
  <c r="J115" i="2"/>
  <c r="J116" i="2"/>
  <c r="J135" i="2"/>
  <c r="J136" i="2"/>
  <c r="J139" i="2"/>
  <c r="J140" i="2"/>
  <c r="J141" i="2"/>
  <c r="J142" i="2"/>
  <c r="J161" i="2"/>
  <c r="J163" i="2"/>
  <c r="J164" i="2"/>
  <c r="I163" i="2"/>
  <c r="H163" i="2"/>
  <c r="G163" i="2"/>
  <c r="F115" i="2"/>
  <c r="F116" i="2"/>
  <c r="F135" i="2"/>
  <c r="F136" i="2"/>
  <c r="F139" i="2"/>
  <c r="F140" i="2"/>
  <c r="F141" i="2"/>
  <c r="F142" i="2"/>
  <c r="F147" i="2"/>
  <c r="F148" i="2"/>
  <c r="F149" i="2"/>
  <c r="F150" i="2"/>
  <c r="F151" i="2"/>
  <c r="F152" i="2"/>
  <c r="F153" i="2"/>
  <c r="F161" i="2"/>
  <c r="F163" i="2"/>
  <c r="F164" i="2"/>
  <c r="E161" i="2"/>
  <c r="E163" i="2"/>
  <c r="E164" i="2"/>
  <c r="D161" i="2"/>
  <c r="D163" i="2"/>
  <c r="D164" i="2"/>
  <c r="B50" i="66"/>
  <c r="A8" i="66"/>
  <c r="A23" i="66"/>
  <c r="A24" i="66"/>
  <c r="A36" i="66"/>
  <c r="A37" i="66"/>
  <c r="A38" i="66"/>
  <c r="A39" i="66"/>
  <c r="A40" i="66"/>
  <c r="A41" i="66"/>
  <c r="A42" i="66"/>
  <c r="A43" i="66"/>
  <c r="A44" i="66"/>
  <c r="A45" i="66"/>
  <c r="A46" i="66"/>
  <c r="A47" i="66"/>
  <c r="A48" i="66"/>
  <c r="A49" i="66"/>
  <c r="A50" i="66"/>
  <c r="B35" i="66"/>
  <c r="A25" i="66"/>
  <c r="A26" i="66"/>
  <c r="A27" i="66"/>
  <c r="A28" i="66"/>
  <c r="A29" i="66"/>
  <c r="A30" i="66"/>
  <c r="A31" i="66"/>
  <c r="A32" i="66"/>
  <c r="A34" i="66"/>
  <c r="A35" i="66"/>
  <c r="A33" i="66"/>
  <c r="A9" i="66"/>
  <c r="A10" i="66"/>
  <c r="A11" i="66"/>
  <c r="A12" i="66"/>
  <c r="A13" i="66"/>
  <c r="A14" i="66"/>
  <c r="A15" i="66"/>
  <c r="A16" i="66"/>
  <c r="A17" i="66"/>
  <c r="A18" i="66"/>
  <c r="A19" i="66"/>
  <c r="A20" i="66"/>
  <c r="A21" i="66"/>
  <c r="A3" i="66"/>
  <c r="A1" i="66"/>
  <c r="B22" i="66"/>
  <c r="A22" i="66"/>
  <c r="A3" i="96"/>
  <c r="A1" i="96"/>
  <c r="J204" i="2"/>
  <c r="F204" i="2"/>
  <c r="J203" i="2"/>
  <c r="F203" i="2"/>
  <c r="J202" i="2"/>
  <c r="F202" i="2"/>
  <c r="J201" i="2"/>
  <c r="F201" i="2"/>
  <c r="F94" i="2"/>
  <c r="J94" i="2"/>
  <c r="F95" i="2"/>
  <c r="J95" i="2"/>
  <c r="A1" i="67"/>
  <c r="A3" i="67"/>
  <c r="A8" i="67"/>
  <c r="A19" i="67"/>
  <c r="A20" i="67"/>
  <c r="A21" i="67"/>
  <c r="A25" i="67"/>
  <c r="A26" i="67"/>
  <c r="A27" i="67"/>
  <c r="A31" i="67"/>
  <c r="A32" i="67"/>
  <c r="A33" i="67"/>
  <c r="A34" i="67"/>
  <c r="A35" i="67"/>
  <c r="A36" i="67"/>
  <c r="A37" i="67"/>
  <c r="A38" i="67"/>
  <c r="A39" i="67"/>
  <c r="B52" i="67"/>
  <c r="B49" i="67"/>
  <c r="B48" i="67"/>
  <c r="B47" i="67"/>
  <c r="B45" i="67"/>
  <c r="B41" i="67"/>
  <c r="A40" i="67"/>
  <c r="A41" i="67"/>
  <c r="O39" i="67"/>
  <c r="B38" i="67"/>
  <c r="O37" i="67"/>
  <c r="B37" i="67"/>
  <c r="O34" i="67"/>
  <c r="O28" i="67"/>
  <c r="O29" i="67"/>
  <c r="O30" i="67"/>
  <c r="O31" i="67"/>
  <c r="B31" i="67"/>
  <c r="A28" i="67"/>
  <c r="O22" i="67"/>
  <c r="O23" i="67"/>
  <c r="O24" i="67"/>
  <c r="O25" i="67"/>
  <c r="B25" i="67"/>
  <c r="A22" i="67"/>
  <c r="B21" i="67"/>
  <c r="O15" i="67"/>
  <c r="O17" i="67"/>
  <c r="O18" i="67"/>
  <c r="O19" i="67"/>
  <c r="B19" i="67"/>
  <c r="I42" i="62"/>
  <c r="J42" i="62"/>
  <c r="L10" i="88"/>
  <c r="D170" i="88"/>
  <c r="I170" i="88"/>
  <c r="D235" i="88"/>
  <c r="D134" i="88"/>
  <c r="M134" i="88"/>
  <c r="D127" i="88"/>
  <c r="M127" i="88"/>
  <c r="K73" i="55"/>
  <c r="K58" i="55"/>
  <c r="K59" i="55"/>
  <c r="K60" i="55"/>
  <c r="K62" i="55"/>
  <c r="J74" i="55"/>
  <c r="J72" i="55"/>
  <c r="J70" i="55"/>
  <c r="J59" i="55"/>
  <c r="J58" i="55"/>
  <c r="J60" i="55"/>
  <c r="E28" i="95"/>
  <c r="E24" i="95"/>
  <c r="E22" i="95"/>
  <c r="E23" i="95"/>
  <c r="E25" i="95"/>
  <c r="E52" i="95"/>
  <c r="E25" i="56"/>
  <c r="D25" i="56"/>
  <c r="E24" i="56"/>
  <c r="D24" i="56"/>
  <c r="E23" i="56"/>
  <c r="D23" i="56"/>
  <c r="E22" i="56"/>
  <c r="E20" i="56"/>
  <c r="E21" i="56"/>
  <c r="E47" i="56"/>
  <c r="D22" i="56"/>
  <c r="D21" i="56"/>
  <c r="D20" i="56"/>
  <c r="E19" i="56"/>
  <c r="D19" i="56"/>
  <c r="E18" i="56"/>
  <c r="D18" i="56"/>
  <c r="F18" i="56"/>
  <c r="E17" i="56"/>
  <c r="D17" i="56"/>
  <c r="E16" i="56"/>
  <c r="D16" i="56"/>
  <c r="E15" i="56"/>
  <c r="D15" i="56"/>
  <c r="E14" i="56"/>
  <c r="D14" i="56"/>
  <c r="F14" i="56"/>
  <c r="E13" i="56"/>
  <c r="D13" i="56"/>
  <c r="E12" i="56"/>
  <c r="D12" i="56"/>
  <c r="E11" i="56"/>
  <c r="D11" i="56"/>
  <c r="E10" i="56"/>
  <c r="D10" i="56"/>
  <c r="F9" i="56"/>
  <c r="I72" i="55"/>
  <c r="I58" i="55"/>
  <c r="I59" i="55"/>
  <c r="I60" i="55"/>
  <c r="I65" i="55"/>
  <c r="F54" i="55"/>
  <c r="C54" i="55"/>
  <c r="D54" i="55"/>
  <c r="E54" i="55"/>
  <c r="G54" i="55"/>
  <c r="H54" i="55"/>
  <c r="F53" i="55"/>
  <c r="F52" i="55"/>
  <c r="F51" i="55"/>
  <c r="F50" i="55"/>
  <c r="F49" i="55"/>
  <c r="F48" i="55"/>
  <c r="F47" i="55"/>
  <c r="F46" i="55"/>
  <c r="C46" i="55"/>
  <c r="D46" i="55"/>
  <c r="E46" i="55"/>
  <c r="G46" i="55"/>
  <c r="H46" i="55"/>
  <c r="F45" i="55"/>
  <c r="F44" i="55"/>
  <c r="F43" i="55"/>
  <c r="F42" i="55"/>
  <c r="F41" i="55"/>
  <c r="F40" i="55"/>
  <c r="F39" i="55"/>
  <c r="F38" i="55"/>
  <c r="C38" i="55"/>
  <c r="D38" i="55"/>
  <c r="E38" i="55"/>
  <c r="G38" i="55"/>
  <c r="F37" i="55"/>
  <c r="F36" i="55"/>
  <c r="F35" i="55"/>
  <c r="F34" i="55"/>
  <c r="F33" i="55"/>
  <c r="F32" i="55"/>
  <c r="F31" i="55"/>
  <c r="F30" i="55"/>
  <c r="C30" i="55"/>
  <c r="D30" i="55"/>
  <c r="E30" i="55"/>
  <c r="G30" i="55"/>
  <c r="H30" i="55"/>
  <c r="F29" i="55"/>
  <c r="F28" i="55"/>
  <c r="F27" i="55"/>
  <c r="F26" i="55"/>
  <c r="F25" i="55"/>
  <c r="F24" i="55"/>
  <c r="F23" i="55"/>
  <c r="F22" i="55"/>
  <c r="C22" i="55"/>
  <c r="D22" i="55"/>
  <c r="E22" i="55"/>
  <c r="G22" i="55"/>
  <c r="H22" i="55"/>
  <c r="F21" i="55"/>
  <c r="F20" i="55"/>
  <c r="F19" i="55"/>
  <c r="F18" i="55"/>
  <c r="F17" i="55"/>
  <c r="F16" i="55"/>
  <c r="F15" i="55"/>
  <c r="F14" i="55"/>
  <c r="F11" i="55"/>
  <c r="F12" i="55"/>
  <c r="F13" i="55"/>
  <c r="F65" i="55"/>
  <c r="D53" i="55"/>
  <c r="C53" i="55"/>
  <c r="D52" i="55"/>
  <c r="C52" i="55"/>
  <c r="E52" i="55"/>
  <c r="G52" i="55"/>
  <c r="H52" i="55"/>
  <c r="D51" i="55"/>
  <c r="C51" i="55"/>
  <c r="D50" i="55"/>
  <c r="C50" i="55"/>
  <c r="D49" i="55"/>
  <c r="C49" i="55"/>
  <c r="D48" i="55"/>
  <c r="C48" i="55"/>
  <c r="E48" i="55"/>
  <c r="G48" i="55"/>
  <c r="H48" i="55"/>
  <c r="D47" i="55"/>
  <c r="C47" i="55"/>
  <c r="D45" i="55"/>
  <c r="C45" i="55"/>
  <c r="D44" i="55"/>
  <c r="D41" i="55"/>
  <c r="D42" i="55"/>
  <c r="D43" i="55"/>
  <c r="D74" i="55"/>
  <c r="C44" i="55"/>
  <c r="C43" i="55"/>
  <c r="C42" i="55"/>
  <c r="C41" i="55"/>
  <c r="D40" i="55"/>
  <c r="C40" i="55"/>
  <c r="E40" i="55"/>
  <c r="G40" i="55"/>
  <c r="D39" i="55"/>
  <c r="C39" i="55"/>
  <c r="D37" i="55"/>
  <c r="C37" i="55"/>
  <c r="D36" i="55"/>
  <c r="D70" i="55"/>
  <c r="C36" i="55"/>
  <c r="D35" i="55"/>
  <c r="C35" i="55"/>
  <c r="D34" i="55"/>
  <c r="C34" i="55"/>
  <c r="D33" i="55"/>
  <c r="C33" i="55"/>
  <c r="D32" i="55"/>
  <c r="C32" i="55"/>
  <c r="E32" i="55"/>
  <c r="G32" i="55"/>
  <c r="H32" i="55"/>
  <c r="D31" i="55"/>
  <c r="C31" i="55"/>
  <c r="D29" i="55"/>
  <c r="C29" i="55"/>
  <c r="D28" i="55"/>
  <c r="D59" i="55"/>
  <c r="C28" i="55"/>
  <c r="D27" i="55"/>
  <c r="C27" i="55"/>
  <c r="D26" i="55"/>
  <c r="C26" i="55"/>
  <c r="D25" i="55"/>
  <c r="C25" i="55"/>
  <c r="D24" i="55"/>
  <c r="D23" i="55"/>
  <c r="D61" i="55"/>
  <c r="C24" i="55"/>
  <c r="C23" i="55"/>
  <c r="D21" i="55"/>
  <c r="C21" i="55"/>
  <c r="D20" i="55"/>
  <c r="C20" i="55"/>
  <c r="E20" i="55"/>
  <c r="D19" i="55"/>
  <c r="C19" i="55"/>
  <c r="D18" i="55"/>
  <c r="C18" i="55"/>
  <c r="D17" i="55"/>
  <c r="C17" i="55"/>
  <c r="D16" i="55"/>
  <c r="C16" i="55"/>
  <c r="E16" i="55"/>
  <c r="D15" i="55"/>
  <c r="C15" i="55"/>
  <c r="D14" i="55"/>
  <c r="C14" i="55"/>
  <c r="D13" i="55"/>
  <c r="C13" i="55"/>
  <c r="D12" i="55"/>
  <c r="C12" i="55"/>
  <c r="E12" i="55"/>
  <c r="D11" i="55"/>
  <c r="C11" i="55"/>
  <c r="E45" i="56"/>
  <c r="F70" i="55"/>
  <c r="F59" i="55"/>
  <c r="Q24" i="74"/>
  <c r="Q23" i="74"/>
  <c r="Q22" i="74"/>
  <c r="Q20" i="74"/>
  <c r="D74" i="77"/>
  <c r="E74" i="77"/>
  <c r="Q19" i="74"/>
  <c r="D73" i="77"/>
  <c r="E73" i="77"/>
  <c r="Q18" i="74"/>
  <c r="D72" i="77"/>
  <c r="E72" i="77"/>
  <c r="E70" i="77"/>
  <c r="N25" i="74"/>
  <c r="Q13" i="74"/>
  <c r="D52" i="77"/>
  <c r="E52" i="77"/>
  <c r="P25" i="74"/>
  <c r="Q12" i="74"/>
  <c r="D51" i="77"/>
  <c r="M25" i="74"/>
  <c r="Q11" i="74"/>
  <c r="D50" i="77"/>
  <c r="E50" i="77"/>
  <c r="J25" i="74"/>
  <c r="O25" i="74"/>
  <c r="Q9" i="74"/>
  <c r="D48" i="77"/>
  <c r="E48" i="77"/>
  <c r="L25" i="74"/>
  <c r="E16" i="86"/>
  <c r="J48" i="44"/>
  <c r="L48" i="44"/>
  <c r="I48" i="44"/>
  <c r="H12" i="44"/>
  <c r="H20" i="44"/>
  <c r="E12" i="44"/>
  <c r="E20" i="44"/>
  <c r="N12" i="44"/>
  <c r="J12" i="44"/>
  <c r="J20" i="44"/>
  <c r="O12" i="44"/>
  <c r="O20" i="44"/>
  <c r="K12" i="44"/>
  <c r="G12" i="44"/>
  <c r="G20" i="44"/>
  <c r="E53" i="56"/>
  <c r="E46" i="56"/>
  <c r="D66" i="55"/>
  <c r="D72" i="55"/>
  <c r="J67" i="55"/>
  <c r="D67" i="55"/>
  <c r="F66" i="55"/>
  <c r="F73" i="55"/>
  <c r="I66" i="55"/>
  <c r="I67" i="55"/>
  <c r="I70" i="55"/>
  <c r="F67" i="55"/>
  <c r="J66" i="55"/>
  <c r="J69" i="55"/>
  <c r="I73" i="55"/>
  <c r="J73" i="55"/>
  <c r="D68" i="55"/>
  <c r="D17" i="49"/>
  <c r="E58" i="93"/>
  <c r="D58" i="93"/>
  <c r="E44" i="93"/>
  <c r="E43" i="93"/>
  <c r="D43" i="93"/>
  <c r="D44" i="93"/>
  <c r="D46" i="93"/>
  <c r="E41" i="73"/>
  <c r="P27" i="73"/>
  <c r="H27" i="73"/>
  <c r="M27" i="73"/>
  <c r="O27" i="73"/>
  <c r="L27" i="73"/>
  <c r="I27" i="73"/>
  <c r="N27" i="73"/>
  <c r="F27" i="73"/>
  <c r="F194" i="2"/>
  <c r="F190" i="2"/>
  <c r="F174" i="2"/>
  <c r="F93" i="2"/>
  <c r="F81" i="2"/>
  <c r="F77" i="2"/>
  <c r="F76" i="2"/>
  <c r="F73" i="2"/>
  <c r="F72" i="2"/>
  <c r="F69" i="2"/>
  <c r="F68" i="2"/>
  <c r="F65" i="2"/>
  <c r="F64" i="2"/>
  <c r="F61" i="2"/>
  <c r="F60" i="2"/>
  <c r="F57" i="2"/>
  <c r="F53" i="2"/>
  <c r="F52" i="2"/>
  <c r="F49" i="2"/>
  <c r="F48" i="2"/>
  <c r="F41" i="2"/>
  <c r="F37" i="2"/>
  <c r="F33" i="2"/>
  <c r="D79" i="88"/>
  <c r="D70" i="88"/>
  <c r="D88" i="88"/>
  <c r="F36" i="62"/>
  <c r="F34" i="62"/>
  <c r="D35" i="49"/>
  <c r="J166" i="2"/>
  <c r="F166" i="2"/>
  <c r="J112" i="2"/>
  <c r="F112" i="2"/>
  <c r="J17" i="2"/>
  <c r="F17" i="2"/>
  <c r="I65" i="77"/>
  <c r="I66" i="77"/>
  <c r="E11" i="55"/>
  <c r="E13" i="55"/>
  <c r="E14" i="55"/>
  <c r="E15" i="55"/>
  <c r="E17" i="55"/>
  <c r="E18" i="55"/>
  <c r="E19" i="55"/>
  <c r="E21" i="55"/>
  <c r="G21" i="55"/>
  <c r="E23" i="55"/>
  <c r="E25" i="55"/>
  <c r="E26" i="55"/>
  <c r="E27" i="55"/>
  <c r="E29" i="55"/>
  <c r="G29" i="55"/>
  <c r="H29" i="55"/>
  <c r="E31" i="55"/>
  <c r="G31" i="55"/>
  <c r="H31" i="55"/>
  <c r="E33" i="55"/>
  <c r="E34" i="55"/>
  <c r="E35" i="55"/>
  <c r="E37" i="55"/>
  <c r="G37" i="55"/>
  <c r="H37" i="55"/>
  <c r="E39" i="55"/>
  <c r="G39" i="55"/>
  <c r="H39" i="55"/>
  <c r="E41" i="55"/>
  <c r="E42" i="55"/>
  <c r="E43" i="55"/>
  <c r="E45" i="55"/>
  <c r="E47" i="55"/>
  <c r="G47" i="55"/>
  <c r="H47" i="55"/>
  <c r="E49" i="55"/>
  <c r="E50" i="55"/>
  <c r="E51" i="55"/>
  <c r="Q9" i="91"/>
  <c r="E8" i="93"/>
  <c r="E9" i="93"/>
  <c r="E10" i="93"/>
  <c r="E11" i="93"/>
  <c r="E12" i="93"/>
  <c r="E13" i="93"/>
  <c r="E14" i="93"/>
  <c r="E15" i="93"/>
  <c r="E17" i="93"/>
  <c r="E18" i="93"/>
  <c r="E19" i="93"/>
  <c r="E20" i="93"/>
  <c r="E21" i="93"/>
  <c r="E22" i="93"/>
  <c r="E23" i="93"/>
  <c r="E24" i="93"/>
  <c r="C40" i="95"/>
  <c r="E25" i="93"/>
  <c r="E26" i="93"/>
  <c r="E27" i="93"/>
  <c r="E28" i="93"/>
  <c r="E29" i="93"/>
  <c r="E30" i="93"/>
  <c r="E31" i="93"/>
  <c r="E32" i="93"/>
  <c r="E33" i="93"/>
  <c r="E34" i="93"/>
  <c r="E35" i="93"/>
  <c r="C55" i="95"/>
  <c r="C47" i="95"/>
  <c r="C48" i="95"/>
  <c r="G22" i="78"/>
  <c r="F28" i="56"/>
  <c r="F59" i="56"/>
  <c r="D59" i="56"/>
  <c r="D58" i="56"/>
  <c r="A7" i="74"/>
  <c r="A8" i="74"/>
  <c r="A9" i="74"/>
  <c r="A10" i="74"/>
  <c r="E53" i="55"/>
  <c r="G53" i="55"/>
  <c r="H53"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G15" i="86"/>
  <c r="G14" i="86"/>
  <c r="G13" i="86"/>
  <c r="A8" i="73"/>
  <c r="A27" i="73"/>
  <c r="A29" i="73"/>
  <c r="A30" i="73"/>
  <c r="A31" i="73"/>
  <c r="A32" i="73"/>
  <c r="A33" i="73"/>
  <c r="A34" i="73"/>
  <c r="A35" i="73"/>
  <c r="A36" i="73"/>
  <c r="A37" i="73"/>
  <c r="A9" i="73"/>
  <c r="C49" i="73"/>
  <c r="C50" i="73"/>
  <c r="A106" i="2"/>
  <c r="A10" i="78"/>
  <c r="A11" i="78"/>
  <c r="A12" i="78"/>
  <c r="A13" i="78"/>
  <c r="A14" i="78"/>
  <c r="A15" i="78"/>
  <c r="A16" i="78"/>
  <c r="A17" i="78"/>
  <c r="A18" i="78"/>
  <c r="A19" i="78"/>
  <c r="A20" i="78"/>
  <c r="A21" i="78"/>
  <c r="A22" i="78"/>
  <c r="C179" i="88"/>
  <c r="C116" i="88"/>
  <c r="C56" i="88"/>
  <c r="A47" i="77"/>
  <c r="A48" i="77"/>
  <c r="A49" i="77"/>
  <c r="A50" i="77"/>
  <c r="A51" i="77"/>
  <c r="A52" i="77"/>
  <c r="F7" i="86"/>
  <c r="F9" i="86"/>
  <c r="M212" i="2"/>
  <c r="L212" i="2"/>
  <c r="K212" i="2"/>
  <c r="J197" i="2"/>
  <c r="J198" i="2"/>
  <c r="I212" i="2"/>
  <c r="H212" i="2"/>
  <c r="G212" i="2"/>
  <c r="F197" i="2"/>
  <c r="E212" i="2"/>
  <c r="J194" i="2"/>
  <c r="J193" i="2"/>
  <c r="F193" i="2"/>
  <c r="J192" i="2"/>
  <c r="F192" i="2"/>
  <c r="J191" i="2"/>
  <c r="F191" i="2"/>
  <c r="J190" i="2"/>
  <c r="J189" i="2"/>
  <c r="F189" i="2"/>
  <c r="J188" i="2"/>
  <c r="F188" i="2"/>
  <c r="J187" i="2"/>
  <c r="F187" i="2"/>
  <c r="J180" i="2"/>
  <c r="F180" i="2"/>
  <c r="J179" i="2"/>
  <c r="F179" i="2"/>
  <c r="J176" i="2"/>
  <c r="F176" i="2"/>
  <c r="J175" i="2"/>
  <c r="F175" i="2"/>
  <c r="J174" i="2"/>
  <c r="J173" i="2"/>
  <c r="F173" i="2"/>
  <c r="J168" i="2"/>
  <c r="F168" i="2"/>
  <c r="J167" i="2"/>
  <c r="F167" i="2"/>
  <c r="M109" i="2"/>
  <c r="L109" i="2"/>
  <c r="K109" i="2"/>
  <c r="J83" i="2"/>
  <c r="J84" i="2"/>
  <c r="I109" i="2"/>
  <c r="H109" i="2"/>
  <c r="G109" i="2"/>
  <c r="F83" i="2"/>
  <c r="F84" i="2"/>
  <c r="E109" i="2"/>
  <c r="J93" i="2"/>
  <c r="J87" i="2"/>
  <c r="F87" i="2"/>
  <c r="J82" i="2"/>
  <c r="F82" i="2"/>
  <c r="J81" i="2"/>
  <c r="J78" i="2"/>
  <c r="F78" i="2"/>
  <c r="J77" i="2"/>
  <c r="J76" i="2"/>
  <c r="J75" i="2"/>
  <c r="F75" i="2"/>
  <c r="J74" i="2"/>
  <c r="F74" i="2"/>
  <c r="J73" i="2"/>
  <c r="J72" i="2"/>
  <c r="J71" i="2"/>
  <c r="F71" i="2"/>
  <c r="J70" i="2"/>
  <c r="F70" i="2"/>
  <c r="J69" i="2"/>
  <c r="J68" i="2"/>
  <c r="J67" i="2"/>
  <c r="F67" i="2"/>
  <c r="J66" i="2"/>
  <c r="F66" i="2"/>
  <c r="J65" i="2"/>
  <c r="J64" i="2"/>
  <c r="J63" i="2"/>
  <c r="F63" i="2"/>
  <c r="J62" i="2"/>
  <c r="F62" i="2"/>
  <c r="J61" i="2"/>
  <c r="J60" i="2"/>
  <c r="J59" i="2"/>
  <c r="F59" i="2"/>
  <c r="J58" i="2"/>
  <c r="F58" i="2"/>
  <c r="J57" i="2"/>
  <c r="J54" i="2"/>
  <c r="F54" i="2"/>
  <c r="J53" i="2"/>
  <c r="J52" i="2"/>
  <c r="J51" i="2"/>
  <c r="F51" i="2"/>
  <c r="J50" i="2"/>
  <c r="F50" i="2"/>
  <c r="J49" i="2"/>
  <c r="J48" i="2"/>
  <c r="J47" i="2"/>
  <c r="F47" i="2"/>
  <c r="J46" i="2"/>
  <c r="F46" i="2"/>
  <c r="J41" i="2"/>
  <c r="J40" i="2"/>
  <c r="F40" i="2"/>
  <c r="J37" i="2"/>
  <c r="J36" i="2"/>
  <c r="F36" i="2"/>
  <c r="J33" i="2"/>
  <c r="J32" i="2"/>
  <c r="F32" i="2"/>
  <c r="J27" i="2"/>
  <c r="F27" i="2"/>
  <c r="J26" i="2"/>
  <c r="F26" i="2"/>
  <c r="J23" i="2"/>
  <c r="F23" i="2"/>
  <c r="J22" i="2"/>
  <c r="F22" i="2"/>
  <c r="J21" i="2"/>
  <c r="J20" i="2"/>
  <c r="F20" i="2"/>
  <c r="J19" i="2"/>
  <c r="F19" i="2"/>
  <c r="J18" i="2"/>
  <c r="F18" i="2"/>
  <c r="B33" i="73"/>
  <c r="A38" i="73"/>
  <c r="A39" i="73"/>
  <c r="A40" i="73"/>
  <c r="A41" i="73"/>
  <c r="A42" i="73"/>
  <c r="A43" i="73"/>
  <c r="A7" i="86"/>
  <c r="A8" i="86"/>
  <c r="A9" i="86"/>
  <c r="A10" i="86"/>
  <c r="A11" i="86"/>
  <c r="A12" i="86"/>
  <c r="A13" i="86"/>
  <c r="A11" i="85"/>
  <c r="A12" i="85"/>
  <c r="A13" i="85"/>
  <c r="A14" i="85"/>
  <c r="A41" i="56"/>
  <c r="A42" i="56"/>
  <c r="A43" i="56"/>
  <c r="A44" i="56"/>
  <c r="A45" i="56"/>
  <c r="A46" i="56"/>
  <c r="A47" i="56"/>
  <c r="E38" i="93"/>
  <c r="Q8" i="74"/>
  <c r="Q21" i="74"/>
  <c r="D75" i="77"/>
  <c r="E75" i="77"/>
  <c r="I25" i="74"/>
  <c r="D25" i="74"/>
  <c r="F51" i="73"/>
  <c r="H226" i="75"/>
  <c r="P11" i="58"/>
  <c r="D32" i="49"/>
  <c r="G12" i="86"/>
  <c r="G16" i="86"/>
  <c r="C58" i="55"/>
  <c r="E63" i="77"/>
  <c r="A78" i="77"/>
  <c r="A72" i="77"/>
  <c r="A73" i="77"/>
  <c r="A74" i="77"/>
  <c r="A75" i="77"/>
  <c r="A76" i="77"/>
  <c r="A69" i="77"/>
  <c r="A65" i="77"/>
  <c r="A66" i="77"/>
  <c r="A67" i="77"/>
  <c r="A62" i="77"/>
  <c r="A58" i="77"/>
  <c r="A59" i="77"/>
  <c r="A60" i="77"/>
  <c r="A55" i="77"/>
  <c r="A53" i="77"/>
  <c r="F30" i="62"/>
  <c r="F32" i="62"/>
  <c r="F33" i="62"/>
  <c r="F35" i="62"/>
  <c r="F38" i="62"/>
  <c r="E39" i="49"/>
  <c r="E8" i="86"/>
  <c r="F8" i="86"/>
  <c r="F167" i="77"/>
  <c r="G8" i="86"/>
  <c r="P8" i="85"/>
  <c r="P11" i="85"/>
  <c r="P9" i="85"/>
  <c r="P10" i="85"/>
  <c r="C17" i="85"/>
  <c r="D17" i="85"/>
  <c r="E17" i="85"/>
  <c r="F17" i="85"/>
  <c r="G17" i="85"/>
  <c r="H17" i="85"/>
  <c r="I17" i="85"/>
  <c r="J17" i="85"/>
  <c r="K17" i="85"/>
  <c r="L17" i="85"/>
  <c r="M17" i="85"/>
  <c r="N17" i="85"/>
  <c r="O17" i="85"/>
  <c r="H174" i="75"/>
  <c r="F166" i="77"/>
  <c r="O11" i="85"/>
  <c r="O19" i="85"/>
  <c r="F168" i="77"/>
  <c r="H287" i="75"/>
  <c r="H251" i="75"/>
  <c r="H176" i="75"/>
  <c r="H177" i="75"/>
  <c r="H178" i="75"/>
  <c r="H179" i="75"/>
  <c r="H180" i="75"/>
  <c r="H182" i="75"/>
  <c r="H183" i="75"/>
  <c r="H184" i="75"/>
  <c r="H185" i="75"/>
  <c r="H252" i="75"/>
  <c r="H250" i="75"/>
  <c r="H254" i="75"/>
  <c r="H239" i="75"/>
  <c r="H241" i="75"/>
  <c r="H255" i="75"/>
  <c r="H191" i="75"/>
  <c r="H192" i="75"/>
  <c r="H193" i="75"/>
  <c r="H253" i="75"/>
  <c r="H259" i="75"/>
  <c r="H266" i="75"/>
  <c r="H262" i="75"/>
  <c r="H271" i="75"/>
  <c r="H272" i="75"/>
  <c r="H273" i="75"/>
  <c r="H274" i="75"/>
  <c r="H275" i="75"/>
  <c r="H278" i="75"/>
  <c r="H279" i="75"/>
  <c r="H280" i="75"/>
  <c r="H281" i="75"/>
  <c r="H282" i="75"/>
  <c r="H283" i="75"/>
  <c r="H284" i="75"/>
  <c r="H285" i="75"/>
  <c r="H286" i="75"/>
  <c r="H288" i="75"/>
  <c r="A39" i="93"/>
  <c r="A40" i="93"/>
  <c r="A41" i="93"/>
  <c r="A42" i="93"/>
  <c r="A43" i="93"/>
  <c r="A44" i="93"/>
  <c r="A45" i="93"/>
  <c r="D67" i="88"/>
  <c r="D76" i="88"/>
  <c r="M76" i="88"/>
  <c r="D104" i="88"/>
  <c r="M104" i="88"/>
  <c r="M107" i="88"/>
  <c r="M64" i="78"/>
  <c r="M62" i="78"/>
  <c r="A10" i="61"/>
  <c r="A11" i="61"/>
  <c r="A12" i="61"/>
  <c r="A13" i="61"/>
  <c r="A14" i="61"/>
  <c r="A15" i="61"/>
  <c r="A16" i="61"/>
  <c r="A17" i="61"/>
  <c r="A18" i="61"/>
  <c r="A19" i="61"/>
  <c r="A20" i="61"/>
  <c r="A21" i="61"/>
  <c r="A22" i="61"/>
  <c r="A23" i="61"/>
  <c r="C10" i="60"/>
  <c r="A7" i="60"/>
  <c r="D128" i="88"/>
  <c r="D125" i="88"/>
  <c r="M125" i="88"/>
  <c r="D140" i="88"/>
  <c r="M140" i="88"/>
  <c r="D173" i="88"/>
  <c r="I173" i="88"/>
  <c r="I230" i="88"/>
  <c r="I25" i="88"/>
  <c r="I26" i="88"/>
  <c r="M133" i="88"/>
  <c r="M136" i="88"/>
  <c r="M142" i="88"/>
  <c r="M147" i="88"/>
  <c r="M148" i="88"/>
  <c r="M149" i="88"/>
  <c r="M150" i="88"/>
  <c r="M151" i="88"/>
  <c r="M152" i="88"/>
  <c r="A8" i="93"/>
  <c r="A9" i="93"/>
  <c r="A10" i="93"/>
  <c r="A11" i="93"/>
  <c r="A12" i="93"/>
  <c r="A13" i="93"/>
  <c r="A14" i="93"/>
  <c r="A15" i="93"/>
  <c r="A16" i="93"/>
  <c r="A17" i="93"/>
  <c r="A18" i="93"/>
  <c r="A19" i="93"/>
  <c r="A20" i="93"/>
  <c r="A21" i="93"/>
  <c r="A22" i="93"/>
  <c r="A23" i="93"/>
  <c r="A24" i="93"/>
  <c r="A25" i="93"/>
  <c r="A26" i="93"/>
  <c r="A27" i="93"/>
  <c r="A28" i="93"/>
  <c r="A29" i="93"/>
  <c r="A30" i="93"/>
  <c r="A31" i="93"/>
  <c r="A32" i="93"/>
  <c r="A33" i="93"/>
  <c r="A34" i="93"/>
  <c r="A35" i="93"/>
  <c r="A36" i="93"/>
  <c r="P14" i="85"/>
  <c r="P15" i="85"/>
  <c r="P16" i="85"/>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 i="95"/>
  <c r="A1" i="95"/>
  <c r="C46" i="95"/>
  <c r="C49" i="95"/>
  <c r="C50" i="95"/>
  <c r="C52" i="95"/>
  <c r="C53" i="95"/>
  <c r="C54" i="95"/>
  <c r="B56" i="95"/>
  <c r="E9" i="95"/>
  <c r="E12" i="95"/>
  <c r="E13" i="95"/>
  <c r="E14" i="95"/>
  <c r="E15" i="95"/>
  <c r="E26" i="95"/>
  <c r="E27" i="95"/>
  <c r="E53" i="95"/>
  <c r="E29" i="95"/>
  <c r="A8" i="95"/>
  <c r="A9" i="95"/>
  <c r="A10" i="95"/>
  <c r="A11" i="95"/>
  <c r="A12" i="95"/>
  <c r="A13" i="95"/>
  <c r="A14" i="95"/>
  <c r="A15" i="95"/>
  <c r="A16" i="95"/>
  <c r="A17" i="95"/>
  <c r="A18" i="95"/>
  <c r="A19" i="95"/>
  <c r="A20" i="95"/>
  <c r="A21" i="95"/>
  <c r="A22" i="95"/>
  <c r="A23" i="95"/>
  <c r="A24" i="95"/>
  <c r="A25" i="95"/>
  <c r="A26" i="95"/>
  <c r="A27" i="95"/>
  <c r="A28" i="95"/>
  <c r="A29" i="95"/>
  <c r="A30" i="95"/>
  <c r="A31" i="95"/>
  <c r="A32" i="95"/>
  <c r="A33" i="95"/>
  <c r="A34" i="95"/>
  <c r="A35" i="95"/>
  <c r="E108" i="2"/>
  <c r="E110" i="2"/>
  <c r="D30" i="49"/>
  <c r="A39" i="49"/>
  <c r="A40" i="49"/>
  <c r="A41" i="49"/>
  <c r="B27" i="49"/>
  <c r="D24" i="49"/>
  <c r="D23" i="49"/>
  <c r="D21" i="49"/>
  <c r="D19" i="49"/>
  <c r="D18" i="49"/>
  <c r="D16" i="49"/>
  <c r="D15" i="49"/>
  <c r="D12" i="49"/>
  <c r="D8" i="49"/>
  <c r="I10" i="51"/>
  <c r="H10" i="51"/>
  <c r="C74" i="55"/>
  <c r="C73" i="55"/>
  <c r="C72" i="55"/>
  <c r="C70" i="55"/>
  <c r="C69" i="55"/>
  <c r="C68" i="55"/>
  <c r="C65" i="55"/>
  <c r="C66" i="55"/>
  <c r="C67" i="55"/>
  <c r="C75" i="55"/>
  <c r="C59" i="55"/>
  <c r="C61" i="55"/>
  <c r="F27" i="56"/>
  <c r="F26" i="56"/>
  <c r="F56" i="56"/>
  <c r="F19" i="56"/>
  <c r="F17" i="56"/>
  <c r="F16" i="56"/>
  <c r="F15" i="56"/>
  <c r="F13" i="56"/>
  <c r="F12" i="56"/>
  <c r="F8" i="56"/>
  <c r="D61" i="93"/>
  <c r="C45" i="93"/>
  <c r="D39" i="93"/>
  <c r="C53" i="93"/>
  <c r="C58" i="93"/>
  <c r="C43" i="93"/>
  <c r="C44" i="93"/>
  <c r="C39" i="93"/>
  <c r="A127" i="88"/>
  <c r="A128" i="88"/>
  <c r="B10" i="60"/>
  <c r="A10" i="60"/>
  <c r="I19" i="77"/>
  <c r="A8" i="44"/>
  <c r="A9" i="44"/>
  <c r="A10" i="44"/>
  <c r="A11" i="44"/>
  <c r="A12" i="44"/>
  <c r="L12" i="44"/>
  <c r="M12" i="44"/>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E151" i="75"/>
  <c r="E147" i="75"/>
  <c r="E146" i="75"/>
  <c r="E138" i="75"/>
  <c r="A10" i="57"/>
  <c r="A11" i="57"/>
  <c r="B16" i="57"/>
  <c r="A7" i="62"/>
  <c r="A8" i="62"/>
  <c r="A9" i="62"/>
  <c r="A10" i="62"/>
  <c r="A11" i="62"/>
  <c r="A12" i="62"/>
  <c r="A13" i="62"/>
  <c r="A14" i="62"/>
  <c r="A15" i="62"/>
  <c r="A16" i="62"/>
  <c r="A17" i="62"/>
  <c r="A18" i="62"/>
  <c r="A19" i="62"/>
  <c r="A20" i="62"/>
  <c r="A21" i="62"/>
  <c r="E28" i="75"/>
  <c r="E27" i="75"/>
  <c r="A213" i="88"/>
  <c r="A214" i="88"/>
  <c r="A199" i="88"/>
  <c r="A200" i="88"/>
  <c r="A201" i="88"/>
  <c r="A202" i="88"/>
  <c r="A205" i="88"/>
  <c r="A67" i="88"/>
  <c r="A69" i="88"/>
  <c r="A70" i="88"/>
  <c r="A71" i="88"/>
  <c r="A32" i="88"/>
  <c r="A33" i="88"/>
  <c r="A34" i="88"/>
  <c r="A35" i="88"/>
  <c r="A36" i="88"/>
  <c r="A37" i="88"/>
  <c r="A38" i="88"/>
  <c r="C28" i="88"/>
  <c r="A15" i="88"/>
  <c r="A16" i="88"/>
  <c r="A17" i="88"/>
  <c r="A18" i="88"/>
  <c r="C19" i="88"/>
  <c r="A55" i="55"/>
  <c r="A56" i="55"/>
  <c r="A57" i="55"/>
  <c r="A58" i="55"/>
  <c r="A59" i="55"/>
  <c r="A8" i="58"/>
  <c r="A9" i="58"/>
  <c r="A10" i="58"/>
  <c r="A11" i="58"/>
  <c r="I32" i="88"/>
  <c r="I39" i="88"/>
  <c r="I189" i="88"/>
  <c r="D141" i="88"/>
  <c r="M141" i="88"/>
  <c r="M143" i="88"/>
  <c r="D146" i="88"/>
  <c r="M146" i="88"/>
  <c r="M153" i="88"/>
  <c r="D132" i="88"/>
  <c r="D199" i="88"/>
  <c r="D198" i="88"/>
  <c r="D202" i="88"/>
  <c r="D126" i="88"/>
  <c r="D129" i="88"/>
  <c r="D130" i="88"/>
  <c r="D135" i="88"/>
  <c r="D131" i="88"/>
  <c r="D156" i="88"/>
  <c r="D165" i="88"/>
  <c r="I224" i="88"/>
  <c r="D15" i="88"/>
  <c r="I15" i="88"/>
  <c r="I227" i="88"/>
  <c r="I228" i="88"/>
  <c r="I229" i="88"/>
  <c r="I231" i="88"/>
  <c r="D16" i="88"/>
  <c r="I16" i="88"/>
  <c r="I19" i="88"/>
  <c r="E263" i="75"/>
  <c r="A68" i="88"/>
  <c r="K7" i="55"/>
  <c r="H7" i="55"/>
  <c r="E7" i="55"/>
  <c r="G7" i="55"/>
  <c r="D47" i="56"/>
  <c r="A11" i="74"/>
  <c r="I50" i="77"/>
  <c r="A12" i="74"/>
  <c r="A13" i="74"/>
  <c r="D11" i="85"/>
  <c r="D19" i="85"/>
  <c r="E11" i="85"/>
  <c r="E19" i="85"/>
  <c r="F11" i="85"/>
  <c r="F19" i="85"/>
  <c r="G11" i="85"/>
  <c r="G19" i="85"/>
  <c r="H11" i="85"/>
  <c r="H19" i="85"/>
  <c r="I11" i="85"/>
  <c r="I19" i="85"/>
  <c r="J11" i="85"/>
  <c r="J19" i="85"/>
  <c r="K11" i="85"/>
  <c r="K19" i="85"/>
  <c r="L11" i="85"/>
  <c r="L19" i="85"/>
  <c r="M11" i="85"/>
  <c r="M19" i="85"/>
  <c r="N11" i="85"/>
  <c r="N19" i="85"/>
  <c r="C11" i="85"/>
  <c r="C19" i="85"/>
  <c r="E299" i="75"/>
  <c r="E298" i="75"/>
  <c r="C288" i="75"/>
  <c r="I222" i="88"/>
  <c r="B46" i="93"/>
  <c r="A190" i="88"/>
  <c r="A191" i="88"/>
  <c r="A192" i="88"/>
  <c r="B39" i="88"/>
  <c r="E198" i="75"/>
  <c r="E40" i="75"/>
  <c r="C285" i="75"/>
  <c r="F86" i="75"/>
  <c r="F83" i="75"/>
  <c r="F75" i="75"/>
  <c r="F74" i="75"/>
  <c r="F71" i="75"/>
  <c r="F63" i="75"/>
  <c r="F61" i="75"/>
  <c r="F50" i="75"/>
  <c r="F48" i="75"/>
  <c r="F46" i="75"/>
  <c r="F42" i="75"/>
  <c r="F35" i="75"/>
  <c r="F32" i="75"/>
  <c r="F29" i="75"/>
  <c r="F24" i="75"/>
  <c r="F23" i="75"/>
  <c r="F21" i="75"/>
  <c r="F17" i="75"/>
  <c r="F13" i="75"/>
  <c r="E115" i="75"/>
  <c r="E114" i="75"/>
  <c r="E106" i="75"/>
  <c r="F272" i="75"/>
  <c r="F271" i="75"/>
  <c r="F273" i="75"/>
  <c r="C274" i="75"/>
  <c r="C273" i="75"/>
  <c r="A167" i="88"/>
  <c r="A19" i="88"/>
  <c r="A21" i="88"/>
  <c r="C7" i="88"/>
  <c r="C60" i="88"/>
  <c r="C120" i="88"/>
  <c r="C183" i="88"/>
  <c r="E101" i="75"/>
  <c r="E98" i="75"/>
  <c r="E97" i="75"/>
  <c r="E77" i="75"/>
  <c r="F59" i="75"/>
  <c r="F57" i="75"/>
  <c r="C79" i="77"/>
  <c r="C70" i="77"/>
  <c r="C63" i="77"/>
  <c r="E8" i="75"/>
  <c r="B44" i="93"/>
  <c r="B16" i="88"/>
  <c r="B15" i="88"/>
  <c r="D208" i="88"/>
  <c r="B23" i="85"/>
  <c r="B19" i="86"/>
  <c r="E303" i="75"/>
  <c r="E257" i="75"/>
  <c r="E256" i="75"/>
  <c r="E222" i="75"/>
  <c r="E134" i="75"/>
  <c r="E110" i="75"/>
  <c r="E104" i="75"/>
  <c r="E67" i="75"/>
  <c r="B174" i="77"/>
  <c r="A51" i="73"/>
  <c r="F101" i="75"/>
  <c r="F98" i="75"/>
  <c r="F97" i="75"/>
  <c r="E41" i="75"/>
  <c r="E197" i="75"/>
  <c r="E199" i="75"/>
  <c r="E133" i="75"/>
  <c r="E125" i="75"/>
  <c r="D51" i="56"/>
  <c r="D52" i="56"/>
  <c r="D53" i="56"/>
  <c r="D54" i="56"/>
  <c r="D55" i="56"/>
  <c r="D56" i="56"/>
  <c r="D57" i="56"/>
  <c r="D60" i="56"/>
  <c r="B61" i="56"/>
  <c r="D45" i="56"/>
  <c r="D41" i="56"/>
  <c r="A3" i="56"/>
  <c r="A1" i="56"/>
  <c r="C55" i="55"/>
  <c r="B55" i="55"/>
  <c r="A3" i="55"/>
  <c r="A1" i="55"/>
  <c r="B39" i="93"/>
  <c r="A3" i="93"/>
  <c r="A1" i="93"/>
  <c r="C25" i="74"/>
  <c r="A25" i="74"/>
  <c r="A3" i="74"/>
  <c r="A1" i="74"/>
  <c r="A8" i="51"/>
  <c r="A9" i="51"/>
  <c r="A3" i="51"/>
  <c r="A1" i="51"/>
  <c r="A17" i="85"/>
  <c r="B20" i="85"/>
  <c r="A18" i="85"/>
  <c r="A19" i="85"/>
  <c r="I168" i="77"/>
  <c r="B17" i="85"/>
  <c r="B11" i="85"/>
  <c r="A3" i="85"/>
  <c r="A1" i="85"/>
  <c r="F16" i="86"/>
  <c r="A16" i="86"/>
  <c r="G11" i="86"/>
  <c r="F11" i="86"/>
  <c r="E11" i="86"/>
  <c r="C8" i="86"/>
  <c r="C7" i="86"/>
  <c r="A3" i="86"/>
  <c r="A1" i="86"/>
  <c r="C12" i="44"/>
  <c r="A3" i="44"/>
  <c r="A1" i="44"/>
  <c r="B39" i="49"/>
  <c r="A3" i="49"/>
  <c r="A1" i="49"/>
  <c r="A3" i="57"/>
  <c r="A1" i="57"/>
  <c r="A3" i="60"/>
  <c r="A1" i="60"/>
  <c r="P8" i="58"/>
  <c r="P9" i="58"/>
  <c r="P10" i="58"/>
  <c r="P12" i="58"/>
  <c r="P13" i="58"/>
  <c r="P14" i="58"/>
  <c r="O15" i="58"/>
  <c r="N15" i="58"/>
  <c r="M15" i="58"/>
  <c r="L15" i="58"/>
  <c r="K15" i="58"/>
  <c r="J15" i="58"/>
  <c r="I15" i="58"/>
  <c r="H15" i="58"/>
  <c r="G15" i="58"/>
  <c r="F15" i="58"/>
  <c r="E15" i="58"/>
  <c r="D15" i="58"/>
  <c r="C15" i="58"/>
  <c r="A3" i="58"/>
  <c r="A1" i="58"/>
  <c r="C51" i="73"/>
  <c r="B51" i="73"/>
  <c r="C31" i="73"/>
  <c r="B31" i="73"/>
  <c r="C27" i="73"/>
  <c r="A3" i="73"/>
  <c r="A1" i="73"/>
  <c r="A9" i="91"/>
  <c r="A10" i="91"/>
  <c r="A3" i="91"/>
  <c r="A1" i="91"/>
  <c r="B219" i="2"/>
  <c r="B218" i="2"/>
  <c r="B217" i="2"/>
  <c r="B216" i="2"/>
  <c r="E211" i="2"/>
  <c r="E213" i="2"/>
  <c r="A3" i="2"/>
  <c r="A1" i="2"/>
  <c r="A8" i="84"/>
  <c r="A9" i="84"/>
  <c r="A10" i="84"/>
  <c r="A11" i="84"/>
  <c r="A12" i="84"/>
  <c r="A13" i="84"/>
  <c r="A14" i="84"/>
  <c r="A15" i="84"/>
  <c r="A16" i="84"/>
  <c r="A17" i="84"/>
  <c r="A18" i="84"/>
  <c r="A19" i="84"/>
  <c r="A20" i="84"/>
  <c r="A21" i="84"/>
  <c r="A22" i="84"/>
  <c r="F41" i="75"/>
  <c r="A3" i="84"/>
  <c r="A1" i="84"/>
  <c r="B40" i="62"/>
  <c r="B39" i="62"/>
  <c r="B38" i="62"/>
  <c r="B37" i="62"/>
  <c r="B36" i="62"/>
  <c r="B35" i="62"/>
  <c r="B34" i="62"/>
  <c r="B33" i="62"/>
  <c r="B32" i="62"/>
  <c r="B31" i="62"/>
  <c r="B30" i="62"/>
  <c r="B29" i="62"/>
  <c r="B28" i="62"/>
  <c r="A3" i="62"/>
  <c r="A1" i="62"/>
  <c r="A27" i="61"/>
  <c r="A28" i="61"/>
  <c r="A29" i="61"/>
  <c r="B33" i="61"/>
  <c r="A33" i="61"/>
  <c r="F19" i="75"/>
  <c r="D31" i="61"/>
  <c r="D27" i="61"/>
  <c r="A8" i="61"/>
  <c r="A9" i="61"/>
  <c r="D15" i="61"/>
  <c r="D10" i="61"/>
  <c r="A3" i="61"/>
  <c r="A1" i="61"/>
  <c r="C169" i="77"/>
  <c r="I167" i="77"/>
  <c r="C131" i="77"/>
  <c r="C122" i="77"/>
  <c r="I96" i="77"/>
  <c r="I88" i="77"/>
  <c r="C88" i="77"/>
  <c r="I82" i="77"/>
  <c r="I79" i="77"/>
  <c r="I70" i="77"/>
  <c r="I63" i="77"/>
  <c r="I56" i="77"/>
  <c r="C56" i="77"/>
  <c r="I49" i="77"/>
  <c r="I48" i="77"/>
  <c r="I47" i="77"/>
  <c r="C41" i="77"/>
  <c r="C30" i="77"/>
  <c r="C19" i="77"/>
  <c r="A3" i="77"/>
  <c r="A1" i="77"/>
  <c r="A3" i="78"/>
  <c r="A1" i="78"/>
  <c r="E289" i="75"/>
  <c r="E287" i="75"/>
  <c r="E286" i="75"/>
  <c r="C283" i="75"/>
  <c r="F282" i="75"/>
  <c r="C282" i="75"/>
  <c r="F262" i="75"/>
  <c r="C262" i="75"/>
  <c r="F246" i="75"/>
  <c r="C246" i="75"/>
  <c r="E229" i="75"/>
  <c r="E228" i="75"/>
  <c r="E224" i="75"/>
  <c r="E223" i="75"/>
  <c r="E210" i="75"/>
  <c r="E202" i="75"/>
  <c r="E200" i="75"/>
  <c r="E193" i="75"/>
  <c r="C192" i="75"/>
  <c r="F191" i="75"/>
  <c r="C184" i="75"/>
  <c r="F183" i="75"/>
  <c r="F182" i="75"/>
  <c r="C180" i="75"/>
  <c r="F179" i="75"/>
  <c r="C179" i="75"/>
  <c r="E177" i="75"/>
  <c r="F176" i="75"/>
  <c r="F174" i="75"/>
  <c r="F167" i="75"/>
  <c r="E163" i="75"/>
  <c r="E161" i="75"/>
  <c r="F153" i="75"/>
  <c r="E150" i="75"/>
  <c r="C143" i="75"/>
  <c r="F142" i="75"/>
  <c r="E140" i="75"/>
  <c r="E136" i="75"/>
  <c r="F134" i="75"/>
  <c r="E129" i="75"/>
  <c r="E126" i="75"/>
  <c r="C103" i="75"/>
  <c r="F102" i="75"/>
  <c r="C100" i="75"/>
  <c r="F99" i="75"/>
  <c r="F92" i="75"/>
  <c r="F91" i="75"/>
  <c r="E91" i="75"/>
  <c r="F90" i="75"/>
  <c r="E90" i="75"/>
  <c r="E87" i="75"/>
  <c r="C86" i="75"/>
  <c r="F85" i="75"/>
  <c r="E84" i="75"/>
  <c r="C83" i="75"/>
  <c r="F82" i="75"/>
  <c r="E81" i="75"/>
  <c r="E80" i="75"/>
  <c r="C74" i="75"/>
  <c r="F73" i="75"/>
  <c r="E72" i="75"/>
  <c r="C71" i="75"/>
  <c r="F70" i="75"/>
  <c r="C70" i="75"/>
  <c r="E69" i="75"/>
  <c r="E68" i="75"/>
  <c r="F58" i="75"/>
  <c r="C58" i="75"/>
  <c r="E56" i="75"/>
  <c r="E53" i="75"/>
  <c r="F47" i="75"/>
  <c r="E45" i="75"/>
  <c r="E44" i="75"/>
  <c r="B39" i="75"/>
  <c r="F34" i="75"/>
  <c r="E34" i="75"/>
  <c r="C34" i="75"/>
  <c r="F31" i="75"/>
  <c r="C31" i="75"/>
  <c r="E20" i="75"/>
  <c r="E16" i="75"/>
  <c r="F15" i="75"/>
  <c r="E12" i="75"/>
  <c r="F11" i="75"/>
  <c r="A3" i="75"/>
  <c r="A1" i="75"/>
  <c r="D236" i="88"/>
  <c r="D234" i="88"/>
  <c r="G214" i="88"/>
  <c r="C202" i="88"/>
  <c r="C199" i="88"/>
  <c r="C198" i="88"/>
  <c r="C59" i="88"/>
  <c r="C119" i="88"/>
  <c r="C182" i="88"/>
  <c r="K180" i="88"/>
  <c r="K177" i="88"/>
  <c r="C155" i="88"/>
  <c r="F141" i="88"/>
  <c r="F126" i="88"/>
  <c r="F127" i="88"/>
  <c r="F132" i="88"/>
  <c r="K117" i="88"/>
  <c r="K114" i="88"/>
  <c r="D75" i="88"/>
  <c r="D69" i="88"/>
  <c r="D78" i="88"/>
  <c r="D87" i="88"/>
  <c r="C68" i="88"/>
  <c r="C95" i="88"/>
  <c r="G78" i="88"/>
  <c r="K57" i="88"/>
  <c r="K54" i="88"/>
  <c r="I52" i="88"/>
  <c r="I51" i="88"/>
  <c r="F45" i="56"/>
  <c r="D46" i="56"/>
  <c r="D48" i="56"/>
  <c r="F57" i="56"/>
  <c r="C59" i="93"/>
  <c r="G51" i="55"/>
  <c r="G50" i="55"/>
  <c r="H50" i="55"/>
  <c r="G43" i="55"/>
  <c r="G33" i="55"/>
  <c r="H33" i="55"/>
  <c r="G49" i="55"/>
  <c r="H49" i="55"/>
  <c r="G42" i="55"/>
  <c r="G25" i="55"/>
  <c r="G35" i="55"/>
  <c r="G27" i="55"/>
  <c r="G19" i="55"/>
  <c r="H19" i="55"/>
  <c r="G34" i="55"/>
  <c r="H34" i="55"/>
  <c r="G26" i="55"/>
  <c r="G18" i="55"/>
  <c r="E53" i="93"/>
  <c r="E59" i="93"/>
  <c r="E39" i="93"/>
  <c r="F62" i="51"/>
  <c r="G17" i="55"/>
  <c r="G41" i="55"/>
  <c r="H41" i="55"/>
  <c r="E72" i="55"/>
  <c r="G11" i="55"/>
  <c r="H11" i="55"/>
  <c r="J212" i="2"/>
  <c r="N13" i="2"/>
  <c r="N108" i="2"/>
  <c r="F68" i="75"/>
  <c r="F69" i="75"/>
  <c r="F72" i="75"/>
  <c r="F109" i="2"/>
  <c r="C194" i="88"/>
  <c r="A194" i="88"/>
  <c r="C69" i="88"/>
  <c r="A22" i="62"/>
  <c r="A23" i="62"/>
  <c r="C70" i="88"/>
  <c r="C66" i="88"/>
  <c r="C67" i="88"/>
  <c r="A60" i="55"/>
  <c r="A61" i="55"/>
  <c r="B60" i="55"/>
  <c r="F87" i="75"/>
  <c r="A72" i="88"/>
  <c r="A75" i="88"/>
  <c r="C72" i="88"/>
  <c r="F286" i="75"/>
  <c r="F131" i="88"/>
  <c r="F129" i="88"/>
  <c r="C23" i="88"/>
  <c r="P15" i="58"/>
  <c r="F106" i="75"/>
  <c r="A12" i="58"/>
  <c r="A13" i="58"/>
  <c r="A14" i="58"/>
  <c r="A15" i="58"/>
  <c r="A169" i="88"/>
  <c r="A174" i="88"/>
  <c r="C12" i="88"/>
  <c r="C39" i="88"/>
  <c r="A39" i="88"/>
  <c r="A30" i="61"/>
  <c r="A31" i="61"/>
  <c r="A32" i="61"/>
  <c r="D33" i="61"/>
  <c r="A14" i="74"/>
  <c r="I52" i="77"/>
  <c r="I51" i="77"/>
  <c r="C192" i="88"/>
  <c r="B61" i="51"/>
  <c r="A61" i="51"/>
  <c r="A23" i="78"/>
  <c r="A24" i="78"/>
  <c r="A25" i="78"/>
  <c r="A26" i="78"/>
  <c r="A27" i="78"/>
  <c r="C20" i="44"/>
  <c r="A13" i="44"/>
  <c r="A14" i="44"/>
  <c r="A15" i="44"/>
  <c r="A16" i="44"/>
  <c r="A17" i="44"/>
  <c r="A18" i="44"/>
  <c r="A19" i="44"/>
  <c r="A20" i="44"/>
  <c r="F197" i="75"/>
  <c r="B30" i="49"/>
  <c r="B29" i="49"/>
  <c r="B28" i="49"/>
  <c r="B26" i="49"/>
  <c r="B25" i="49"/>
  <c r="A24" i="61"/>
  <c r="D32" i="61"/>
  <c r="H22" i="78"/>
  <c r="C208" i="88"/>
  <c r="A206" i="88"/>
  <c r="A207" i="88"/>
  <c r="A208" i="88"/>
  <c r="C215" i="88"/>
  <c r="A215" i="88"/>
  <c r="A220" i="88"/>
  <c r="A129" i="88"/>
  <c r="A130" i="88"/>
  <c r="A133" i="88"/>
  <c r="A136" i="88"/>
  <c r="A137" i="88"/>
  <c r="C46" i="93"/>
  <c r="P17" i="85"/>
  <c r="P19" i="85"/>
  <c r="I11" i="77"/>
  <c r="A46" i="93"/>
  <c r="A47" i="93"/>
  <c r="A48" i="93"/>
  <c r="A49" i="93"/>
  <c r="I94" i="77"/>
  <c r="A48" i="56"/>
  <c r="A49" i="56"/>
  <c r="A50" i="56"/>
  <c r="A51" i="56"/>
  <c r="A52" i="56"/>
  <c r="I13" i="77"/>
  <c r="A43" i="95"/>
  <c r="A44" i="95"/>
  <c r="A45" i="95"/>
  <c r="A46" i="95"/>
  <c r="A47" i="95"/>
  <c r="I97" i="77"/>
  <c r="N76" i="88"/>
  <c r="A18" i="77"/>
  <c r="A87" i="77"/>
  <c r="H42" i="55"/>
  <c r="F46" i="56"/>
  <c r="H26" i="55"/>
  <c r="H51" i="55"/>
  <c r="H48" i="44"/>
  <c r="H43" i="55"/>
  <c r="H27" i="55"/>
  <c r="H35" i="55"/>
  <c r="E46" i="93"/>
  <c r="H25" i="55"/>
  <c r="H21" i="55"/>
  <c r="H17" i="55"/>
  <c r="A221" i="88"/>
  <c r="A222" i="88"/>
  <c r="A224" i="88"/>
  <c r="I140" i="77"/>
  <c r="A48" i="95"/>
  <c r="C99" i="88"/>
  <c r="I89" i="77"/>
  <c r="H29" i="78"/>
  <c r="A28" i="78"/>
  <c r="A29" i="78"/>
  <c r="F12" i="75"/>
  <c r="A41" i="88"/>
  <c r="C41" i="88"/>
  <c r="I95" i="77"/>
  <c r="A62" i="55"/>
  <c r="A63" i="55"/>
  <c r="A64" i="55"/>
  <c r="A65" i="55"/>
  <c r="I12" i="77"/>
  <c r="A53" i="56"/>
  <c r="I139" i="77"/>
  <c r="F198" i="75"/>
  <c r="A21" i="44"/>
  <c r="A22" i="44"/>
  <c r="A23" i="44"/>
  <c r="C174" i="88"/>
  <c r="F287" i="75"/>
  <c r="A140" i="88"/>
  <c r="A62" i="51"/>
  <c r="F281" i="75"/>
  <c r="F278" i="75"/>
  <c r="F279" i="75"/>
  <c r="H23" i="78"/>
  <c r="B62" i="51"/>
  <c r="A50" i="93"/>
  <c r="C137" i="88"/>
  <c r="H25" i="78"/>
  <c r="A15" i="74"/>
  <c r="I58" i="77"/>
  <c r="A76" i="88"/>
  <c r="C84" i="88"/>
  <c r="F27" i="75"/>
  <c r="F44" i="75"/>
  <c r="I165" i="77"/>
  <c r="A24" i="62"/>
  <c r="A25" i="62"/>
  <c r="A26" i="62"/>
  <c r="A27" i="62"/>
  <c r="A28" i="62"/>
  <c r="A29" i="62"/>
  <c r="A30" i="62"/>
  <c r="A31" i="62"/>
  <c r="A32" i="62"/>
  <c r="A33" i="62"/>
  <c r="A34" i="62"/>
  <c r="A35" i="62"/>
  <c r="A36" i="62"/>
  <c r="A37" i="62"/>
  <c r="A38" i="62"/>
  <c r="A39" i="62"/>
  <c r="A40" i="62"/>
  <c r="F45" i="75"/>
  <c r="F40" i="75"/>
  <c r="I166" i="77"/>
  <c r="K65" i="55"/>
  <c r="K68" i="55"/>
  <c r="K70" i="55"/>
  <c r="K72" i="55"/>
  <c r="A54" i="56"/>
  <c r="A55" i="56"/>
  <c r="A56" i="56"/>
  <c r="A57" i="56"/>
  <c r="A58" i="56"/>
  <c r="A59" i="56"/>
  <c r="A60" i="56"/>
  <c r="I154" i="77"/>
  <c r="F93" i="75"/>
  <c r="A78" i="88"/>
  <c r="A77" i="88"/>
  <c r="C86" i="88"/>
  <c r="C85" i="88"/>
  <c r="C143" i="88"/>
  <c r="A141" i="88"/>
  <c r="A142" i="88"/>
  <c r="A143" i="88"/>
  <c r="F80" i="75"/>
  <c r="F84" i="75"/>
  <c r="F81" i="75"/>
  <c r="A49" i="95"/>
  <c r="A50" i="95"/>
  <c r="A51" i="95"/>
  <c r="A52" i="95"/>
  <c r="A53" i="95"/>
  <c r="A54" i="95"/>
  <c r="A55" i="95"/>
  <c r="I155" i="77"/>
  <c r="C222" i="88"/>
  <c r="A29" i="77"/>
  <c r="I30" i="77"/>
  <c r="A227" i="88"/>
  <c r="C15" i="88"/>
  <c r="A41" i="62"/>
  <c r="A42" i="62"/>
  <c r="C78" i="88"/>
  <c r="C79" i="88"/>
  <c r="C75" i="88"/>
  <c r="C76" i="88"/>
  <c r="A66" i="55"/>
  <c r="N110" i="2"/>
  <c r="A24" i="44"/>
  <c r="A25" i="44"/>
  <c r="A26" i="44"/>
  <c r="A27" i="44"/>
  <c r="A28" i="44"/>
  <c r="A29" i="44"/>
  <c r="A30" i="44"/>
  <c r="A16" i="74"/>
  <c r="A17" i="74"/>
  <c r="A18" i="74"/>
  <c r="I59" i="77"/>
  <c r="N9" i="2"/>
  <c r="A30" i="78"/>
  <c r="A31" i="78"/>
  <c r="A32" i="78"/>
  <c r="A33" i="78"/>
  <c r="A36" i="78"/>
  <c r="H67" i="78"/>
  <c r="A51" i="93"/>
  <c r="I137" i="77"/>
  <c r="C42" i="88"/>
  <c r="C46" i="88"/>
  <c r="A42" i="88"/>
  <c r="A46" i="88"/>
  <c r="A47" i="88"/>
  <c r="A48" i="88"/>
  <c r="A51" i="88"/>
  <c r="A52" i="88"/>
  <c r="C48" i="88"/>
  <c r="C47" i="88"/>
  <c r="A102" i="77"/>
  <c r="I103" i="77"/>
  <c r="A159" i="2"/>
  <c r="N161" i="2"/>
  <c r="F16" i="75"/>
  <c r="A146" i="88"/>
  <c r="F94" i="75"/>
  <c r="I152" i="77"/>
  <c r="A52" i="93"/>
  <c r="A53" i="93"/>
  <c r="A54" i="93"/>
  <c r="A55" i="93"/>
  <c r="A56" i="93"/>
  <c r="A57" i="93"/>
  <c r="I138" i="77"/>
  <c r="A67" i="55"/>
  <c r="I109" i="77"/>
  <c r="I36" i="77"/>
  <c r="A56" i="95"/>
  <c r="C30" i="44"/>
  <c r="A19" i="74"/>
  <c r="I72" i="77"/>
  <c r="F56" i="75"/>
  <c r="F28" i="75"/>
  <c r="F55" i="75"/>
  <c r="F53" i="75"/>
  <c r="I108" i="77"/>
  <c r="I35" i="77"/>
  <c r="A61" i="56"/>
  <c r="H66" i="78"/>
  <c r="A6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C231" i="88"/>
  <c r="A228" i="88"/>
  <c r="A231" i="88"/>
  <c r="A31" i="44"/>
  <c r="A32" i="44"/>
  <c r="A33" i="44"/>
  <c r="F199" i="75"/>
  <c r="A79" i="88"/>
  <c r="C87" i="88"/>
  <c r="A68" i="55"/>
  <c r="A69" i="55"/>
  <c r="A70" i="55"/>
  <c r="A71" i="55"/>
  <c r="A72" i="55"/>
  <c r="A73" i="55"/>
  <c r="I153" i="77"/>
  <c r="A20" i="74"/>
  <c r="I73" i="77"/>
  <c r="C108" i="88"/>
  <c r="A62" i="56"/>
  <c r="A63" i="56"/>
  <c r="I24" i="77"/>
  <c r="A34" i="44"/>
  <c r="A35" i="44"/>
  <c r="A36" i="44"/>
  <c r="A37" i="44"/>
  <c r="A38" i="44"/>
  <c r="A39" i="44"/>
  <c r="C39" i="44"/>
  <c r="C16" i="88"/>
  <c r="A234" i="88"/>
  <c r="A235" i="88"/>
  <c r="A236" i="88"/>
  <c r="A67" i="78"/>
  <c r="A68" i="78"/>
  <c r="F293" i="75"/>
  <c r="H68" i="78"/>
  <c r="I25" i="77"/>
  <c r="A57" i="95"/>
  <c r="A58" i="95"/>
  <c r="A58" i="93"/>
  <c r="B61" i="93"/>
  <c r="A40" i="77"/>
  <c r="I41" i="77"/>
  <c r="A41" i="77"/>
  <c r="A147" i="88"/>
  <c r="A148" i="88"/>
  <c r="A149" i="88"/>
  <c r="A150" i="88"/>
  <c r="A151" i="88"/>
  <c r="A152" i="88"/>
  <c r="A153" i="88"/>
  <c r="A80" i="88"/>
  <c r="C88" i="88"/>
  <c r="F129" i="75"/>
  <c r="A156" i="88"/>
  <c r="A74" i="55"/>
  <c r="B77" i="55"/>
  <c r="F20" i="75"/>
  <c r="A42" i="77"/>
  <c r="A43" i="77"/>
  <c r="A44" i="77"/>
  <c r="A45" i="77"/>
  <c r="C153" i="88"/>
  <c r="A40" i="44"/>
  <c r="A41" i="44"/>
  <c r="F200" i="75"/>
  <c r="C45" i="44"/>
  <c r="N11" i="2"/>
  <c r="I114" i="77"/>
  <c r="A113" i="77"/>
  <c r="I33" i="77"/>
  <c r="A59" i="93"/>
  <c r="I106" i="77"/>
  <c r="B59" i="93"/>
  <c r="A21" i="74"/>
  <c r="I74" i="77"/>
  <c r="A81" i="88"/>
  <c r="A84" i="88"/>
  <c r="C81" i="88"/>
  <c r="A85" i="88"/>
  <c r="F140" i="75"/>
  <c r="A42" i="44"/>
  <c r="A43" i="44"/>
  <c r="A44" i="44"/>
  <c r="F201" i="75"/>
  <c r="A22" i="74"/>
  <c r="I75" i="77"/>
  <c r="A60" i="93"/>
  <c r="A61" i="93"/>
  <c r="A62" i="93"/>
  <c r="A63" i="93"/>
  <c r="I22" i="77"/>
  <c r="C162" i="88"/>
  <c r="A157" i="88"/>
  <c r="A158" i="88"/>
  <c r="A159" i="88"/>
  <c r="A160" i="88"/>
  <c r="A161" i="88"/>
  <c r="A162" i="88"/>
  <c r="C167" i="88"/>
  <c r="I34" i="77"/>
  <c r="I107" i="77"/>
  <c r="A75" i="55"/>
  <c r="B75" i="55"/>
  <c r="A209" i="2"/>
  <c r="N211" i="2"/>
  <c r="A121" i="77"/>
  <c r="I122" i="77"/>
  <c r="A87" i="88"/>
  <c r="A88" i="88"/>
  <c r="A89" i="88"/>
  <c r="A86" i="88"/>
  <c r="A64" i="93"/>
  <c r="A65" i="93"/>
  <c r="F150" i="75"/>
  <c r="B65" i="93"/>
  <c r="A76" i="55"/>
  <c r="A77" i="55"/>
  <c r="A45" i="44"/>
  <c r="A46" i="44"/>
  <c r="A47" i="44"/>
  <c r="A48" i="44"/>
  <c r="F202" i="75"/>
  <c r="C48" i="44"/>
  <c r="F100" i="75"/>
  <c r="N213" i="2"/>
  <c r="N12" i="2"/>
  <c r="F138" i="75"/>
  <c r="A90" i="88"/>
  <c r="C90" i="88"/>
  <c r="F104" i="75"/>
  <c r="A126" i="77"/>
  <c r="A127" i="77"/>
  <c r="A128" i="77"/>
  <c r="A130" i="77"/>
  <c r="I131" i="77"/>
  <c r="F103" i="75"/>
  <c r="A95" i="88"/>
  <c r="F146" i="75"/>
  <c r="A97" i="88"/>
  <c r="A98" i="88"/>
  <c r="A99" i="88"/>
  <c r="A100" i="88"/>
  <c r="C109" i="88"/>
  <c r="I147" i="77"/>
  <c r="A146" i="77"/>
  <c r="C104" i="88"/>
  <c r="A101" i="88"/>
  <c r="C102" i="88"/>
  <c r="A102" i="88"/>
  <c r="A104" i="88"/>
  <c r="A107" i="88"/>
  <c r="F165" i="75"/>
  <c r="A108" i="88"/>
  <c r="A109" i="88"/>
  <c r="A110" i="88"/>
  <c r="C110" i="88"/>
  <c r="F111" i="75"/>
  <c r="A159" i="77"/>
  <c r="A160" i="77"/>
  <c r="I160" i="77"/>
  <c r="A161" i="77"/>
  <c r="A162" i="77"/>
  <c r="A163" i="77"/>
  <c r="A164" i="77"/>
  <c r="F177" i="75"/>
  <c r="A112" i="88"/>
  <c r="C112" i="88"/>
  <c r="F116" i="75"/>
  <c r="F118" i="75"/>
  <c r="A169" i="77"/>
  <c r="F263" i="75"/>
  <c r="A165" i="77"/>
  <c r="A166" i="77"/>
  <c r="A167" i="77"/>
  <c r="A168" i="77"/>
  <c r="I169" i="77"/>
  <c r="F120" i="75"/>
  <c r="F247" i="75"/>
  <c r="F248" i="75"/>
  <c r="C125" i="88"/>
  <c r="C127" i="88"/>
  <c r="C126" i="88"/>
  <c r="F130" i="75"/>
  <c r="C128" i="88"/>
  <c r="C132" i="88"/>
  <c r="F141" i="75"/>
  <c r="C130" i="88"/>
  <c r="F143" i="75"/>
  <c r="F148" i="75"/>
  <c r="C131" i="88"/>
  <c r="F152" i="75"/>
  <c r="F154" i="75"/>
  <c r="C129" i="88"/>
  <c r="F156" i="75"/>
  <c r="F109" i="75"/>
  <c r="F250" i="75"/>
  <c r="C140" i="88"/>
  <c r="F166" i="75"/>
  <c r="F168" i="75"/>
  <c r="C141" i="88"/>
  <c r="F170" i="75"/>
  <c r="F251" i="75"/>
  <c r="F178" i="75"/>
  <c r="F180" i="75"/>
  <c r="F184" i="75"/>
  <c r="F185" i="75"/>
  <c r="F252" i="75"/>
  <c r="C146" i="88"/>
  <c r="C134" i="88"/>
  <c r="F192" i="75"/>
  <c r="C135" i="88"/>
  <c r="F193" i="75"/>
  <c r="F253" i="75"/>
  <c r="C212" i="88"/>
  <c r="F208" i="75"/>
  <c r="C213" i="88"/>
  <c r="F209" i="75"/>
  <c r="C214" i="88"/>
  <c r="F206" i="75"/>
  <c r="F205" i="75"/>
  <c r="F204" i="75"/>
  <c r="F212" i="75"/>
  <c r="F213" i="75"/>
  <c r="F214" i="75"/>
  <c r="F215" i="75"/>
  <c r="F217" i="75"/>
  <c r="C165" i="88"/>
  <c r="F254" i="75"/>
  <c r="C234" i="88"/>
  <c r="C235" i="88"/>
  <c r="C236" i="88"/>
  <c r="F239" i="75"/>
  <c r="A239" i="75"/>
  <c r="A241" i="75"/>
  <c r="F241" i="75"/>
  <c r="A246" i="75"/>
  <c r="A247" i="75"/>
  <c r="A248" i="75"/>
  <c r="A250" i="75"/>
  <c r="C156" i="88"/>
  <c r="F255" i="75"/>
  <c r="A251" i="75"/>
  <c r="A252" i="75"/>
  <c r="A253" i="75"/>
  <c r="A254" i="75"/>
  <c r="A255" i="75"/>
  <c r="A256" i="75"/>
  <c r="A257" i="75"/>
  <c r="C170" i="88"/>
  <c r="A259" i="75"/>
  <c r="C173" i="88"/>
  <c r="F259" i="75"/>
  <c r="A262" i="75"/>
  <c r="F266" i="75"/>
  <c r="A263" i="75"/>
  <c r="F264" i="75"/>
  <c r="C189" i="88"/>
  <c r="A264" i="75"/>
  <c r="C190" i="88"/>
  <c r="A265" i="75"/>
  <c r="F265" i="75"/>
  <c r="A266" i="75"/>
  <c r="A267" i="75"/>
  <c r="F267" i="75"/>
  <c r="A271" i="75"/>
  <c r="A272" i="75"/>
  <c r="A273" i="75"/>
  <c r="A274" i="75"/>
  <c r="F274" i="75"/>
  <c r="A275" i="75"/>
  <c r="F275" i="75"/>
  <c r="A278" i="75"/>
  <c r="C224" i="88"/>
  <c r="A279" i="75"/>
  <c r="F280" i="75"/>
  <c r="A280" i="75"/>
  <c r="F285" i="75"/>
  <c r="A281" i="75"/>
  <c r="A282" i="75"/>
  <c r="A283" i="75"/>
  <c r="F283" i="75"/>
  <c r="A284" i="75"/>
  <c r="F284" i="75"/>
  <c r="A285" i="75"/>
  <c r="C227" i="88"/>
  <c r="A286" i="75"/>
  <c r="C228" i="88"/>
  <c r="A287" i="75"/>
  <c r="B68" i="51"/>
  <c r="C229" i="88"/>
  <c r="F288" i="75"/>
  <c r="A288" i="75"/>
  <c r="C230" i="88"/>
  <c r="A289" i="75"/>
  <c r="A291" i="75"/>
  <c r="F291" i="75"/>
  <c r="A293" i="75"/>
  <c r="F295" i="75"/>
  <c r="C21" i="88"/>
  <c r="A295" i="75"/>
  <c r="A297" i="75"/>
  <c r="A298" i="75"/>
  <c r="A299" i="75"/>
  <c r="F300" i="75"/>
  <c r="C25" i="88"/>
  <c r="A300" i="75"/>
  <c r="C26" i="88"/>
  <c r="A303" i="75"/>
  <c r="F304" i="75"/>
  <c r="A304" i="75"/>
  <c r="C32" i="88"/>
  <c r="F305" i="75"/>
  <c r="A305" i="75"/>
  <c r="G12" i="55"/>
  <c r="H12" i="55"/>
  <c r="E67" i="55"/>
  <c r="G16" i="55"/>
  <c r="G20" i="55"/>
  <c r="H20" i="55"/>
  <c r="E68" i="55"/>
  <c r="G72" i="55"/>
  <c r="H38" i="55"/>
  <c r="D212" i="88"/>
  <c r="D48" i="44"/>
  <c r="E51" i="77"/>
  <c r="D82" i="77"/>
  <c r="K69" i="55"/>
  <c r="L20" i="44"/>
  <c r="H25" i="74"/>
  <c r="E7" i="86"/>
  <c r="G7" i="86"/>
  <c r="D65" i="55"/>
  <c r="E55" i="56"/>
  <c r="F72" i="55"/>
  <c r="J65" i="55"/>
  <c r="J68" i="55"/>
  <c r="J61" i="55"/>
  <c r="J62" i="55"/>
  <c r="K75" i="55"/>
  <c r="G14" i="55"/>
  <c r="H14" i="55"/>
  <c r="D55" i="55"/>
  <c r="E41" i="56"/>
  <c r="D61" i="56"/>
  <c r="C56" i="95"/>
  <c r="G25" i="74"/>
  <c r="E52" i="56"/>
  <c r="E54" i="56"/>
  <c r="E63" i="56"/>
  <c r="E73" i="55"/>
  <c r="F55" i="55"/>
  <c r="F54" i="56"/>
  <c r="D39" i="49"/>
  <c r="F25" i="74"/>
  <c r="E44" i="55"/>
  <c r="G44" i="55"/>
  <c r="H44" i="55"/>
  <c r="E36" i="55"/>
  <c r="E28" i="55"/>
  <c r="F68" i="55"/>
  <c r="F61" i="55"/>
  <c r="F74" i="55"/>
  <c r="I68" i="55"/>
  <c r="I61" i="55"/>
  <c r="I62" i="55"/>
  <c r="I74" i="55"/>
  <c r="D81" i="88"/>
  <c r="E27" i="73"/>
  <c r="E16" i="95"/>
  <c r="E8" i="95"/>
  <c r="E46" i="95"/>
  <c r="E25" i="74"/>
  <c r="D69" i="55"/>
  <c r="D73" i="55"/>
  <c r="D75" i="55"/>
  <c r="K20" i="44"/>
  <c r="N20" i="44"/>
  <c r="I12" i="44"/>
  <c r="I20" i="44"/>
  <c r="D12" i="44"/>
  <c r="D20" i="44"/>
  <c r="M20" i="44"/>
  <c r="G212" i="88"/>
  <c r="O48" i="44"/>
  <c r="M48" i="44"/>
  <c r="F48" i="44"/>
  <c r="N48" i="44"/>
  <c r="D58" i="95"/>
  <c r="K27" i="73"/>
  <c r="F29" i="56"/>
  <c r="F58" i="56"/>
  <c r="D58" i="55"/>
  <c r="D60" i="55"/>
  <c r="D62" i="55"/>
  <c r="E48" i="56"/>
  <c r="D47" i="77"/>
  <c r="E54" i="95"/>
  <c r="E50" i="95"/>
  <c r="K25" i="74"/>
  <c r="Q10" i="74"/>
  <c r="D49" i="77"/>
  <c r="E49" i="77"/>
  <c r="J11" i="2"/>
  <c r="H42" i="62"/>
  <c r="C21" i="84"/>
  <c r="D109" i="2"/>
  <c r="E42" i="62"/>
  <c r="C60" i="55"/>
  <c r="C62" i="55"/>
  <c r="C41" i="95"/>
  <c r="E24" i="55"/>
  <c r="E55" i="55"/>
  <c r="K55" i="55"/>
  <c r="D108" i="2"/>
  <c r="D110" i="2"/>
  <c r="F21" i="2"/>
  <c r="F108" i="2"/>
  <c r="F110" i="2"/>
  <c r="F9" i="2"/>
  <c r="E79" i="77"/>
  <c r="D85" i="88"/>
  <c r="M67" i="88"/>
  <c r="N67" i="88"/>
  <c r="G45" i="55"/>
  <c r="G74" i="55"/>
  <c r="E49" i="95"/>
  <c r="J211" i="2"/>
  <c r="J213" i="2"/>
  <c r="J12" i="2"/>
  <c r="F31" i="62"/>
  <c r="F39" i="62"/>
  <c r="D63" i="77"/>
  <c r="F51" i="56"/>
  <c r="C62" i="51"/>
  <c r="G10" i="51"/>
  <c r="G62" i="51"/>
  <c r="D211" i="2"/>
  <c r="H40" i="55"/>
  <c r="G73" i="55"/>
  <c r="E56" i="95"/>
  <c r="E9" i="86"/>
  <c r="G9" i="86"/>
  <c r="F48" i="56"/>
  <c r="D70" i="77"/>
  <c r="E34" i="73"/>
  <c r="E51" i="73"/>
  <c r="D214" i="88"/>
  <c r="F55" i="56"/>
  <c r="F11" i="2"/>
  <c r="D62" i="51"/>
  <c r="D66" i="88"/>
  <c r="D42" i="62"/>
  <c r="F29" i="62"/>
  <c r="F37" i="62"/>
  <c r="H73" i="55"/>
  <c r="G23" i="55"/>
  <c r="G15" i="55"/>
  <c r="E66" i="55"/>
  <c r="F198" i="2"/>
  <c r="D212" i="2"/>
  <c r="D27" i="73"/>
  <c r="G27" i="73"/>
  <c r="J27" i="73"/>
  <c r="C39" i="49"/>
  <c r="H18" i="55"/>
  <c r="G68" i="55"/>
  <c r="J108" i="2"/>
  <c r="J109" i="2"/>
  <c r="C42" i="95"/>
  <c r="C43" i="95"/>
  <c r="H45" i="55"/>
  <c r="H74" i="55"/>
  <c r="E74" i="55"/>
  <c r="H72" i="55"/>
  <c r="G13" i="55"/>
  <c r="E65" i="55"/>
  <c r="G48" i="44"/>
  <c r="I69" i="55"/>
  <c r="I75" i="55"/>
  <c r="F12" i="44"/>
  <c r="F20" i="44"/>
  <c r="F69" i="55"/>
  <c r="F75" i="55"/>
  <c r="D79" i="77"/>
  <c r="K48" i="44"/>
  <c r="F58" i="55"/>
  <c r="F60" i="55"/>
  <c r="F62" i="55"/>
  <c r="F42" i="62"/>
  <c r="E47" i="77"/>
  <c r="E56" i="77"/>
  <c r="E82" i="77"/>
  <c r="E88" i="77"/>
  <c r="E89" i="77"/>
  <c r="D56" i="77"/>
  <c r="E59" i="55"/>
  <c r="G28" i="55"/>
  <c r="J110" i="2"/>
  <c r="J9" i="2"/>
  <c r="J13" i="2"/>
  <c r="E43" i="95"/>
  <c r="D43" i="95"/>
  <c r="G36" i="55"/>
  <c r="E70" i="55"/>
  <c r="J75" i="55"/>
  <c r="E61" i="55"/>
  <c r="H68" i="55"/>
  <c r="E69" i="55"/>
  <c r="E75" i="55"/>
  <c r="G67" i="55"/>
  <c r="H16" i="55"/>
  <c r="H67" i="55"/>
  <c r="F41" i="56"/>
  <c r="E36" i="95"/>
  <c r="D88" i="77"/>
  <c r="D89" i="77"/>
  <c r="E58" i="55"/>
  <c r="G24" i="55"/>
  <c r="Q25" i="74"/>
  <c r="G66" i="55"/>
  <c r="H15" i="55"/>
  <c r="H66" i="55"/>
  <c r="D84" i="88"/>
  <c r="D213" i="2"/>
  <c r="G69" i="55"/>
  <c r="H23" i="55"/>
  <c r="G61" i="55"/>
  <c r="F61" i="56"/>
  <c r="Q27" i="73"/>
  <c r="E48" i="44"/>
  <c r="G213" i="88"/>
  <c r="D213" i="88"/>
  <c r="D215" i="88"/>
  <c r="M85" i="88"/>
  <c r="H13" i="55"/>
  <c r="G65" i="55"/>
  <c r="F212" i="2"/>
  <c r="F211" i="2"/>
  <c r="F213" i="2"/>
  <c r="F12" i="2"/>
  <c r="F13" i="2"/>
  <c r="H36" i="55"/>
  <c r="H70" i="55"/>
  <c r="G70" i="55"/>
  <c r="H24" i="55"/>
  <c r="H58" i="55"/>
  <c r="H28" i="55"/>
  <c r="H59" i="55"/>
  <c r="H60" i="55"/>
  <c r="G58" i="55"/>
  <c r="G59" i="55"/>
  <c r="G60" i="55"/>
  <c r="G62" i="55"/>
  <c r="E60" i="55"/>
  <c r="G55" i="55"/>
  <c r="E62" i="55"/>
  <c r="H65" i="55"/>
  <c r="H55" i="55"/>
  <c r="M131" i="88"/>
  <c r="F213" i="88"/>
  <c r="I213" i="88"/>
  <c r="F212" i="88"/>
  <c r="I212" i="88"/>
  <c r="F214" i="88"/>
  <c r="I214" i="88"/>
  <c r="N85" i="88"/>
  <c r="G75" i="55"/>
  <c r="H61" i="55"/>
  <c r="H69" i="55"/>
  <c r="I215" i="88"/>
  <c r="D68" i="88"/>
  <c r="M129" i="88"/>
  <c r="H77" i="55"/>
  <c r="H75" i="55"/>
  <c r="H62" i="55"/>
  <c r="M126" i="88"/>
  <c r="D86" i="88"/>
  <c r="D90" i="88"/>
  <c r="M68" i="88"/>
  <c r="D72" i="88"/>
  <c r="N127" i="88"/>
  <c r="O127" i="88"/>
  <c r="M86" i="88"/>
  <c r="L199" i="88"/>
  <c r="L70" i="88"/>
  <c r="D109" i="88"/>
  <c r="M109" i="88"/>
  <c r="D108" i="88"/>
  <c r="D99" i="88"/>
  <c r="G246" i="75"/>
  <c r="M99" i="88"/>
  <c r="N153" i="88"/>
  <c r="M108" i="88"/>
  <c r="M110" i="88"/>
  <c r="D110" i="88"/>
  <c r="D95" i="88"/>
  <c r="H247" i="75"/>
  <c r="N137" i="88"/>
  <c r="L79" i="88"/>
  <c r="M70" i="88"/>
  <c r="H246" i="75"/>
  <c r="D137" i="88"/>
  <c r="M72" i="88"/>
  <c r="M79" i="88"/>
  <c r="M81" i="88"/>
  <c r="L128" i="88"/>
  <c r="D102" i="88"/>
  <c r="D112" i="88"/>
  <c r="N143" i="88"/>
  <c r="M102" i="88"/>
  <c r="M95" i="88"/>
  <c r="D143" i="88"/>
  <c r="O143" i="88"/>
  <c r="D153" i="88"/>
  <c r="O153" i="88"/>
  <c r="M88" i="88"/>
  <c r="M90" i="88"/>
  <c r="M112" i="88"/>
  <c r="M128" i="88"/>
  <c r="L130" i="88"/>
  <c r="N112" i="88"/>
  <c r="H248" i="75"/>
  <c r="G247" i="75"/>
  <c r="N165" i="88"/>
  <c r="M130" i="88"/>
  <c r="L132" i="88"/>
  <c r="M132" i="88"/>
  <c r="M137" i="88"/>
  <c r="O137" i="88"/>
  <c r="G248" i="75"/>
  <c r="N156" i="88"/>
  <c r="M165" i="88"/>
  <c r="O165" i="88"/>
  <c r="N167" i="88"/>
  <c r="M156" i="88"/>
  <c r="M167" i="88"/>
  <c r="D162" i="88"/>
  <c r="D167" i="88"/>
  <c r="D174" i="88"/>
  <c r="O167" i="88"/>
  <c r="D12" i="105"/>
  <c r="E42" i="112"/>
  <c r="F165" i="77"/>
  <c r="F169" i="77"/>
  <c r="H263" i="75"/>
  <c r="H264" i="75"/>
  <c r="H265" i="75"/>
  <c r="H267" i="75"/>
  <c r="H23" i="62"/>
  <c r="D165" i="77"/>
  <c r="D169" i="77"/>
  <c r="G263" i="75"/>
  <c r="I190" i="88"/>
  <c r="I192" i="88"/>
  <c r="I194" i="88"/>
  <c r="G165" i="88"/>
  <c r="I165" i="88"/>
  <c r="L165" i="88"/>
  <c r="D15" i="112"/>
  <c r="E14" i="112"/>
  <c r="E20" i="112"/>
  <c r="D21" i="112"/>
  <c r="E21" i="112"/>
  <c r="G156" i="88"/>
  <c r="I156" i="88"/>
  <c r="G131" i="88"/>
  <c r="I131" i="88"/>
  <c r="G134" i="88"/>
  <c r="I134" i="88"/>
  <c r="G141" i="88"/>
  <c r="I141" i="88"/>
  <c r="G109" i="88"/>
  <c r="I109" i="88"/>
  <c r="G146" i="88"/>
  <c r="I146" i="88"/>
  <c r="I153" i="88"/>
  <c r="L153" i="88"/>
  <c r="G125" i="88"/>
  <c r="I125" i="88"/>
  <c r="F199" i="88"/>
  <c r="G199" i="88"/>
  <c r="G127" i="88"/>
  <c r="I127" i="88"/>
  <c r="G99" i="88"/>
  <c r="I99" i="88"/>
  <c r="G95" i="88"/>
  <c r="I95" i="88"/>
  <c r="G104" i="88"/>
  <c r="I104" i="88"/>
  <c r="G129" i="88"/>
  <c r="I129" i="88"/>
  <c r="G140" i="88"/>
  <c r="I140" i="88"/>
  <c r="I143" i="88"/>
  <c r="L143" i="88"/>
  <c r="G126" i="88"/>
  <c r="I126" i="88"/>
  <c r="G108" i="88"/>
  <c r="I108" i="88"/>
  <c r="G68" i="88"/>
  <c r="I68" i="88"/>
  <c r="I86" i="88"/>
  <c r="G76" i="88"/>
  <c r="I76" i="88"/>
  <c r="G67" i="88"/>
  <c r="I67" i="88"/>
  <c r="I85" i="88"/>
  <c r="L200" i="88"/>
  <c r="L201" i="88"/>
  <c r="F198" i="88"/>
  <c r="G198" i="88"/>
  <c r="G135" i="88"/>
  <c r="I135" i="88"/>
  <c r="H291" i="75"/>
  <c r="L174" i="88"/>
  <c r="I110" i="88"/>
  <c r="G202" i="88"/>
  <c r="I202" i="88"/>
  <c r="D16" i="112"/>
  <c r="E15" i="112"/>
  <c r="I102" i="88"/>
  <c r="L156" i="88"/>
  <c r="I162" i="88"/>
  <c r="G70" i="88"/>
  <c r="I70" i="88"/>
  <c r="G79" i="88"/>
  <c r="I79" i="88"/>
  <c r="I81" i="88"/>
  <c r="G128" i="88"/>
  <c r="I128" i="88"/>
  <c r="G130" i="88"/>
  <c r="I130" i="88"/>
  <c r="G132" i="88"/>
  <c r="I132" i="88"/>
  <c r="D17" i="112"/>
  <c r="E17" i="112"/>
  <c r="G264" i="75"/>
  <c r="G265" i="75"/>
  <c r="G267" i="75"/>
  <c r="G291" i="75"/>
  <c r="G27" i="78"/>
  <c r="G29" i="78"/>
  <c r="E16" i="112"/>
  <c r="G37" i="78"/>
  <c r="H37" i="78"/>
  <c r="G45" i="78"/>
  <c r="G47" i="78"/>
  <c r="F67" i="78"/>
  <c r="G43" i="78"/>
  <c r="G42" i="78"/>
  <c r="G40" i="78"/>
  <c r="G38" i="78"/>
  <c r="G39" i="78"/>
  <c r="G41" i="78"/>
  <c r="G46" i="78"/>
  <c r="G44" i="78"/>
  <c r="G48" i="78"/>
  <c r="D23" i="112"/>
  <c r="I137" i="88"/>
  <c r="L137" i="88"/>
  <c r="I88" i="88"/>
  <c r="I90" i="88"/>
  <c r="I112" i="88"/>
  <c r="I72" i="88"/>
  <c r="E23" i="112"/>
  <c r="F37" i="78"/>
  <c r="I37" i="78"/>
  <c r="H38" i="78"/>
  <c r="I167" i="88"/>
  <c r="I174" i="88"/>
  <c r="I12" i="88"/>
  <c r="F38" i="78"/>
  <c r="H39" i="78"/>
  <c r="F39" i="78"/>
  <c r="I38" i="78"/>
  <c r="M174" i="88"/>
  <c r="I39" i="78"/>
  <c r="H40" i="78"/>
  <c r="H41" i="78"/>
  <c r="F40" i="78"/>
  <c r="I40" i="78"/>
  <c r="H42" i="78"/>
  <c r="F42" i="78"/>
  <c r="F41" i="78"/>
  <c r="I41" i="78"/>
  <c r="I42" i="78"/>
  <c r="H43" i="78"/>
  <c r="H44" i="78"/>
  <c r="F43" i="78"/>
  <c r="I43" i="78"/>
  <c r="F44" i="78"/>
  <c r="H45" i="78"/>
  <c r="F45" i="78"/>
  <c r="I44" i="78"/>
  <c r="I45" i="78"/>
  <c r="H46" i="78"/>
  <c r="H47" i="78"/>
  <c r="F46" i="78"/>
  <c r="I46" i="78"/>
  <c r="H48" i="78"/>
  <c r="F48" i="78"/>
  <c r="F47" i="78"/>
  <c r="I47" i="78"/>
  <c r="I48" i="78"/>
  <c r="H49" i="78"/>
  <c r="F49" i="78"/>
  <c r="I49" i="78"/>
  <c r="H50" i="78"/>
  <c r="H51" i="78"/>
  <c r="F51" i="78"/>
  <c r="F50" i="78"/>
  <c r="I50" i="78"/>
  <c r="I51" i="78"/>
  <c r="H52" i="78"/>
  <c r="H53" i="78"/>
  <c r="F52" i="78"/>
  <c r="I52" i="78"/>
  <c r="F53" i="78"/>
  <c r="I53" i="78"/>
  <c r="H54" i="78"/>
  <c r="F54" i="78"/>
  <c r="I54" i="78"/>
  <c r="H55" i="78"/>
  <c r="H56" i="78"/>
  <c r="F55" i="78"/>
  <c r="I55" i="78"/>
  <c r="F56" i="78"/>
  <c r="I56" i="78"/>
  <c r="H57" i="78"/>
  <c r="F57" i="78"/>
  <c r="I57" i="78"/>
  <c r="H58" i="78"/>
  <c r="F58" i="78"/>
  <c r="I58" i="78"/>
  <c r="H59" i="78"/>
  <c r="F59" i="78"/>
  <c r="H60" i="78"/>
  <c r="F60" i="78"/>
  <c r="I59" i="78"/>
  <c r="I60" i="78"/>
  <c r="H61" i="78"/>
  <c r="H62" i="78"/>
  <c r="F61" i="78"/>
  <c r="I61" i="78"/>
  <c r="F62" i="78"/>
  <c r="I62" i="78"/>
  <c r="H63" i="78"/>
  <c r="F63" i="78"/>
  <c r="I63" i="78"/>
  <c r="H64" i="78"/>
  <c r="F64" i="78"/>
  <c r="F66" i="78"/>
  <c r="F68" i="78"/>
  <c r="H293" i="75"/>
  <c r="I64" i="78"/>
  <c r="I65" i="78"/>
  <c r="M21" i="88"/>
  <c r="H295" i="75"/>
  <c r="D21" i="88"/>
  <c r="I21" i="88"/>
  <c r="N21" i="88"/>
  <c r="I23" i="88"/>
  <c r="M23" i="88"/>
  <c r="M28" i="88"/>
  <c r="H300" i="75"/>
  <c r="H304" i="75"/>
  <c r="H305" i="75"/>
  <c r="I28" i="88"/>
  <c r="N23" i="88"/>
  <c r="N28" i="88"/>
  <c r="D41" i="88"/>
  <c r="I48" i="88"/>
  <c r="I47" i="88"/>
  <c r="D46" i="88"/>
  <c r="D47" i="88"/>
  <c r="D42" i="88"/>
  <c r="I46" i="88"/>
  <c r="D48" i="88"/>
</calcChain>
</file>

<file path=xl/sharedStrings.xml><?xml version="1.0" encoding="utf-8"?>
<sst xmlns="http://schemas.openxmlformats.org/spreadsheetml/2006/main" count="3509" uniqueCount="1814">
  <si>
    <t>Liberalized tax depreciation.</t>
  </si>
  <si>
    <t>Plant basis difference.</t>
  </si>
  <si>
    <t>Intangible and General plant</t>
  </si>
  <si>
    <t>Mark to market of purchase power contracts.</t>
  </si>
  <si>
    <t>Miscellaneous including Account 186</t>
  </si>
  <si>
    <t>Transmission related costs deducted as repairs for tax and capitalized for books.</t>
  </si>
  <si>
    <t>Prepaid costs in FERC account 165 that were deducted for tax.</t>
  </si>
  <si>
    <t xml:space="preserve">Total </t>
  </si>
  <si>
    <t>Taxes Other Than Income</t>
  </si>
  <si>
    <t>FICA</t>
  </si>
  <si>
    <t>Fed Unemployment</t>
  </si>
  <si>
    <t>State Unemployment</t>
  </si>
  <si>
    <t>Gross Receipts &amp; Sales Tax</t>
  </si>
  <si>
    <t>Use Tax</t>
  </si>
  <si>
    <t>Gross Receipts Privilege Tax</t>
  </si>
  <si>
    <t xml:space="preserve">Franchise Tax- Local </t>
  </si>
  <si>
    <t>State Excise Tax</t>
  </si>
  <si>
    <t>Federal Excise Tax</t>
  </si>
  <si>
    <t>Capital Stock Franchise</t>
  </si>
  <si>
    <t>Regulatory commission</t>
  </si>
  <si>
    <t>Railcar</t>
  </si>
  <si>
    <t>Non Income Taxes</t>
  </si>
  <si>
    <t>Distribution</t>
  </si>
  <si>
    <t xml:space="preserve">Composite Income Taxes                                                                                                       </t>
  </si>
  <si>
    <t>Annual Point-to-Point Transmission Rate</t>
  </si>
  <si>
    <t>Net Adjusted Revenue Requirement</t>
  </si>
  <si>
    <t>T = 1-{[(1-SIT) * (1-FIT)]/(1-SIT * FIT * p)}</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</si>
  <si>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</si>
  <si>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</si>
  <si>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</si>
  <si>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</si>
  <si>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</si>
  <si>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</si>
  <si>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</si>
  <si>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</si>
  <si>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</si>
  <si>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</si>
  <si>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</si>
  <si>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</si>
  <si>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</si>
  <si>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</si>
  <si>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</si>
  <si>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</si>
  <si>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</si>
  <si>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</si>
  <si>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</si>
  <si>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</si>
  <si>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</si>
  <si>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</si>
  <si>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</si>
  <si>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</si>
  <si>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</si>
  <si>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</si>
  <si>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</si>
  <si>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</si>
  <si>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</si>
  <si>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</si>
  <si>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</si>
  <si>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</si>
  <si>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</si>
  <si>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</si>
  <si>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</si>
  <si>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</si>
  <si>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</si>
  <si>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</si>
  <si>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</si>
  <si>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</si>
  <si>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</si>
  <si>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</si>
  <si>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</si>
  <si>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</si>
  <si>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</si>
  <si>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</si>
  <si>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</si>
  <si>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</si>
  <si>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</si>
  <si>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</si>
  <si>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</si>
  <si>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</si>
  <si>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</si>
  <si>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</si>
  <si>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</si>
  <si>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</si>
  <si>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</si>
  <si>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</si>
  <si>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</si>
  <si>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</si>
  <si>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</si>
  <si>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</si>
  <si>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</si>
  <si>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</si>
  <si>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</si>
  <si>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</si>
  <si>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</si>
  <si>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</si>
  <si>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</si>
  <si>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</si>
  <si>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</si>
  <si>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</si>
  <si>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</si>
  <si>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</si>
  <si>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</si>
  <si>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</si>
  <si>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</si>
  <si>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</si>
  <si>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</si>
  <si>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</si>
  <si>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</si>
  <si>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</si>
  <si>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</si>
  <si>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</si>
  <si>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</si>
  <si>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</si>
  <si>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</si>
  <si>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</si>
  <si>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</si>
  <si>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</si>
  <si>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</si>
  <si>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</si>
  <si>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</si>
  <si>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</si>
  <si>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</si>
  <si>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</si>
  <si>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</si>
  <si>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</si>
  <si>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</si>
  <si>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</si>
  <si>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</si>
  <si>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Electric portion only</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</si>
  <si>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</si>
  <si>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</si>
  <si>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</si>
  <si>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</si>
  <si>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</si>
  <si>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</si>
  <si>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</si>
  <si>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</si>
  <si>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</si>
  <si>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</si>
  <si>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</si>
  <si>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</si>
  <si>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</si>
  <si>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</si>
  <si>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</si>
  <si>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Cash working capital allowance is 0.00% of O&amp;M</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</si>
  <si>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</si>
  <si>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</si>
  <si>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</si>
  <si>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</si>
  <si>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</si>
  <si>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</si>
  <si>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</si>
  <si>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</si>
  <si>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</si>
  <si>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</si>
  <si>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</si>
  <si>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</si>
  <si>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</si>
  <si>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</si>
  <si>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</si>
  <si>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</si>
  <si>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</si>
  <si>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</si>
  <si>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</si>
  <si>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</si>
  <si>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</si>
  <si>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</si>
  <si>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</si>
  <si>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</si>
  <si>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 xml:space="preserve">Includes all Regulatory Commission Expenses </t>
  </si>
  <si>
    <t>H</t>
  </si>
  <si>
    <t>(1)</t>
  </si>
  <si>
    <t>Generation</t>
  </si>
  <si>
    <t>General Plant</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</si>
  <si>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</si>
  <si>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</si>
  <si>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</si>
  <si>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</si>
  <si>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</si>
  <si>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</si>
  <si>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</si>
  <si>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</si>
  <si>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</si>
  <si>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</si>
  <si>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</si>
  <si>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</si>
  <si>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</si>
  <si>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</si>
  <si>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</si>
  <si>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</si>
  <si>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</si>
  <si>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</si>
  <si>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</si>
  <si>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</si>
  <si>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Nuclear plant related.</t>
  </si>
  <si>
    <t>Reserve for Property insurance - a book accrual.</t>
  </si>
  <si>
    <t>Property O&amp;M repair costs for book required to be depreciated for tax.</t>
  </si>
  <si>
    <t>Reserve for Injuries and Damages - a book accrual.</t>
  </si>
  <si>
    <t>Customer deposit recorded in account 253</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</si>
  <si>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</si>
  <si>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</si>
  <si>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</si>
  <si>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</si>
  <si>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</si>
  <si>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</si>
  <si>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</si>
  <si>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</si>
  <si>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Deferred directors compensation.</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</si>
  <si>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</si>
  <si>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</si>
  <si>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</si>
  <si>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</si>
  <si>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</si>
  <si>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</si>
  <si>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</si>
  <si>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</si>
  <si>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</si>
  <si>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</si>
  <si>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</si>
  <si>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</si>
  <si>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</si>
  <si>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Accrued interest on tax deficiencies - FIN48 accrued interest.</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</si>
  <si>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</si>
  <si>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</si>
  <si>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</si>
  <si>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</si>
  <si>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</si>
  <si>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</si>
  <si>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</si>
  <si>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</si>
  <si>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</si>
  <si>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</si>
  <si>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</si>
  <si>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</si>
  <si>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</si>
  <si>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</si>
  <si>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</si>
  <si>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</si>
  <si>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</si>
  <si>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</si>
  <si>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</si>
  <si>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</si>
  <si>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</si>
  <si>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</si>
  <si>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</si>
  <si>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</si>
  <si>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</si>
  <si>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</si>
  <si>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</si>
  <si>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</si>
  <si>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</si>
  <si>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</si>
  <si>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</si>
  <si>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</si>
  <si>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</si>
  <si>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</si>
  <si>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</si>
  <si>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</si>
  <si>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</si>
  <si>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</si>
  <si>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</si>
  <si>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</si>
  <si>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</si>
  <si>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</si>
  <si>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</si>
  <si>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</si>
  <si>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</si>
  <si>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</si>
  <si>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</si>
  <si>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</si>
  <si>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</si>
  <si>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</si>
  <si>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302-Franchises and Consents (5 year life)</t>
  </si>
  <si>
    <t>302-Franchises and Consents (30 year life)</t>
  </si>
  <si>
    <t>302-Franchises and Consents (50 year life)</t>
  </si>
  <si>
    <t>303-Miscellaneous Intangible Plant (5 year life)</t>
  </si>
  <si>
    <t>303-Miscellaneous Intangible Plant (10 year life)</t>
  </si>
  <si>
    <t>303-Miscellaneous Intangible Plant (30 year life)</t>
  </si>
  <si>
    <t>ESI - Administrative &amp; General</t>
  </si>
  <si>
    <t>FERC Form 1  Page # or Reference</t>
  </si>
  <si>
    <t>Tax deduction when reacquired, book amortizes to expense.</t>
  </si>
  <si>
    <t>Ln</t>
  </si>
  <si>
    <t>Debt Capitalization</t>
  </si>
  <si>
    <t>Preferred Capitalization</t>
  </si>
  <si>
    <t>Common Capitalization</t>
  </si>
  <si>
    <t>True-Up</t>
  </si>
  <si>
    <t>FERC Annual Interest Rate</t>
  </si>
  <si>
    <t>X</t>
  </si>
  <si>
    <t>Y</t>
  </si>
  <si>
    <t>Z</t>
  </si>
  <si>
    <t>AA</t>
  </si>
  <si>
    <t>W</t>
  </si>
  <si>
    <t>Average of the 12 CP (kW)</t>
  </si>
  <si>
    <t>Less Attachment GG Adj.</t>
  </si>
  <si>
    <t>Less Attachment MM Adj.</t>
  </si>
  <si>
    <t>Asset Location</t>
  </si>
  <si>
    <t>930.2 - Misc. General Expense</t>
  </si>
  <si>
    <t>931 - Rents</t>
  </si>
  <si>
    <t>MISO cost deferral account 1823MD.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</si>
  <si>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</si>
  <si>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</si>
  <si>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</si>
  <si>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</si>
  <si>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</si>
  <si>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</si>
  <si>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</si>
  <si>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</si>
  <si>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</si>
  <si>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</si>
  <si>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</si>
  <si>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</si>
  <si>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</si>
  <si>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</si>
  <si>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</si>
  <si>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</si>
  <si>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</si>
  <si>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</si>
  <si>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</si>
  <si>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</si>
  <si>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</si>
  <si>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</si>
  <si>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</si>
  <si>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</si>
  <si>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</si>
  <si>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</si>
  <si>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</si>
  <si>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</si>
  <si>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</si>
  <si>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</si>
  <si>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</si>
  <si>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</si>
  <si>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</si>
  <si>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</si>
  <si>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</si>
  <si>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</si>
  <si>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</si>
  <si>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</si>
  <si>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</si>
  <si>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</si>
  <si>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</si>
  <si>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</si>
  <si>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</si>
  <si>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</si>
  <si>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</si>
  <si>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</si>
  <si>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</si>
  <si>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</si>
  <si>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</si>
  <si>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</si>
  <si>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</si>
  <si>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</si>
  <si>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</si>
  <si>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</si>
  <si>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</si>
  <si>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</si>
  <si>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</si>
  <si>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</si>
  <si>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</si>
  <si>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</si>
  <si>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</si>
  <si>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</si>
  <si>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</si>
  <si>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</si>
  <si>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</si>
  <si>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</si>
  <si>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</si>
  <si>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</si>
  <si>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</si>
  <si>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</si>
  <si>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</si>
  <si>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</si>
  <si>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</si>
  <si>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</si>
  <si>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</si>
  <si>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</si>
  <si>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</si>
  <si>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</si>
  <si>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</si>
  <si>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</si>
  <si>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</si>
  <si>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</si>
  <si>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</si>
  <si>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</si>
  <si>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</si>
  <si>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</si>
  <si>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</si>
  <si>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</si>
  <si>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</si>
  <si>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</si>
  <si>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</si>
  <si>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</si>
  <si>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</si>
  <si>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</si>
  <si>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</si>
  <si>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</si>
  <si>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</si>
  <si>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</si>
  <si>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</si>
  <si>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</si>
  <si>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</si>
  <si>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</si>
  <si>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</si>
  <si>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</si>
  <si>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</si>
  <si>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</si>
  <si>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</si>
  <si>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</si>
  <si>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</si>
  <si>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</si>
  <si>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</si>
  <si>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</si>
  <si>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Included Transmission</t>
  </si>
  <si>
    <t>Excluded Transmission</t>
  </si>
  <si>
    <t>Production</t>
  </si>
  <si>
    <t>Intangible</t>
  </si>
  <si>
    <t>13-Mo Avg</t>
  </si>
  <si>
    <t xml:space="preserve">I </t>
  </si>
  <si>
    <t>Adjustments To Rate Base</t>
  </si>
  <si>
    <t>Subtotal ADIT</t>
  </si>
  <si>
    <t>Gas, Prod Or Other Related</t>
  </si>
  <si>
    <t>Transmission Only Related</t>
  </si>
  <si>
    <t>True-Up: Average Beginning of Year and End of Year</t>
  </si>
  <si>
    <t>Projected: End of Year</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</si>
  <si>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</si>
  <si>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</si>
  <si>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</si>
  <si>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</si>
  <si>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</si>
  <si>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</si>
  <si>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</si>
  <si>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</si>
  <si>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</si>
  <si>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</si>
  <si>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</si>
  <si>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</si>
  <si>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</si>
  <si>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</si>
  <si>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 xml:space="preserve"> J</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</si>
  <si>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</si>
  <si>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</si>
  <si>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</si>
  <si>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</si>
  <si>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</si>
  <si>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</si>
  <si>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</si>
  <si>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</si>
  <si>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</si>
  <si>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</si>
  <si>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</si>
  <si>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</si>
  <si>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</si>
  <si>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</si>
  <si>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</si>
  <si>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</si>
  <si>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</si>
  <si>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</si>
  <si>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228151 - Insurance Proceeds-O&amp;M</t>
  </si>
  <si>
    <t>2281LB - Storm Damage Reserve Lock Box</t>
  </si>
  <si>
    <t>Accumulated Provision for Property Insurance</t>
  </si>
  <si>
    <t>Accumulated Provision for Pensions and Benefits</t>
  </si>
  <si>
    <t>Accumulated Miscellaneous Operating Provisions</t>
  </si>
  <si>
    <t>True Up</t>
  </si>
  <si>
    <t>Income Tax Adjustments</t>
  </si>
  <si>
    <t>Total General &amp; Intangible Accumulated Depreciation</t>
  </si>
  <si>
    <t>Transmission O&amp;M (EOY)</t>
  </si>
  <si>
    <t>Allocated General Expenses (EOY)</t>
  </si>
  <si>
    <t>Adjusted A&amp;G</t>
  </si>
  <si>
    <t>Depreciation Expense (EOY)</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</si>
  <si>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</si>
  <si>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</si>
  <si>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</si>
  <si>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</si>
  <si>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</si>
  <si>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</si>
  <si>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</si>
  <si>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</si>
  <si>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</si>
  <si>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</si>
  <si>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</si>
  <si>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</si>
  <si>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</si>
  <si>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</si>
  <si>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</si>
  <si>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</si>
  <si>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</si>
  <si>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</si>
  <si>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</si>
  <si>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</si>
  <si>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</si>
  <si>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</si>
  <si>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</si>
  <si>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</si>
  <si>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</si>
  <si>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</si>
  <si>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</si>
  <si>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</si>
  <si>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</si>
  <si>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</si>
  <si>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</si>
  <si>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</si>
  <si>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</si>
  <si>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</si>
  <si>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</si>
  <si>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</si>
  <si>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</si>
  <si>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</si>
  <si>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</si>
  <si>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</si>
  <si>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</si>
  <si>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</si>
  <si>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</si>
  <si>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</si>
  <si>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</si>
  <si>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</si>
  <si>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</si>
  <si>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</si>
  <si>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</si>
  <si>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</si>
  <si>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</si>
  <si>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</si>
  <si>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</si>
  <si>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</si>
  <si>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</si>
  <si>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</si>
  <si>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</si>
  <si>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</si>
  <si>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</si>
  <si>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</si>
  <si>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</si>
  <si>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</si>
  <si>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</si>
  <si>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</si>
  <si>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FF</t>
  </si>
  <si>
    <t>GG</t>
  </si>
  <si>
    <t>HH</t>
  </si>
  <si>
    <t>II</t>
  </si>
  <si>
    <t>JJ</t>
  </si>
  <si>
    <t>KK</t>
  </si>
  <si>
    <t>Use 13-month average balance for both the True-Up and Projected columns.</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</si>
  <si>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</si>
  <si>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</si>
  <si>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</si>
  <si>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</si>
  <si>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</si>
  <si>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</si>
  <si>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</si>
  <si>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</si>
  <si>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</si>
  <si>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</si>
  <si>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</si>
  <si>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</si>
  <si>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</si>
  <si>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</si>
  <si>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</si>
  <si>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</si>
  <si>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</si>
  <si>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p.214.47.d</t>
  </si>
  <si>
    <t>Less FASB 109 Above (Footnote p.234)</t>
  </si>
  <si>
    <t>Less FASB 109 p.276 &amp; 277 Footnote</t>
  </si>
  <si>
    <t>Total ADIT 283 Less FASB 109</t>
  </si>
  <si>
    <t>Related</t>
  </si>
  <si>
    <t>Account 561</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</si>
  <si>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</si>
  <si>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</si>
  <si>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</si>
  <si>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</si>
  <si>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</si>
  <si>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</si>
  <si>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</si>
  <si>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</si>
  <si>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</si>
  <si>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</si>
  <si>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</si>
  <si>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</si>
  <si>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</si>
  <si>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</si>
  <si>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</si>
  <si>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</si>
  <si>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</si>
  <si>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</si>
  <si>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</si>
  <si>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</si>
  <si>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</si>
  <si>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</si>
  <si>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</si>
  <si>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</si>
  <si>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</si>
  <si>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</si>
  <si>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</si>
  <si>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</si>
  <si>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</si>
  <si>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</si>
  <si>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</si>
  <si>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</si>
  <si>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</si>
  <si>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</si>
  <si>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</si>
  <si>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</si>
  <si>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</si>
  <si>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</si>
  <si>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</si>
  <si>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</si>
  <si>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</si>
  <si>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</si>
  <si>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</si>
  <si>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</si>
  <si>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</si>
  <si>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</si>
  <si>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</si>
  <si>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</si>
  <si>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</si>
  <si>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</si>
  <si>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</si>
  <si>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</si>
  <si>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</si>
  <si>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Radial Lines (BOY/EOY Average Used for True-Up)</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</si>
  <si>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</si>
  <si>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</si>
  <si>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</si>
  <si>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</si>
  <si>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</si>
  <si>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</si>
  <si>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</si>
  <si>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</si>
  <si>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</si>
  <si>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</si>
  <si>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</si>
  <si>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</si>
  <si>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</si>
  <si>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</si>
  <si>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</si>
  <si>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</si>
  <si>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</si>
  <si>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</si>
  <si>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</si>
  <si>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</si>
  <si>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</si>
  <si>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</si>
  <si>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</si>
  <si>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</si>
  <si>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</si>
  <si>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</si>
  <si>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</si>
  <si>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</si>
  <si>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</si>
  <si>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</si>
  <si>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</si>
  <si>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</si>
  <si>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</si>
  <si>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</si>
  <si>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</si>
  <si>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</si>
  <si>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</si>
  <si>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</si>
  <si>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</si>
  <si>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</si>
  <si>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</si>
  <si>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</si>
  <si>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</si>
  <si>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</si>
  <si>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</si>
  <si>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</si>
  <si>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</si>
  <si>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</si>
  <si>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</si>
  <si>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</si>
  <si>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</si>
  <si>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</si>
  <si>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</si>
  <si>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</si>
  <si>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</si>
  <si>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</si>
  <si>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</si>
  <si>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WP02 - Cost Support</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</si>
  <si>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</si>
  <si>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</si>
  <si>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</si>
  <si>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</si>
  <si>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</si>
  <si>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</si>
  <si>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</si>
  <si>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</si>
  <si>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</si>
  <si>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</si>
  <si>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</si>
  <si>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</si>
  <si>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</si>
  <si>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</si>
  <si>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</si>
  <si>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</si>
  <si>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</si>
  <si>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</si>
  <si>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</si>
  <si>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</si>
  <si>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</si>
  <si>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</si>
  <si>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</si>
  <si>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</si>
  <si>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</si>
  <si>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</si>
  <si>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</si>
  <si>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</si>
  <si>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</si>
  <si>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</si>
  <si>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</si>
  <si>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</si>
  <si>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</si>
  <si>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</si>
  <si>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</si>
  <si>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</si>
  <si>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</si>
  <si>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Use average of beginning-of-year and end-of-year balances for the True-Up column.  Use end-of-year balances for Projected column.</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</si>
  <si>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</si>
  <si>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</si>
  <si>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</si>
  <si>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The components of capitalization for the Projected Rate determined in the Annual Update shall be based on end-of-year values for the historical calendar year.  The True-Up for the same historical calendar year shall be based upon 13-month average balances.</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</si>
  <si>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</si>
  <si>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</si>
  <si>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</si>
  <si>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</si>
  <si>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</si>
  <si>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</si>
  <si>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</si>
  <si>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</si>
  <si>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</si>
  <si>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</si>
  <si>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</si>
  <si>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</si>
  <si>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</si>
  <si>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</si>
  <si>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</si>
  <si>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</si>
  <si>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</si>
  <si>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</si>
  <si>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</si>
  <si>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</si>
  <si>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</si>
  <si>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</si>
  <si>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</si>
  <si>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</si>
  <si>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</si>
  <si>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</si>
  <si>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</si>
  <si>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</si>
  <si>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</si>
  <si>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</si>
  <si>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</si>
  <si>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</si>
  <si>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</si>
  <si>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</si>
  <si>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</si>
  <si>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</si>
  <si>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</si>
  <si>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</si>
  <si>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</si>
  <si>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</si>
  <si>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</si>
  <si>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</si>
  <si>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</si>
  <si>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</si>
  <si>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</si>
  <si>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</si>
  <si>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</si>
  <si>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</si>
  <si>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</si>
  <si>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</si>
  <si>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</si>
  <si>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</si>
  <si>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</si>
  <si>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</si>
  <si>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</si>
  <si>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</si>
  <si>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</si>
  <si>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</si>
  <si>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</si>
  <si>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</si>
  <si>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</si>
  <si>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</si>
  <si>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</si>
  <si>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</si>
  <si>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</si>
  <si>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</si>
  <si>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</si>
  <si>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</si>
  <si>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</si>
  <si>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</si>
  <si>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</si>
  <si>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</si>
  <si>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</si>
  <si>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</si>
  <si>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</si>
  <si>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</si>
  <si>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</si>
  <si>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</si>
  <si>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</si>
  <si>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</si>
  <si>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</si>
  <si>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</si>
  <si>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</si>
  <si>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</si>
  <si>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</si>
  <si>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</si>
  <si>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</si>
  <si>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</si>
  <si>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</si>
  <si>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</si>
  <si>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</si>
  <si>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</si>
  <si>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</si>
  <si>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</si>
  <si>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</si>
  <si>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</si>
  <si>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</si>
  <si>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</si>
  <si>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</si>
  <si>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</si>
  <si>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READ ME: Cell L6 is a toggle in the Excel workbook. It switches between the Projected Rate results and the True-Up results.</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</si>
  <si>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</si>
  <si>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</si>
  <si>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</si>
  <si>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</si>
  <si>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</si>
  <si>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</si>
  <si>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</si>
  <si>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</si>
  <si>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</si>
  <si>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Credit for Transmission Customer Network Service revenues is applied in the True-Up calculation and Projected calculation.</t>
  </si>
  <si>
    <t>Sum of (FF1 300.b.21 + 300.b.22) for total above.</t>
  </si>
  <si>
    <t>Fiber Optics Equalization Revenue and Fiber Optics expense in Account 921010 are allocated on the Wages &amp; Salary Allocator.</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</si>
  <si>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</si>
  <si>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</si>
  <si>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</si>
  <si>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</si>
  <si>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</si>
  <si>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</si>
  <si>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</si>
  <si>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</si>
  <si>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</si>
  <si>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</si>
  <si>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</si>
  <si>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</si>
  <si>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</si>
  <si>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</si>
  <si>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</si>
  <si>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</si>
  <si>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</si>
  <si>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</si>
  <si>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</si>
  <si>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</si>
  <si>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Non - Payroll</t>
  </si>
  <si>
    <t xml:space="preserve">D </t>
  </si>
  <si>
    <t>Payroll Loading</t>
  </si>
  <si>
    <t>Entergy Services, Inc. 408155 Franchise Tax-Misc  (Ln 4)</t>
  </si>
  <si>
    <t>A positive result when subtracted in Appendix A or MISO Cover will lower O&amp;M.  A negative result will increase O&amp;M.</t>
  </si>
  <si>
    <t>Units of Property Deduction - transmission</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</si>
  <si>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</si>
  <si>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</si>
  <si>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</si>
  <si>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</si>
  <si>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</si>
  <si>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</si>
  <si>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</si>
  <si>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</si>
  <si>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</si>
  <si>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</si>
  <si>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</si>
  <si>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</si>
  <si>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</si>
  <si>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</si>
  <si>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</si>
  <si>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Transmission O&amp;M Excluding Account 561 (Accounts 560 through 574)</t>
  </si>
  <si>
    <t>Production O&amp;M (Accounts 500 - 557)</t>
  </si>
  <si>
    <t>Entergy is not seeking recovery at FERC of the EGSL and ELL merger expenses that are reflected in FERC Form 1 amounts.</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</si>
  <si>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</si>
  <si>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</si>
  <si>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</si>
  <si>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</si>
  <si>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</si>
  <si>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</si>
  <si>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</si>
  <si>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</si>
  <si>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</si>
  <si>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</si>
  <si>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</si>
  <si>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</si>
  <si>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</si>
  <si>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</si>
  <si>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</si>
  <si>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</si>
  <si>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</si>
  <si>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</si>
  <si>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</si>
  <si>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</si>
  <si>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Payroll O&amp;M Excluding A&amp;G  Sum (Ln 12 Thru Ln 20)</t>
  </si>
  <si>
    <t xml:space="preserve">Positive values above result in decreases to expense.  Similarly, negative amounts are increases to expense. </t>
  </si>
  <si>
    <t>Transmission Net</t>
  </si>
  <si>
    <t>(Over) / Under Collections Balance (3)</t>
  </si>
  <si>
    <t>Other Revenue Requirement Adjustment(s) (4)</t>
  </si>
  <si>
    <t>…</t>
  </si>
  <si>
    <t>….</t>
  </si>
  <si>
    <t>4.XX</t>
  </si>
  <si>
    <t>2.XX</t>
  </si>
  <si>
    <t>7.XX</t>
  </si>
  <si>
    <t>1.XX</t>
  </si>
  <si>
    <t>6.XX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</si>
  <si>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</si>
  <si>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</si>
  <si>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</si>
  <si>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</si>
  <si>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</si>
  <si>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</si>
  <si>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</si>
  <si>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</si>
  <si>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</si>
  <si>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</si>
  <si>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</si>
  <si>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</si>
  <si>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</si>
  <si>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</si>
  <si>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FF1 p321 Sum Lines 85 to 92 Column B</t>
  </si>
  <si>
    <t>Imputed True-Up Year Revenues</t>
  </si>
  <si>
    <t>Total Imputed True-Up Year Revenues</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</si>
  <si>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</si>
  <si>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Net RTO/MISO related Start-Up costs recorded in True-Up Year</t>
  </si>
  <si>
    <t>WP01 True-Up: Interest &amp; Amortization for Attachment O Transmission Revenue Requirement Over/Under Collection Balance (1)</t>
  </si>
  <si>
    <t>Plus Account 565 - Transmission Equalization Payments to Associated Companies</t>
  </si>
  <si>
    <t xml:space="preserve"> FF1 p332.h</t>
  </si>
  <si>
    <t>This highlighted area will NOT be included in the filed templates or off to the side for Excel docs that are provided.</t>
  </si>
  <si>
    <t>ADIT net of FASB 109 Allocated to Transmission</t>
  </si>
  <si>
    <t>Attachment O-ENOI</t>
  </si>
  <si>
    <t>WP AJ4 - EGSL &amp; ELL Merger Costs (1) (2)</t>
  </si>
  <si>
    <t>Gulf Outlet 69Kv Loop - TLA - ENOI - 0081</t>
  </si>
  <si>
    <t>NOP - 0081</t>
  </si>
  <si>
    <t xml:space="preserve">Accrued interest on tax deficiencies - FIN48 accrued interest. </t>
  </si>
  <si>
    <t>This represents the inclusion in taxable income of system agreement rough production cost equalization payments received.</t>
  </si>
  <si>
    <t>CIAC is related to plant.</t>
  </si>
  <si>
    <t>Timing difference for rent expense.</t>
  </si>
  <si>
    <t>This represents the elimination of book expenses for the future clean up of hazardous waste at various locations.  These costs are not deductible for tax purposes until actually incurred. (Account 242U95)</t>
  </si>
  <si>
    <t>Market Street Sale</t>
  </si>
  <si>
    <t>FERC account 229 - Accum provision for rate refund and 242010 Undistributed refunds not deducted for tax.</t>
  </si>
  <si>
    <t>Employee Benefit - account 232008</t>
  </si>
  <si>
    <t>Employee Benefit - account 232009</t>
  </si>
  <si>
    <t>Federal Net Operating Loss carryforward is related to all tax deductions including bonus tax depreciation</t>
  </si>
  <si>
    <t>State Net Operating Loss carryforward is related to all tax deductions including bonus tax depreciation</t>
  </si>
  <si>
    <t>Employee tax credit carryforwards.</t>
  </si>
  <si>
    <t>Alternative Minimum tax credit carryforwards caused by a preference on tax depreciation.</t>
  </si>
  <si>
    <t>Federal ADIT on state tax accruals is related to net operating loss carryforward.</t>
  </si>
  <si>
    <t>Deferred Storm Costs &amp; prefunded insurance reserve.</t>
  </si>
  <si>
    <t>ADIT on account 128312.</t>
  </si>
  <si>
    <t>Regulatory Asset</t>
  </si>
  <si>
    <t>Deferred O&amp;M Storm Amortization</t>
  </si>
  <si>
    <t>p.207.58g</t>
  </si>
  <si>
    <t>Entergy New Orleans, Inc.</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</si>
  <si>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</si>
  <si>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5.  Deferred income taxes arise when items are included in taxable income in different periods than they are included in rates, therefore if the item giving rise to the ADIT is not included in the formula, the associated ADIT amount shall be excluded.</t>
  </si>
  <si>
    <t>WP AJ1 - RTO/MISO Start-up Costs (1) (4)</t>
  </si>
  <si>
    <t>MISO Cover</t>
  </si>
  <si>
    <t xml:space="preserve">Attachment O Revenues for True-up purposes are those Bundled Load Exemption, Network, and Long-Term Firm revenues whose demands are summed in the peak demand calculations and are the denominator in the Point-to-Point rate calculation. </t>
  </si>
  <si>
    <t>B=C+D+E+F</t>
  </si>
  <si>
    <t>F=G+H</t>
  </si>
  <si>
    <t>Sum of (MISO Schedule 42a Revenue + MISO Schedule 42b Revenue) = Account 456142</t>
  </si>
  <si>
    <t>Added 2014</t>
  </si>
  <si>
    <t>Added 2013</t>
  </si>
  <si>
    <t>Gas Distribution</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</si>
  <si>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</si>
  <si>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</si>
  <si>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t>
    </r>
    <r>
      <rPr>
        <sz val="12"/>
        <rFont val="Arial"/>
        <family val="2"/>
      </rPr>
      <t xml:space="preserve"> facilities constructed or purchased by Entergy on or after March 15, 2000 (FERC Order 2003: Docket RM02-1-000, Issued July 24, 2003, page 154).</t>
    </r>
  </si>
  <si>
    <r>
      <t xml:space="preserve">Charges to Account 930.2 shall be subject to review and challenge as part of the protocols procedures.  Notwithstanding the specific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</si>
  <si>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 xml:space="preserve">Less True-up Amount Billed in True-up Year (2) </t>
  </si>
  <si>
    <t>Attachment O Revenues For True-up (1)</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</si>
  <si>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</si>
  <si>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</si>
  <si>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</si>
  <si>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</si>
  <si>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F (6)</t>
  </si>
  <si>
    <t>G (7)</t>
  </si>
  <si>
    <r>
      <rPr>
        <sz val="10"/>
        <rFont val="Arial"/>
        <family val="2"/>
      </rPr>
      <t>Total True-up Amount</t>
    </r>
  </si>
  <si>
    <t>Total True Up Amount with Interest</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</si>
  <si>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</si>
  <si>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</si>
  <si>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</si>
  <si>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</si>
  <si>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True-up with Interest</t>
  </si>
  <si>
    <t>Appendix A True-up Column Line 193</t>
  </si>
  <si>
    <t>A/C 2281 Storm Reserve Accrual Reclassification To Transm. O&amp;M</t>
  </si>
  <si>
    <t>A/C 2281 Storm Reserve Accrual Reclassification</t>
  </si>
  <si>
    <t>Total Transmission O&amp;M (Line 7 + Line 8)</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</si>
  <si>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</si>
  <si>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</si>
  <si>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 the docket number in which FERC approved each adjustment.  No adjustments will be included absent FERC approval.</t>
    </r>
  </si>
  <si>
    <t>ITC Transaction Charge                                (Enter as Negative)</t>
  </si>
  <si>
    <t>EGSL/ELL Merger Expense Adjustment          (Enter as Negative)</t>
  </si>
  <si>
    <t>ITC Transaction Costs Not Charged to Customers   (Enter as Negative)</t>
  </si>
  <si>
    <t>EGSL/ELL Merger Expense Adjustment               (Enter as Negative)</t>
  </si>
  <si>
    <t>Retail-related prepayments, such as taxes imposed on retail customers, services, operations or revenues, are excluded from allocation in the transmission revenue requirement and assigned to the “Other” category.</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</si>
  <si>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</si>
  <si>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See Appendix A Note D. For the accrual OpCo's (EAI, EMI, ENOI, and ETI), the difference is the annual Account 926 accrual amount less Entergy's annual FERC 205 PBOP filing amount (FERC allowed expenses).</t>
  </si>
  <si>
    <t xml:space="preserve"> N/A</t>
  </si>
  <si>
    <t>DO NOT PRINT</t>
  </si>
  <si>
    <t>Agreement with Joint Customers and MISO to complete the Description of the Group on the Blank Template and to leave Col C highlighted because the Group could change</t>
  </si>
  <si>
    <t xml:space="preserve">Agreed to insert the reference in Col H of the Blank Template for A/Cs 930.2 &amp; 928 and to leave the cells highlighted because the reference could change </t>
  </si>
  <si>
    <t>Occupational License</t>
  </si>
  <si>
    <t>Corporate Franchise</t>
  </si>
  <si>
    <t>263.04.i</t>
  </si>
  <si>
    <t>263.02.i</t>
  </si>
  <si>
    <t>263.03.i</t>
  </si>
  <si>
    <t>263.05.i</t>
  </si>
  <si>
    <t>263.12.i</t>
  </si>
  <si>
    <t>263.09.i</t>
  </si>
  <si>
    <t>263.15.i</t>
  </si>
  <si>
    <t>263.14.i</t>
  </si>
  <si>
    <t>263.19.i</t>
  </si>
  <si>
    <t>Note (7)</t>
  </si>
  <si>
    <t>263.29.i</t>
  </si>
  <si>
    <t>263.18.i</t>
  </si>
  <si>
    <t>263.10.i</t>
  </si>
  <si>
    <t>263.16.i</t>
  </si>
  <si>
    <t>263.26.i</t>
  </si>
  <si>
    <t>190111: Intrst/Tax-Tax Deficienci-Fed</t>
  </si>
  <si>
    <t>190112: Intrst/Tax-Tax Deficienci-St</t>
  </si>
  <si>
    <t>190151: Taxable Unbilled Revenue-Fed</t>
  </si>
  <si>
    <t>190152: Taxable Unbilled Revenue-St</t>
  </si>
  <si>
    <t>190161: Property Ins Reserve-Fed</t>
  </si>
  <si>
    <t>190162: Property Ins Reserve-State</t>
  </si>
  <si>
    <t>190163: Capitalized Repairs - Fed</t>
  </si>
  <si>
    <t>190164: Capitalized Repairs - State</t>
  </si>
  <si>
    <t>190165: Syst Agrmt Equal Reg Liab-Fed</t>
  </si>
  <si>
    <t>190166: Sys Agrmt Equal Reg Liab-State</t>
  </si>
  <si>
    <t>190171: Inj &amp; Damages Reserve-Fed</t>
  </si>
  <si>
    <t>190172: Inj &amp; Damages Reserve-State</t>
  </si>
  <si>
    <t>190181: Contrib In Aid Of Constr-Fed</t>
  </si>
  <si>
    <t>190182: Contrib In Aid Of Constr-St</t>
  </si>
  <si>
    <t>190191: Customer Deposits-Fed</t>
  </si>
  <si>
    <t>190192: Customer Depsoits-State</t>
  </si>
  <si>
    <t>190211: Unfunded Pension Exp-Fed</t>
  </si>
  <si>
    <t>190212: Unfunded Pension Exp-State</t>
  </si>
  <si>
    <t>190213: SFAS 158 Def Tax Asset - Fed</t>
  </si>
  <si>
    <t>190214: SFAS 158 Def Tax Asset - State</t>
  </si>
  <si>
    <t>190215: Supplemental Pension Plan-Fed</t>
  </si>
  <si>
    <t>190216: Supplemental Pension Plan-St</t>
  </si>
  <si>
    <t>190221: Fas 106 Other Retire Ben-Fed</t>
  </si>
  <si>
    <t>190222: Fas 106 Other Retire Ben-State</t>
  </si>
  <si>
    <t>190251: Removal Cost - Fed</t>
  </si>
  <si>
    <t>190252: Removal Cost - State</t>
  </si>
  <si>
    <t>190331: Accrued Medical Claims-Fed</t>
  </si>
  <si>
    <t>190332: Accrued Medical Claims-State</t>
  </si>
  <si>
    <t>190341: Accrued Dues &amp; Contrib-Fed</t>
  </si>
  <si>
    <t>190342: Accrued Dues &amp; Contr-St</t>
  </si>
  <si>
    <t>190351: Uncollect Accts Reserve-Fed</t>
  </si>
  <si>
    <t>190352: Uncollect Accts Reserve-St</t>
  </si>
  <si>
    <t>190381: Partnership Income/Loss - Fed</t>
  </si>
  <si>
    <t>190382: Partnership Income/Loss-State</t>
  </si>
  <si>
    <t>190391: Contract Def Revenue-Fed</t>
  </si>
  <si>
    <t>190392: Contract Def Revenue-State</t>
  </si>
  <si>
    <t>190416: Lease - Rental Expense - St</t>
  </si>
  <si>
    <t>190421: Environmental Reserve-Fed</t>
  </si>
  <si>
    <t>190422: Environmental Reserve-State</t>
  </si>
  <si>
    <t>190443: Waste Site Clean Up Costs Fed</t>
  </si>
  <si>
    <t>190444: Waste Site Clean Up Cost State</t>
  </si>
  <si>
    <t>190451: Incentive-Fed</t>
  </si>
  <si>
    <t>190452: Incentive-State</t>
  </si>
  <si>
    <t>190463: Bldg S/L Tax Gain-Fed</t>
  </si>
  <si>
    <t>190464: Bldg S/L Tax Gain-State</t>
  </si>
  <si>
    <t>190513: Entergy Stck Invstmnt Plan-Fed</t>
  </si>
  <si>
    <t>190514: Entergy Stock Invstmnt Plan-St</t>
  </si>
  <si>
    <t>190517: Long-Term Incentive Comp-Feder</t>
  </si>
  <si>
    <t>190518: Long-Term Incentive Comp-State</t>
  </si>
  <si>
    <t>190519: Stock Options - Federal</t>
  </si>
  <si>
    <t>190520: Stock Options - State</t>
  </si>
  <si>
    <t>190523: Stock Options Exercised-Fed</t>
  </si>
  <si>
    <t>190524: Stock Options Excerised-St</t>
  </si>
  <si>
    <t>190525: Restricted Stock Awards-Fed</t>
  </si>
  <si>
    <t>190526: Restricted Stock Awards-State</t>
  </si>
  <si>
    <t>190531: Deferred Director'S Fees-Fed</t>
  </si>
  <si>
    <t>190532: Deferred Director'S Fees-St</t>
  </si>
  <si>
    <t>190603: Rate Refund-Federal</t>
  </si>
  <si>
    <t>190604: Rate Refund-State</t>
  </si>
  <si>
    <t>190609: Sale Of Epa Allowances - Fed</t>
  </si>
  <si>
    <t>190610: Sale Of Epa Allowances - St</t>
  </si>
  <si>
    <t>190613: Severance Accrual - Federal</t>
  </si>
  <si>
    <t>190614: Severance Accrual - State</t>
  </si>
  <si>
    <t>190641: Re-Organization Costs-Federal</t>
  </si>
  <si>
    <t>190642: Re-Organization Costs - State</t>
  </si>
  <si>
    <t>190701: Fas 109 Adjustment - Fed</t>
  </si>
  <si>
    <t>190702: Fas 109 Adjustment - State</t>
  </si>
  <si>
    <t>190881: ADIT-NOL C/F-TAP-FED - Current</t>
  </si>
  <si>
    <t>190882: Adit-Nol C/F - State-Current</t>
  </si>
  <si>
    <t>190883: ADIT-Contrib CF-TAP-FED-NonCur</t>
  </si>
  <si>
    <t>190884: ADIT-Tax CR C/F-TAP-Fed-NonCur</t>
  </si>
  <si>
    <t>190886: ADIT-AMT Cr C/F-TAP-Fed-NonCur</t>
  </si>
  <si>
    <t>190887: Fed Offset-St NonCur Carryover</t>
  </si>
  <si>
    <t>190983: ADIT-NOL C/F TAP-Fed-Non-curr</t>
  </si>
  <si>
    <t>190984: ADIT-NOL C/F-State-Non-current</t>
  </si>
  <si>
    <t>190986: ADIT-Contrib C/F St Non-Cur</t>
  </si>
  <si>
    <t>282111: Liberalized Depreciation-Fed</t>
  </si>
  <si>
    <t>282112: Liberalized Deprec - State</t>
  </si>
  <si>
    <t>282123: Insurance Federal</t>
  </si>
  <si>
    <t>282124: Insurance State</t>
  </si>
  <si>
    <t>282117: Section 481A Adj Fed</t>
  </si>
  <si>
    <t>282118: Section 481A Adj State</t>
  </si>
  <si>
    <t>282171: Interest Cap - Afdc - Fed</t>
  </si>
  <si>
    <t>282172: Interest Cap - Afdc - State</t>
  </si>
  <si>
    <t>282223: Repairs &amp; Maint Exp - Federal</t>
  </si>
  <si>
    <t>282224: Repairs &amp; Maint Exp - State</t>
  </si>
  <si>
    <t>282241: R&amp;E Deduction - Fed</t>
  </si>
  <si>
    <t>282242: R&amp;E Deduction - St</t>
  </si>
  <si>
    <t>282245: Warranty Expense - Federal</t>
  </si>
  <si>
    <t>282246: Warranty Expense - State</t>
  </si>
  <si>
    <t>282351: Tax Int (Avoided Cost)-Fed</t>
  </si>
  <si>
    <t>282352: Tax Int (Avoided Cost) - St</t>
  </si>
  <si>
    <t>282461: Computer Software Cap - Fed</t>
  </si>
  <si>
    <t>282462: Computer Software Cap - State</t>
  </si>
  <si>
    <t>282469: Comm Dev Block Grant-Federal</t>
  </si>
  <si>
    <t>282470: Comm Dev Block Grant-State</t>
  </si>
  <si>
    <t>282533: Casualty Loss Deduction-Fed</t>
  </si>
  <si>
    <t>282534: Casualty Loss Deduction-St</t>
  </si>
  <si>
    <t>282701: Fas 109 Adjustment - Fed</t>
  </si>
  <si>
    <t>282702: Fas 109 Adjustment - State</t>
  </si>
  <si>
    <t>282901: 263A Method Change-DSC - Fed</t>
  </si>
  <si>
    <t>282902: 263A Method Change - DSC-State</t>
  </si>
  <si>
    <t>282903: Units of Production Ded - Fed</t>
  </si>
  <si>
    <t>282904: Units of Production Ded - St</t>
  </si>
  <si>
    <t>282905: Tangible Prop Regs-481 Adj-Fed</t>
  </si>
  <si>
    <t>282906: Tangible Prop Regs-481-St</t>
  </si>
  <si>
    <t>282907: Unit of Property Ded-Trans-Fed</t>
  </si>
  <si>
    <t>282908: Unit of Property Ded-Trans-St</t>
  </si>
  <si>
    <t>282975: Depreciation Expense - Fed</t>
  </si>
  <si>
    <t>282976: Depreciation Expense - State</t>
  </si>
  <si>
    <t>283111: Deferred Fuel/Gas - Fed</t>
  </si>
  <si>
    <t>283112: Deferred Fuel/Gas - State</t>
  </si>
  <si>
    <t>283151: Regulatory Asset - Federal</t>
  </si>
  <si>
    <t>283152: Regulatory Asset - State</t>
  </si>
  <si>
    <t>283157: Regulatory Asset-MISO-Fed</t>
  </si>
  <si>
    <t>283158: Regulatory Asset-MISO-State</t>
  </si>
  <si>
    <t>283175: Michoud Plant Outage-Fed</t>
  </si>
  <si>
    <t>283176: Michoud Plant Outage-St</t>
  </si>
  <si>
    <t>283213: SFAS 158 Def Tax Liability-Fed</t>
  </si>
  <si>
    <t>283214: SFAS 158 Def Tax Liability-St</t>
  </si>
  <si>
    <t>283221: Bond Reacquisition Loss - Fed</t>
  </si>
  <si>
    <t>283222: Bond Reacquisition Loss - St</t>
  </si>
  <si>
    <t>283225: Section 475 Adjustment-Fed</t>
  </si>
  <si>
    <t>283226: Section 475 Adjustment-St</t>
  </si>
  <si>
    <t>283227: Y2K Costs Deferral - Fed</t>
  </si>
  <si>
    <t>283228: Y2K Costs Deferral - State</t>
  </si>
  <si>
    <t>283245: Distribution Maintenance - Fed</t>
  </si>
  <si>
    <t>283246: Distribution Maintenance - St</t>
  </si>
  <si>
    <t>283247: Transco Costs - Federal</t>
  </si>
  <si>
    <t>283248: Transco Costs - State</t>
  </si>
  <si>
    <t>283249: Deferred Storm Costs - Federal</t>
  </si>
  <si>
    <t>283250: Deferred Storm costs - State</t>
  </si>
  <si>
    <t>283701: Fas 109 Adjustment - Fed</t>
  </si>
  <si>
    <t>283702: Fas 109 Adjustment - State</t>
  </si>
  <si>
    <t>283345: Misc Cap Costs-Fed</t>
  </si>
  <si>
    <t>283346: Misc Cap Costs-State</t>
  </si>
  <si>
    <t>283347: Insurance Escrow-Fed</t>
  </si>
  <si>
    <t>283348: Insurance Escrow-State</t>
  </si>
  <si>
    <t>283349: Reg Asset-Storm Costs-Fed</t>
  </si>
  <si>
    <t>283350: Reg Asset-Storm Costs-State</t>
  </si>
  <si>
    <t>283361: Prepaid Expenses Federal</t>
  </si>
  <si>
    <t>283362: Prepaid Expenses State</t>
  </si>
  <si>
    <t>283901: 263A Method Change - Federal</t>
  </si>
  <si>
    <t>283902: 263A Method Change - State</t>
  </si>
  <si>
    <t>165000: Prepayments</t>
  </si>
  <si>
    <t>165004: Pp Taxes-Regulatory Commis.</t>
  </si>
  <si>
    <t>165005: Pp Taxes - Corp Franch Tax</t>
  </si>
  <si>
    <t>165100: Prepaid Insurance</t>
  </si>
  <si>
    <t>165400: Prepaid Ins Directors&amp;Officers</t>
  </si>
  <si>
    <t>165510: Prepaid Dues to EEI</t>
  </si>
  <si>
    <t>165520: Ad Valorem Taxes</t>
  </si>
  <si>
    <t>165603: PPD IQNavigator, Inc</t>
  </si>
  <si>
    <t>165RNT: Prepaid Rent Expense</t>
  </si>
  <si>
    <t>165SAI: PrePaid Designated Servic-SAIC</t>
  </si>
  <si>
    <t>Street Use Franchise</t>
  </si>
  <si>
    <t>456000: Other Electric Revenues</t>
  </si>
  <si>
    <t>456001: Fees-Gust/Ike Securitization</t>
  </si>
  <si>
    <t>456002: Distribution Substation Svc.</t>
  </si>
  <si>
    <t>456003: MISO Mkt Sch 11 Wholesale Dist</t>
  </si>
  <si>
    <t>456010: Misc Rec - Ouachita Upgrades</t>
  </si>
  <si>
    <t>4560MS: Third Party Sales of Inventory</t>
  </si>
  <si>
    <t>456100: Miscellaneous Revenue</t>
  </si>
  <si>
    <t>456101: Side Lights</t>
  </si>
  <si>
    <t>456102: Gia Annual Fees</t>
  </si>
  <si>
    <t>456104: Cwl Transmission Revenue</t>
  </si>
  <si>
    <t>456105: Transmisn Service Rev-Non Firm</t>
  </si>
  <si>
    <t>456107: Network Transmission Revenue</t>
  </si>
  <si>
    <t>456107: Network Transmission Revenue- Nits Dist. Sub</t>
  </si>
  <si>
    <t>456108: Schdlg Syst Control &amp; Dispatch</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</si>
  <si>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</si>
  <si>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</si>
  <si>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</si>
  <si>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</si>
  <si>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</si>
  <si>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</si>
  <si>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456120: Fiber Optics (1)</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</si>
  <si>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</si>
  <si>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</si>
  <si>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</si>
  <si>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</si>
  <si>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</si>
  <si>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</si>
  <si>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</si>
  <si>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</si>
  <si>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</si>
  <si>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</si>
  <si>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</si>
  <si>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456300: Unbilled Revenue-Wholesale</t>
  </si>
  <si>
    <t>456410: Trans Equal Charges</t>
  </si>
  <si>
    <t>456420: Affiliate service fee revenue</t>
  </si>
  <si>
    <t>456500: Other Elec Rev - Discounts</t>
  </si>
  <si>
    <t>228100: Accum Prov For Prop Insurance</t>
  </si>
  <si>
    <t>228101: Int on Accum Prov for Prop Ins</t>
  </si>
  <si>
    <t>228151: Insurance proceeds-O&amp;M</t>
  </si>
  <si>
    <t>228153: Securitization proceeds</t>
  </si>
  <si>
    <t>2281FR: Property Ins. Prov. Reclass</t>
  </si>
  <si>
    <t>2281LB: Storm Damage Reserve Lock Box</t>
  </si>
  <si>
    <t>228200: Accum Prov For Injuries &amp; Dam</t>
  </si>
  <si>
    <t>228210: Reserve For Inj &amp; Dam - Legal</t>
  </si>
  <si>
    <t>228301: Acc Prov-Pen&amp;Ben-Hosp Res-Adj</t>
  </si>
  <si>
    <t>228308: AccProv-OPEB Liab-FundedStatus</t>
  </si>
  <si>
    <t>228400: Acc Misc-Operating Prov</t>
  </si>
  <si>
    <t>228401: Accum Prov - Coal Car Maint</t>
  </si>
  <si>
    <t>228402: Ltd - Decomm &amp; Decontam</t>
  </si>
  <si>
    <t>228403: Acc Provision-Commer Litigatio</t>
  </si>
  <si>
    <t>143983: Aecc Co-Owner</t>
  </si>
  <si>
    <t>143985: Conway Co-Owner</t>
  </si>
  <si>
    <t>143987: Jonesboro Co-Owner</t>
  </si>
  <si>
    <t>143995: West Memphis Utilities Co-Own</t>
  </si>
  <si>
    <t>4031AM: Deprec Exp billed from Serv Co</t>
  </si>
  <si>
    <t>408110: Employment Taxes</t>
  </si>
  <si>
    <t>500000: Oper Supervision &amp; Engineerin</t>
  </si>
  <si>
    <t>506000: Misc Steam Power Expenses</t>
  </si>
  <si>
    <t>507000: Rents - Steam Power Generation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</si>
  <si>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</si>
  <si>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</si>
  <si>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</si>
  <si>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</si>
  <si>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</si>
  <si>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</si>
  <si>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</si>
  <si>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</si>
  <si>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</si>
  <si>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</si>
  <si>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</si>
  <si>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567000: Rents - Transmission System</t>
  </si>
  <si>
    <t>568000: Maint. Supervision &amp; Engineer</t>
  </si>
  <si>
    <t>569000: Maintenance Of Structures</t>
  </si>
  <si>
    <t>569100: Maint Transm Computer&amp;Telecom</t>
  </si>
  <si>
    <t>573000: Maint Misc Transmission Plant</t>
  </si>
  <si>
    <t>575100: Regional Energy Mkts-Oper Supv</t>
  </si>
  <si>
    <t>903002: Collection Expense</t>
  </si>
  <si>
    <t>905000: Misc Customer Accounts Exp</t>
  </si>
  <si>
    <t>909000: Information &amp; Instruct Adv Ex</t>
  </si>
  <si>
    <t>912000: Demon. &amp; Selling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</si>
  <si>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</si>
  <si>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</si>
  <si>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</si>
  <si>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</si>
  <si>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</si>
  <si>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</si>
  <si>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</si>
  <si>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</si>
  <si>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</si>
  <si>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</si>
  <si>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</si>
  <si>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511000: Maintenance Of Structures</t>
  </si>
  <si>
    <t>514000: Maintenance Of Misc Steam Plt</t>
  </si>
  <si>
    <t>517000: Operation, Supervision &amp; Engr</t>
  </si>
  <si>
    <t>524000: Misc. Nuclear Power Expenses</t>
  </si>
  <si>
    <t>549000: Misc Oth Pwr Generation Exps</t>
  </si>
  <si>
    <t>554000: Maint-Misc Other Pwr Gen Plt</t>
  </si>
  <si>
    <t>570000: Maint. Of Station Equipment</t>
  </si>
  <si>
    <t>163000: Stores Expenses Undistributed</t>
  </si>
  <si>
    <t>184001: Operations  Vehicle</t>
  </si>
  <si>
    <t>417100: Expenses- Nonutility Oper</t>
  </si>
  <si>
    <t>580000: Operation Supervision&amp;Enginee</t>
  </si>
  <si>
    <t>586000: Meter Expenses</t>
  </si>
  <si>
    <t>588000: Misc Distribution Expense</t>
  </si>
  <si>
    <t>592000: Maint. Of Station Equipment</t>
  </si>
  <si>
    <t>903001: Customer Records</t>
  </si>
  <si>
    <t>907000: Supervision</t>
  </si>
  <si>
    <t>FERC Energy Regulatory Commission Annual Charges (4)</t>
  </si>
  <si>
    <t>Other FERC Transmission Dockets</t>
  </si>
  <si>
    <t xml:space="preserve"> I</t>
  </si>
  <si>
    <t xml:space="preserve"> K</t>
  </si>
  <si>
    <t xml:space="preserve"> L</t>
  </si>
  <si>
    <t xml:space="preserve"> M</t>
  </si>
  <si>
    <t>Year</t>
  </si>
  <si>
    <t>20__</t>
  </si>
  <si>
    <t>Transmission Pricing Zone</t>
  </si>
  <si>
    <t>ENTO</t>
  </si>
  <si>
    <t>Avg 12 CP</t>
  </si>
  <si>
    <t>Peak Day</t>
  </si>
  <si>
    <t>Peak Hr</t>
  </si>
  <si>
    <t>Network Customers</t>
  </si>
  <si>
    <t>8.XX</t>
  </si>
  <si>
    <t>11.XX</t>
  </si>
  <si>
    <t>Long Term Firm PTP</t>
  </si>
  <si>
    <t>14.XX</t>
  </si>
  <si>
    <t>OpCo Native Load</t>
  </si>
  <si>
    <t>ENMP</t>
  </si>
  <si>
    <t>TPZ load</t>
  </si>
  <si>
    <t>p.400.1.b</t>
  </si>
  <si>
    <t>p.400.2.b</t>
  </si>
  <si>
    <t>p.400.3.b</t>
  </si>
  <si>
    <t>p.400.5.b</t>
  </si>
  <si>
    <t>p.400.6.b</t>
  </si>
  <si>
    <t>p.400.7.b</t>
  </si>
  <si>
    <t>p.400.9.b</t>
  </si>
  <si>
    <t>p.400.10.b</t>
  </si>
  <si>
    <t>p.400.11.b</t>
  </si>
  <si>
    <t>p.400.13.b</t>
  </si>
  <si>
    <t>p.400.14.b</t>
  </si>
  <si>
    <t>p.400.15.b</t>
  </si>
  <si>
    <t>Adjustments (7)</t>
  </si>
  <si>
    <t>See MISO May 31, 2013 filing in FERC Docket ER13-945 for Grandfathered status.</t>
  </si>
  <si>
    <t>Rounded amounts are reported on Page 400, FERC Form 1.</t>
  </si>
  <si>
    <t>Adjustments as needed or applicable.</t>
  </si>
  <si>
    <t>(8)</t>
  </si>
  <si>
    <t>190115: New Nuclear DevelopmntCost-Fed</t>
  </si>
  <si>
    <t>190116: New Nuclear Developmnt Cost-St</t>
  </si>
  <si>
    <t>Step up in tax basis of plant.</t>
  </si>
  <si>
    <t>190357: Restructuring Basis StepUp-Fed</t>
  </si>
  <si>
    <t>190358: Restructuring Basis Step Up-St</t>
  </si>
  <si>
    <t>190363: Basis Step Up - Fed</t>
  </si>
  <si>
    <t>190364: Basis Step Up - State</t>
  </si>
  <si>
    <t>Securitized Plant Related.</t>
  </si>
  <si>
    <t>2823NW: New Nuclear-DIT</t>
  </si>
  <si>
    <t>282451: Contract Termination Costs-Fed</t>
  </si>
  <si>
    <t>282452: Contract Termination Costs-St</t>
  </si>
  <si>
    <t>282455: Business Dev Costs Cap- Fed</t>
  </si>
  <si>
    <t>282456: Business Dev Costs Cap- St</t>
  </si>
  <si>
    <t>282475: Contra Securitization -Federal</t>
  </si>
  <si>
    <t>282476: Contra Securitization - State</t>
  </si>
  <si>
    <t>Account 1823HC - HCM Deferral</t>
  </si>
  <si>
    <t>283155: Reg Asset LG3 O/U-Fed</t>
  </si>
  <si>
    <t>283156: Reg Asset LG3 O/U-State</t>
  </si>
  <si>
    <t>283301: Regulatory Asset-HCM-Fed</t>
  </si>
  <si>
    <t>283302: Regulatory Asset-HCM-State</t>
  </si>
  <si>
    <t>WP AJ3 - ENOI General Plant Reserve Deficiency 15-Year Amortization (1)</t>
  </si>
  <si>
    <t>D = B - C</t>
  </si>
  <si>
    <t>Balance (3)</t>
  </si>
  <si>
    <t>Amortization</t>
  </si>
  <si>
    <t>Amortization Year</t>
  </si>
  <si>
    <t>Starting</t>
  </si>
  <si>
    <t>Ending</t>
  </si>
  <si>
    <t>Annual (2)</t>
  </si>
  <si>
    <t>Depreciation Expense (Account 403)</t>
  </si>
  <si>
    <t>Entergy shall recover 100% of the General Plant Reserve Deficiency amounts over a 15-year period for the years 2016 through 2030, but will not recover any return on the General Plant Reserve Depreciation amounts per the Settlement Agreement in ER16-227.</t>
  </si>
  <si>
    <t>Rounded amount.</t>
  </si>
  <si>
    <t>See Appendix A Note "LL".  The General Plant Reserve Deficiency adjustment amount is $9,003,213.</t>
  </si>
  <si>
    <t>For  the 12 Months Ended 12/31/2016</t>
  </si>
  <si>
    <t>Expense</t>
  </si>
  <si>
    <t>301-Organization (15 year life)</t>
  </si>
  <si>
    <t>303-Miscellaneous Intangible Plant (3 year life)</t>
  </si>
  <si>
    <t>303-Miscellaneous Intangible Plant (15 year life)</t>
  </si>
  <si>
    <t>303-Miscellaneous Intangible Plant (20 year life)</t>
  </si>
  <si>
    <t>FERC Liberalized Depreciation Adjustment</t>
  </si>
  <si>
    <t>Liberalized tax depreciation adjustment for FERC-only (7)</t>
  </si>
  <si>
    <t>7. A supporting work paper with additional detail for this value will be provided.</t>
  </si>
  <si>
    <t>Accumulated Depreciation (1) (2)</t>
  </si>
  <si>
    <t>See the supporting workpaper for wholesale-only accumulated depreciation and amortization balances for production plant, transmission plant, intangible, and general plant.  The wholesale-only General Plant balances exclude General Plant Reserve Deficiency amounts that are separately amortized within Attachment O.</t>
  </si>
  <si>
    <t>General Plant Reserve Deficiency Amortization</t>
  </si>
  <si>
    <t>LL</t>
  </si>
  <si>
    <t>In accordance with the Settlement Agreement in Docket ER16-227-000, effective January 1, 2016, the General Plant Accumulated Depreciation Reserves shall be adjusted by $9,003,213 for Entergy New Orleans, Inc. to reflect the exclusion of the General Plant Reserve Deficiency.  In addition, that $9,003,213 General Plant Reserve Deficiency adjustment shall be amortized over the 15-year period starting with calendar year 2016 through 2030, and the amortization amounts added to the General Plant Depreciation Expense during the amortization period.</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</si>
  <si>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</si>
  <si>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The base ROE shall be as established by FERC and is subject to change consistent with the outcome of proceedings in FERC Docket No. EL15-45, a final order concerning the ROE issue raised in MDEA v. FERC, (D.C. Circuit Case No. 14-1030), and otherwise subject to change pursuant to a FPA section 205 or 206 proceeding. A 50 basis point adder for RTO participation may be added to the ROE provided the total or maximum ROE may not to exceed the upper end of the zone of reasonableness established by FERC in EL14-12 or other proceeding.</t>
  </si>
  <si>
    <t>Sheet</t>
  </si>
  <si>
    <t>Col</t>
  </si>
  <si>
    <t>Variance</t>
  </si>
  <si>
    <t>Comment</t>
  </si>
  <si>
    <t>WP10</t>
  </si>
  <si>
    <t>Variance due to transmission lines storm damage.</t>
  </si>
  <si>
    <t>Variance due to weather experienced.</t>
  </si>
  <si>
    <t>190241: Deferred Fuel/Gas-Fed</t>
  </si>
  <si>
    <t>190242: Deferred Fuel/Gas-St</t>
  </si>
  <si>
    <t>190611: Retention Accrual- Fed</t>
  </si>
  <si>
    <t>190612: Retention Accrual-State</t>
  </si>
  <si>
    <t>Source Account 232RET</t>
  </si>
  <si>
    <t>Added 2016</t>
  </si>
  <si>
    <t>Added 2015</t>
  </si>
  <si>
    <t>282152: Pensions Capitalized - State</t>
  </si>
  <si>
    <t>282161: Taxes Capitalized - Fed</t>
  </si>
  <si>
    <t>282162: Taxes Capitalized - State</t>
  </si>
  <si>
    <t>Pensions capitalized to plant for book deducted for tax.</t>
  </si>
  <si>
    <t>Taxes capitalized to plant for book deducted for tax.</t>
  </si>
  <si>
    <t>283165: Syst Agrmt Equal Reg Asset-Fed</t>
  </si>
  <si>
    <t>283166: Syst Agrmt Equal Reg Asset-St</t>
  </si>
  <si>
    <t>WP20</t>
  </si>
  <si>
    <t>There was a credit for the storm labor allocation, which would reduce the debit balance in the account. Overall, this is immaterial.</t>
  </si>
  <si>
    <t xml:space="preserve">WP20 </t>
  </si>
  <si>
    <t>The purpose of the FR account is to reclass a debit balance in the storm account to a reg asset 1823FR for FERC reporting purposes.</t>
  </si>
  <si>
    <t>The account is strictly driven by what the city council allows to be recovered through rates of the storm reserve provision. Unless they authorize ENOI to draw it down to pay for storm costs, it will continue to rise.</t>
  </si>
  <si>
    <t>WP17 Revenue Support - Account 456 Out-of-Period Revenue for ER13-948 2014 Test Year True-up</t>
  </si>
  <si>
    <t>Ln.</t>
  </si>
  <si>
    <t>Amount (1)</t>
  </si>
  <si>
    <t xml:space="preserve">Description </t>
  </si>
  <si>
    <t>Period</t>
  </si>
  <si>
    <t>Schedule 7</t>
  </si>
  <si>
    <t>SCH07 FERC ORDER ER13-948 RESETTLEMENT</t>
  </si>
  <si>
    <t>DEC13-MAY14</t>
  </si>
  <si>
    <t>INTEREST - SCH07 FERC ORDER ER13-948 RESETTLEMENT</t>
  </si>
  <si>
    <t>JUN14-DEC14</t>
  </si>
  <si>
    <t>Total Schedule Out of Period Amount</t>
  </si>
  <si>
    <t>Schedule 8</t>
  </si>
  <si>
    <t>SCH08 FERC ORDER ER13-948 RESETTLEMENT</t>
  </si>
  <si>
    <t>INTEREST - SCH08 FERC ORDER ER13-948 RESETTLEMENT</t>
  </si>
  <si>
    <t>Schedule 9</t>
  </si>
  <si>
    <t>SCH09 FERC ORDER ER13-948 RESETTLEMENT</t>
  </si>
  <si>
    <t>DEC13-MAR14</t>
  </si>
  <si>
    <t>INTEREST - SCH09 FERC ORDER ER13-948 RESETTLEMENT</t>
  </si>
  <si>
    <t>JUN14</t>
  </si>
  <si>
    <t>JUL14-SEP14</t>
  </si>
  <si>
    <t>Reclassify True-up amounts from either "Revenue Credits" or "Network Revenue" to "Other"</t>
  </si>
  <si>
    <t xml:space="preserve">Allocate Schedule 7 to LT &amp; ST based 2016 per book Schedule 7 revenue </t>
  </si>
  <si>
    <t>Sch 7 ER13-948 True-up - Out of Period</t>
  </si>
  <si>
    <t>Sch 8 ER13-948 True-up - Out of Period</t>
  </si>
  <si>
    <t>Sch 9 ER13-948 True-up - Out of Period</t>
  </si>
  <si>
    <t>WP AJ - Miscellaneous</t>
  </si>
  <si>
    <t>2/12/2014: MISO-wide ROE was changed in EL14-12; Tariff compliance filing in ER17-215</t>
  </si>
  <si>
    <t>Appendix A Support</t>
  </si>
  <si>
    <t>C = A x B/366</t>
  </si>
  <si>
    <t>ROE</t>
  </si>
  <si>
    <t>Days</t>
  </si>
  <si>
    <t>Effective ROE</t>
  </si>
  <si>
    <t>WP18 - Depreciation &amp; Amortization Rates &amp; Annual FERC Depreciation &amp; Amortization Expense (1)</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</si>
  <si>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</si>
  <si>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Rate</t>
  </si>
  <si>
    <t>Total ADIT Adjusted</t>
  </si>
  <si>
    <t>Function</t>
  </si>
  <si>
    <t>Depreciation</t>
  </si>
  <si>
    <t>BOY (1)</t>
  </si>
  <si>
    <t>EOY (2)</t>
  </si>
  <si>
    <t>Blended</t>
  </si>
  <si>
    <t>Wholesale</t>
  </si>
  <si>
    <t>WP04 Ln 23 &amp; 35 (3)</t>
  </si>
  <si>
    <t>Net</t>
  </si>
  <si>
    <t>Composite Tax Rate</t>
  </si>
  <si>
    <t>App A Ln 150</t>
  </si>
  <si>
    <t xml:space="preserve">"BOY" (Beginning of Year) is the value in the prior test year's FERC Form 1. </t>
  </si>
  <si>
    <t>"EOY" (End of Year) is the value in the current test year's FERC Form 1.</t>
  </si>
  <si>
    <t>WP06 - ADIT Support - Liberalized Depreciation Adjustment</t>
  </si>
  <si>
    <t>Adjustment to Liberalized Depreciation</t>
  </si>
  <si>
    <t>See WP04 Col. B - Intang, Col. F - Transm, Col. I - Distrib, Col. E - Prod, &amp; Col. J - General.</t>
  </si>
  <si>
    <t>WP04 - 13-Month Average Plant In Service &amp; Accumulated Depreciation &amp; Amortization Balances</t>
  </si>
  <si>
    <t>2017-02-12 Added ER16-227</t>
  </si>
  <si>
    <t>2017-02-12 Revised ER16-227</t>
  </si>
  <si>
    <t>2017-02-12 Deleted ER16-227</t>
  </si>
  <si>
    <t>Depreciation Expense &amp; General Plant Reserve Deficiency Amortization Expense</t>
  </si>
  <si>
    <t>2017-02-12 Added per ER16-227</t>
  </si>
  <si>
    <t>2017-02-12: MISO-wide ROE changed in EL14-12; Tariff compliance filing in ER17-215</t>
  </si>
  <si>
    <t>2017-02-12 Revised data source</t>
  </si>
  <si>
    <t>Other Adjustments Depreciation Expense &amp; GPRD Amortization</t>
  </si>
  <si>
    <t>2017-02-12 Added note "LL" per ER16-227</t>
  </si>
  <si>
    <t>2017-02-12 Added ER16-227, Entergy will provide a separate workpaper showing how this amount is computed.</t>
  </si>
  <si>
    <t>2017-02-12 Revised for ER16-227</t>
  </si>
  <si>
    <t>WP21 - Pension</t>
  </si>
  <si>
    <t>F = C+D+E</t>
  </si>
  <si>
    <t>K = G+H+I+J</t>
  </si>
  <si>
    <t>Qualified Pension</t>
  </si>
  <si>
    <t>Non-Qualified Pension</t>
  </si>
  <si>
    <t>Account 253012
Funded Status</t>
  </si>
  <si>
    <t>Qualified Pension
Prepaid Pension Asset/
(Accrued Pension Liability)</t>
  </si>
  <si>
    <t>Account 242309 - Current Portion of Non-Qualified Pension</t>
  </si>
  <si>
    <t xml:space="preserve"> Account 253013 Non-Qualified Pension</t>
  </si>
  <si>
    <t>Non-Qualified Pension
Prepaid Pension Asset/
(Accrued Pension Liability)</t>
  </si>
  <si>
    <t>13-Mo Avg (3)</t>
  </si>
  <si>
    <t xml:space="preserve">p.269.f Amounts are entered as negative of FERC Form 1 </t>
  </si>
  <si>
    <t>(Sum of Line 4 though Line 16) / 13</t>
  </si>
  <si>
    <t>2017-01-10: ER15-1436 Changed from Other to Labor</t>
  </si>
  <si>
    <t>Qualified Pension Prepaid Asset / Liability</t>
  </si>
  <si>
    <t>2017-01-12: ER15-1436 Added Line</t>
  </si>
  <si>
    <t>Non-Qualified Pension Prepaid Asset / Liability</t>
  </si>
  <si>
    <t>2017-01-12: Added new Line</t>
  </si>
  <si>
    <t>2017-01-12: Added new line for "Total"</t>
  </si>
  <si>
    <t>Total Allocated Income Tax Adjustments</t>
  </si>
  <si>
    <t>2017-01-12 Revised Formula from Line 152 to 155 to include new Lines</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</si>
  <si>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Permanent Differences in Income Taxes increases income tax expense revenue requirement by the amount of the expense multiplied by 1/(1-T) for differences in the income taxes due under the Federal and State calculations and the income taxes recorded on the Company's financial statements.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</si>
  <si>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2017-01-10: ER15-1436 Added text</t>
  </si>
  <si>
    <t xml:space="preserve">WP19 Load Line 25 Column N </t>
  </si>
  <si>
    <t>ENO Settlement Agreement Payment to ELL       (Enter as Negative)</t>
  </si>
  <si>
    <t>FERC Dkt ER16-1087 &amp; ER17-1226</t>
  </si>
  <si>
    <t>(9)</t>
  </si>
  <si>
    <t>Monthly interest rate updated to reflect most recent FERC Quarterly Interest Rates</t>
  </si>
  <si>
    <t>For  the 12 Months Ended 12/31/2015</t>
  </si>
  <si>
    <t>928 - Regulatory Commission Expense Total (1)</t>
  </si>
  <si>
    <t>Total HoldCo Expense</t>
  </si>
  <si>
    <t>Business Combination Account 928 expense is in expense removed on Ln 84 of Appendix A and should not be removed again.</t>
  </si>
  <si>
    <t>See Note (3) below for Account 928</t>
  </si>
  <si>
    <t>Total Business Combination Expense</t>
  </si>
  <si>
    <t>The ITC project closed in 2015 and no charges were made in 2016.</t>
  </si>
  <si>
    <t>Total RTO/MISO Start-up Costs</t>
  </si>
  <si>
    <t>See Note (5) below for Account 928</t>
  </si>
  <si>
    <t>RTO/MISO Start-up Costs in Account 928 expense are in expense removed on Ln 84 of Appendix A and should not be removed again.</t>
  </si>
  <si>
    <t>ENOI Network Load (ELL)</t>
  </si>
  <si>
    <t>4560UP: Trans-Union Contract Revenue</t>
  </si>
  <si>
    <t>263.13.i</t>
  </si>
  <si>
    <t>165403: Pp Taxes Franchise-La</t>
  </si>
  <si>
    <t>165611: PPD all GE companies</t>
  </si>
  <si>
    <t>165622: PPD Environmental Systems Corp</t>
  </si>
  <si>
    <t>165623: PPD AR DEQ</t>
  </si>
  <si>
    <t>165631: PPD Motorola Solutions</t>
  </si>
  <si>
    <t>OpCo Transmission</t>
  </si>
  <si>
    <t>ESI Transmission</t>
  </si>
  <si>
    <t>OpCo Total Wages</t>
  </si>
  <si>
    <t>ESI Production</t>
  </si>
  <si>
    <t>ESI Regional Market</t>
  </si>
  <si>
    <t>ESI Distribution</t>
  </si>
  <si>
    <t>ESI Customer Accounts</t>
  </si>
  <si>
    <t>ESI Customer Service</t>
  </si>
  <si>
    <t>ESI Sales</t>
  </si>
  <si>
    <t>ESI Administrative &amp; General</t>
  </si>
  <si>
    <t>EOI Payroll</t>
  </si>
  <si>
    <t>EOI Administrative &amp; General</t>
  </si>
  <si>
    <t>OpCo Administrative &amp; General</t>
  </si>
  <si>
    <t>Renewable requests for proposal for delivery of electric capacity energy and ot</t>
  </si>
  <si>
    <t>p. 335.11.b</t>
  </si>
  <si>
    <t>See Ln 152. Entergy chose to include the A/C 255 ADIT annual credit in the income tax calculation rather than the rate base balance</t>
  </si>
  <si>
    <t>Not Used</t>
  </si>
  <si>
    <t>None at this time</t>
  </si>
  <si>
    <t>Typically zero (0)</t>
  </si>
  <si>
    <t>2/12/2017: EL14-12 changed MISO-wide ROE 9/28/2016; Compliance filing in ER17-215</t>
  </si>
  <si>
    <t>Input by MISO - None at this time</t>
  </si>
  <si>
    <t>ENOI is no longer in the Entergy System Agreement</t>
  </si>
  <si>
    <t>App A</t>
  </si>
  <si>
    <t>Purchased Power Plant Assets &amp; Built Transmission Line</t>
  </si>
  <si>
    <t>Built transmission line</t>
  </si>
  <si>
    <t>Shift from O&amp;M to capital for build and buy</t>
  </si>
  <si>
    <t>Due to depreciation study changes</t>
  </si>
  <si>
    <t xml:space="preserve">ER15-1436 addition of permanent income tax difference </t>
  </si>
  <si>
    <t>WP04 Support - Accumulated Depreciation &amp; Amortization Balances</t>
  </si>
  <si>
    <t>Added 2017-05-10 per ER16-227 Settlement</t>
  </si>
  <si>
    <t>2015 End Reserve Bal</t>
  </si>
  <si>
    <t>2016 Depr Exp</t>
  </si>
  <si>
    <t>2016 Retirements</t>
  </si>
  <si>
    <t>2016 GPRD Adj</t>
  </si>
  <si>
    <t>2016 Missing RET Adj</t>
  </si>
  <si>
    <t>2016 Incremental Adj</t>
  </si>
  <si>
    <t>Removal / Salvage</t>
  </si>
  <si>
    <t>2016 End Reserve</t>
  </si>
  <si>
    <t>See WP04 Line 23 for starting balances</t>
  </si>
  <si>
    <t>See WP04 Line 35 for ending balances</t>
  </si>
  <si>
    <t>See WP AJ3 GPRD Adjustment for General Plant Reserve Deficiency</t>
  </si>
  <si>
    <t>2016  Storm Contra Adj</t>
  </si>
  <si>
    <t>CONTIGUOUS</t>
  </si>
  <si>
    <t xml:space="preserve">Attachment O </t>
  </si>
  <si>
    <t>Explanatory Statements</t>
  </si>
  <si>
    <t>The January 2015 through October 2015 interest rate is 0% pursuant to the July 31, 2015 Settlement Agreement and the September 28, 2015 Procedures for Initial Transition Period filed in Docket No. ER13-948.</t>
  </si>
  <si>
    <t>Support to WP02</t>
  </si>
  <si>
    <t>WP17 Revenues</t>
  </si>
  <si>
    <t>WP AJ2 ITC</t>
  </si>
  <si>
    <t>WP AJ2 ITC was intentionally left blank. That project was closed in 2015 and no charges were made in 2016.</t>
  </si>
  <si>
    <t>HoldCo Expense: ENO is not seeking recovery of expenses for a restructuring that would result in the transfer of substantially all of the assets and operations of Entergy New Orleans to a new entity, which would ultimately be owned by an existing Entergy subsidiary holding company. The restructuring is subject to regulatory review and approval by the City Council and the FERC.</t>
  </si>
  <si>
    <t>WP AJ4 LA Merger</t>
  </si>
  <si>
    <t>Merger Expense: ENO is not seeking recovery of expenses associated with the transfer of certain of ELL's Algiers assets within the City of New Orleans to ENO.</t>
  </si>
  <si>
    <t>WP01 TU Support</t>
  </si>
  <si>
    <t>WP AJ1 MISO</t>
  </si>
  <si>
    <t>The Company is not seeking recovery of MISO implementation costs.</t>
  </si>
  <si>
    <t>WP AJ3 GPRD</t>
  </si>
  <si>
    <t>The Company is recovering a General Plant Reserve Deficiency amount through a 15-year amoritization.  The GPRD was removed from the general plant depreciation reserves for general plant assets that were retired at the end of their useful lives but before their book-life depreciation was fully recovered.</t>
  </si>
  <si>
    <t>p. 351.12.h</t>
  </si>
  <si>
    <t>Expanded Row Height</t>
  </si>
  <si>
    <t>FIX ROW HEIGHTS (I, K, L, N, O, P, S, Y)</t>
  </si>
  <si>
    <t>Add to Tariff Clean-up</t>
  </si>
  <si>
    <t>Needs note to enter values as negative</t>
  </si>
  <si>
    <t>Corrected formula in Col K to include Col J</t>
  </si>
  <si>
    <t>p.219.20.c - 24.c</t>
  </si>
  <si>
    <t xml:space="preserve">Amounts identified that should have been included in the accumulated depreciation reserve balance after the books are closed for the year are separately included in the reserve balance. </t>
  </si>
  <si>
    <t>An adjustment to the reserve balance was made for miscellaneous items.</t>
  </si>
  <si>
    <t>Amounts associated with Storm Contra amounts and identified after the books are closed for the year are separately included in the reserve balance.</t>
  </si>
  <si>
    <t>p.200.21.c</t>
  </si>
  <si>
    <t>p.219.25.c</t>
  </si>
  <si>
    <t>p.219.28.c</t>
  </si>
  <si>
    <t>p.219.26.c</t>
  </si>
  <si>
    <t>Payments started Jan 2017</t>
  </si>
  <si>
    <t>Adjustment to prior taxes.</t>
  </si>
  <si>
    <t>Sign on value in Col C is correct</t>
  </si>
  <si>
    <t>2017-03-17: New Ln ER17-1226; Acct 566TPZ $183,333.33 Mnthly Pymnt 10 Yrs starting 9/2016</t>
  </si>
  <si>
    <t>Recorded in 561410</t>
  </si>
  <si>
    <t>Includes Gas but is allocated on Labor where the labor allocation factor denominator includes gas.</t>
  </si>
  <si>
    <t>Support WP01 True-up: Interest &amp; Amortization for Attachment O Transmission Revenue Requirement Over/Under Collection Balance (1)</t>
  </si>
  <si>
    <t xml:space="preserve">K </t>
  </si>
  <si>
    <t>Correct 2015TY Revenues</t>
  </si>
  <si>
    <t>Originally</t>
  </si>
  <si>
    <t>"S5" File</t>
  </si>
  <si>
    <t>ROE Adjusted</t>
  </si>
  <si>
    <t>Imputed True-up Year Revenues</t>
  </si>
  <si>
    <t>Submitted</t>
  </si>
  <si>
    <t>Incorrect Rev</t>
  </si>
  <si>
    <t>Total Imputed True-up Year Revenues</t>
  </si>
  <si>
    <t>F = G * H / L</t>
  </si>
  <si>
    <t>G (1)</t>
  </si>
  <si>
    <t>H = K - J + 1</t>
  </si>
  <si>
    <t>Proration by number of days for ROE</t>
  </si>
  <si>
    <t>Days in Effect</t>
  </si>
  <si>
    <t>Start</t>
  </si>
  <si>
    <t xml:space="preserve">Stop </t>
  </si>
  <si>
    <t>Days in Yr.</t>
  </si>
  <si>
    <t>18b</t>
  </si>
  <si>
    <t>Reference worksheet "ROE Phase 2 Steps" for the respective ATRR amounts by ROE</t>
  </si>
  <si>
    <t>18c</t>
  </si>
  <si>
    <t>18d</t>
  </si>
  <si>
    <t>18e</t>
  </si>
  <si>
    <t>= Col F (18b+18c+18d)</t>
  </si>
  <si>
    <t>See the worksheet entitled "ROE Phase 2 Steps" for the ATRR</t>
  </si>
  <si>
    <t>Ln No.</t>
  </si>
  <si>
    <t>ROE Phase 2 Steps</t>
  </si>
  <si>
    <t>Step 1b-d</t>
  </si>
  <si>
    <t>Step 2</t>
  </si>
  <si>
    <t>Step 3</t>
  </si>
  <si>
    <t>2014TY Revenues Incorrectly Used</t>
  </si>
  <si>
    <r>
      <t xml:space="preserve">TU Amount billed in 2016TY </t>
    </r>
    <r>
      <rPr>
        <b/>
        <sz val="10"/>
        <color rgb="FFFF0000"/>
        <rFont val="Arial"/>
        <family val="2"/>
      </rPr>
      <t>(10)</t>
    </r>
  </si>
  <si>
    <t xml:space="preserve">Revenues updated to reflect ROE from EL14-12 &amp; MISO re-billings </t>
  </si>
  <si>
    <t>Only the True-up amounts for the months of June - December 2016 will be reflected in the 2017 Update based on the 2016TY.  The remaining 2015TY True-up amounts will be collected in January - May 2017 and reflected in the 2018 Update based on a 2017 TY True-up calculation.</t>
  </si>
  <si>
    <t>Source file is: S5 ENOI v2.xlsx but updated for 2017-03-15 Informational Update WP AJ5 adjustments</t>
  </si>
  <si>
    <r>
      <t xml:space="preserve">WP17 Line 8 Column D </t>
    </r>
    <r>
      <rPr>
        <b/>
        <sz val="10"/>
        <color rgb="FFFF0000"/>
        <rFont val="Arial"/>
        <family val="2"/>
      </rPr>
      <t>(8)</t>
    </r>
  </si>
  <si>
    <t>(11)</t>
  </si>
  <si>
    <t>Test Year</t>
  </si>
  <si>
    <t>In Docket No. ER13-948, any Attachment O surcharges for the period December 19, 2013 to December 31, 2014 were separately calculated and billed by MISO in 2016 and booked in Account 456.  Additional lines were added to the WP17 Account 456 detail so that the True-up revenues were re-classified by Schedule to "Other" from "Revenue Credits" and "Network Revenues".  Schedule 7 surcharge revenues were split between Schedule 7 LT and Schedule 7 ST in the same proportion as those revenues were booked in 2016.</t>
  </si>
  <si>
    <t>Source file is: Appendix A Line 193 of "S5 ENOI v2.xlsx" but updated to include 2017-03-15 Informational Update adjustments detailed in WP AJ3.</t>
  </si>
  <si>
    <t>Production excluding ARO</t>
  </si>
  <si>
    <t>Prior to ROE Adjustment</t>
  </si>
  <si>
    <t>Weighted ROE</t>
  </si>
  <si>
    <t>M = H / L * I</t>
  </si>
  <si>
    <t xml:space="preserve">ENO's Attachment O for 2015 was originally submitted with 2014 Test Year's Imputed Revenues (Col. E, above) instead of the 2015 Test Year Imputed Revenues (Col G, above).  The same incorrect imputed revenues (Col. E, above) were revised for the ROE change (Col. F, above) and provided to MISO for the EL14-12 September 2016 ROE revision.   The imputed revenues were corrected in the Informational Update submitted to FERC on 3-15-2017 in ER17-1262 (Col H, above).  </t>
  </si>
  <si>
    <t>Prorated ATRR (1)</t>
  </si>
  <si>
    <t>Sum (C thru J)</t>
  </si>
  <si>
    <t>(D+G+H+I)</t>
  </si>
  <si>
    <t>See FF1: Intangible - 205.5.d; Production - 205.46.d; Transmission - 207.58.d; Distribution - 207.75.d; &amp; General Plant - 207.99.d</t>
  </si>
  <si>
    <t xml:space="preserve">Total for column is the sum of FF1 219.13.c + 219.14.c (enter as a negative) </t>
  </si>
  <si>
    <t>See WP18 &amp; WP18 Support for Depreciation Expense balances</t>
  </si>
  <si>
    <t>WP12 PBOP</t>
  </si>
  <si>
    <t>See FERC Docket ER17-1549 Filed May 1, 2017, Page "A - 2016 Summary", Column "2016 Actuals"</t>
  </si>
  <si>
    <t>A split of Schedule 42A/B revenues in A/C 456142 &amp; 4561A4 has been included for additional information.</t>
  </si>
  <si>
    <t>WP20 Reserves</t>
  </si>
  <si>
    <t>"Enter as Negative" footnote needed for Accounts 2281 through 228400.</t>
  </si>
  <si>
    <t>Not Available</t>
  </si>
  <si>
    <t xml:space="preserve">WP 18 Additional Support - FERC approved Depreciation Rates &amp; Annual Expense 
for Distribution Property </t>
  </si>
  <si>
    <t>Distribution Plant</t>
  </si>
  <si>
    <t>360_1_Land</t>
  </si>
  <si>
    <t>360_2_Land Rights</t>
  </si>
  <si>
    <t>361_0_Structures And Improvements</t>
  </si>
  <si>
    <t>362_0_Station Equipment</t>
  </si>
  <si>
    <t>364_0_Poles, Towers, and Fixtures</t>
  </si>
  <si>
    <t>365_1_Overhead Conductors &amp; Devices</t>
  </si>
  <si>
    <t>365_2_Overhead Conductors &amp; Devices</t>
  </si>
  <si>
    <t>365_3_Overhead Conductors &amp; Devices</t>
  </si>
  <si>
    <t>366_0_Underground Conduit</t>
  </si>
  <si>
    <t>367_0_Underground Conductor, Devices</t>
  </si>
  <si>
    <t>368_1_Line Transformers</t>
  </si>
  <si>
    <t>369_1_Services-Overhead</t>
  </si>
  <si>
    <t>369_2_Services-Underground</t>
  </si>
  <si>
    <t>370_0_Meters</t>
  </si>
  <si>
    <t>370_1_Meters</t>
  </si>
  <si>
    <t>371_0_Installations On Cust Premises</t>
  </si>
  <si>
    <t>373_0_Street Light &amp; Signal Systems</t>
  </si>
  <si>
    <t>373_2_Street Lighting - Non Roadway</t>
  </si>
  <si>
    <t>check to WP 04 Support</t>
  </si>
  <si>
    <t>WP 18 Support</t>
  </si>
  <si>
    <t xml:space="preserve">Added FERC Approved Distribution Depreciation Rates &amp; Expense to a supporting workpaper. </t>
  </si>
  <si>
    <t>Production Data for Cols E-K are not available before June 1</t>
  </si>
  <si>
    <t xml:space="preserve">Depreciation </t>
  </si>
  <si>
    <t xml:space="preserve">Appendix A </t>
  </si>
  <si>
    <t>Note LL was moved from Line 106 to Line 107 in Column E on Appendix A</t>
  </si>
  <si>
    <t>Action</t>
  </si>
  <si>
    <t>To/From</t>
  </si>
  <si>
    <t>Total Adj</t>
  </si>
  <si>
    <t>Non- Payroll</t>
  </si>
  <si>
    <t>Reclass</t>
  </si>
  <si>
    <t>From</t>
  </si>
  <si>
    <t>To</t>
  </si>
  <si>
    <t>2014 EMI Rate Case</t>
  </si>
  <si>
    <t>2016 EMI Fuel Audit</t>
  </si>
  <si>
    <t>Dist O&amp;M</t>
  </si>
  <si>
    <t>Distribution Management Systems Sup</t>
  </si>
  <si>
    <t>FACILITIES SVCS - DISTRIBUTION (NON</t>
  </si>
  <si>
    <t>FOSSIL INFORMATION TECHNOLOGY - FIT</t>
  </si>
  <si>
    <t>IT Nuclear South Support</t>
  </si>
  <si>
    <t>MGR GEN &amp; ADMIN - DISTR SYSTEM SUPP</t>
  </si>
  <si>
    <t>SC- Distribution Procurement</t>
  </si>
  <si>
    <t>SKILLS TRAINING CUST. SERV- HEADQUA</t>
  </si>
  <si>
    <t>SPO Management Summary</t>
  </si>
  <si>
    <t xml:space="preserve">580-589 Dist O&amp;M </t>
  </si>
  <si>
    <t>Remove</t>
  </si>
  <si>
    <t>ANO Fukushima Regulatory Asset Amortization</t>
  </si>
  <si>
    <t>Reclass &amp; Remove</t>
  </si>
  <si>
    <t>ESI NUCLEAR EMPLOYEES</t>
  </si>
  <si>
    <t>ESI NUCLEAR EMPLOYEES - ANO</t>
  </si>
  <si>
    <t>QUICK PAYMENT CENTER, ADM</t>
  </si>
  <si>
    <t>SYSTEM REGULATORY AFFAIRS-STATE</t>
  </si>
  <si>
    <t>Customer Experience Strategy</t>
  </si>
  <si>
    <t>ESI Nuclear - Site Split</t>
  </si>
  <si>
    <t>Solid Fuel Reclaiming</t>
  </si>
  <si>
    <t>Total Adjustments</t>
  </si>
  <si>
    <t>Misc Adj (2)</t>
  </si>
  <si>
    <t>C + E</t>
  </si>
  <si>
    <t>D + F</t>
  </si>
  <si>
    <t>G + H</t>
  </si>
  <si>
    <t>HoldCo Expense (1)</t>
  </si>
  <si>
    <t>CNO UD16-03 HoldCo Account 928 expense is included in expense removed on Ln 84 of Appendix A and should not be removed again.</t>
  </si>
  <si>
    <t>Regional &amp; Mktng O&amp;M  (Accts 575 &amp; 576)</t>
  </si>
  <si>
    <t>Distribution O&amp;M  (Accts 580 to 598)</t>
  </si>
  <si>
    <t>928 - Regulatory Comm Expense Total</t>
  </si>
  <si>
    <t>930.2 - Active Development Exp Total</t>
  </si>
  <si>
    <t>Transm O&amp;M Ex-Acct 561 (Accts 560 to 574)</t>
  </si>
  <si>
    <t>Deprec. Exp - Serv Co (Acct 4031AM)</t>
  </si>
  <si>
    <t>Transm O&amp;M  (Accounts 560 to 574)</t>
  </si>
  <si>
    <t>Regional &amp; Mktng O&amp;M (Accts 575 to 576)</t>
  </si>
  <si>
    <t>Customer Accts (Accounts 901 to 905)</t>
  </si>
  <si>
    <t>Customer Service (Accts (906 to 917)</t>
  </si>
  <si>
    <t>Payroll O&amp;M Ex-A&amp;G  Sum (Ln 12 To Ln 20)</t>
  </si>
  <si>
    <t>Customer</t>
  </si>
  <si>
    <t>Informal</t>
  </si>
  <si>
    <t>Challenge</t>
  </si>
  <si>
    <t>Number</t>
  </si>
  <si>
    <t>CE 1-6</t>
  </si>
  <si>
    <t>CE 1-5</t>
  </si>
  <si>
    <t>AECC 1-3</t>
  </si>
  <si>
    <t>CE 1-7</t>
  </si>
  <si>
    <t>AECC 1-5</t>
  </si>
  <si>
    <t>AECC 1-6</t>
  </si>
  <si>
    <t>AECC 1-4</t>
  </si>
  <si>
    <t>AECC 1-7</t>
  </si>
  <si>
    <t>CE 1-8</t>
  </si>
  <si>
    <t>AECC 2-1</t>
  </si>
  <si>
    <t>AECC 1-1</t>
  </si>
  <si>
    <t>Reverse Deferral &amp; Amort</t>
  </si>
  <si>
    <t>AECC 1-2</t>
  </si>
  <si>
    <t>AECC 1-9</t>
  </si>
  <si>
    <t>AECC 1-10</t>
  </si>
  <si>
    <t>CE 1-10</t>
  </si>
  <si>
    <t>CE 1-11</t>
  </si>
  <si>
    <t>AECC 2-3</t>
  </si>
  <si>
    <t>AECC 1-11</t>
  </si>
  <si>
    <t>AECC 1-8</t>
  </si>
  <si>
    <t>AECC 1-12</t>
  </si>
  <si>
    <t>ETEC 1-9</t>
  </si>
  <si>
    <t>Miscellaneous Adjustments</t>
  </si>
  <si>
    <t>2017-04-03 Added row for Arklahoma adjustment.</t>
  </si>
  <si>
    <t xml:space="preserve">Changed reference to new tab name and added "Enter as Negative" </t>
  </si>
  <si>
    <t>N/A</t>
  </si>
  <si>
    <r>
      <t xml:space="preserve">Account </t>
    </r>
    <r>
      <rPr>
        <b/>
        <sz val="10"/>
        <rFont val="Arial"/>
        <family val="2"/>
      </rPr>
      <t>18238P</t>
    </r>
    <r>
      <rPr>
        <sz val="10"/>
        <rFont val="Arial"/>
        <family val="2"/>
      </rPr>
      <t xml:space="preserve">
Regulatory Asset - Unrecognized Gains/(Losses)</t>
    </r>
  </si>
  <si>
    <r>
      <t xml:space="preserve">Account </t>
    </r>
    <r>
      <rPr>
        <b/>
        <sz val="10"/>
        <rFont val="Arial"/>
        <family val="2"/>
      </rPr>
      <t>21938P</t>
    </r>
    <r>
      <rPr>
        <sz val="10"/>
        <rFont val="Arial"/>
        <family val="2"/>
      </rPr>
      <t xml:space="preserve">
Accum Other Comprehensive Income- Unrecognized Gains/(Losses)</t>
    </r>
  </si>
  <si>
    <r>
      <t xml:space="preserve">Account </t>
    </r>
    <r>
      <rPr>
        <b/>
        <sz val="10"/>
        <rFont val="Arial"/>
        <family val="2"/>
      </rPr>
      <t>18238N</t>
    </r>
    <r>
      <rPr>
        <sz val="10"/>
        <rFont val="Arial"/>
        <family val="2"/>
      </rPr>
      <t xml:space="preserve">
Regulatory Asset - Unrecognized Gains/(Losses)</t>
    </r>
  </si>
  <si>
    <r>
      <t xml:space="preserve">Account </t>
    </r>
    <r>
      <rPr>
        <b/>
        <sz val="10"/>
        <rFont val="Arial"/>
        <family val="2"/>
      </rPr>
      <t>21938N</t>
    </r>
    <r>
      <rPr>
        <sz val="10"/>
        <rFont val="Arial"/>
        <family val="2"/>
      </rPr>
      <t xml:space="preserve">
Accum Other Comprehensive Income- Unrecognized Gains/(Losses)</t>
    </r>
  </si>
  <si>
    <t>WP22 - Income Tax Adjustments (1)</t>
  </si>
  <si>
    <t>Transmission Related</t>
  </si>
  <si>
    <t>Labor 
Related (2)</t>
  </si>
  <si>
    <t>Amortization of Excess Deferred Income Tax (Note 3)</t>
  </si>
  <si>
    <t>Amortization of Permanent Differences in Income Taxes (Note 4)</t>
  </si>
  <si>
    <t>AFUDC - Equity</t>
  </si>
  <si>
    <t>AFUDC - Interest</t>
  </si>
  <si>
    <t>Net Amortization of Income Tax Adjustments
    (Sum of Line 1 to Line 4.3)</t>
  </si>
  <si>
    <t>See Note I to Appendix A.</t>
  </si>
  <si>
    <t>In accordance the Partial Settlement Agreement in Docket No. ER15-1436-000, effective June 1, 2015 (Test Year ended December 31, 2014), the Income Tax Adjustments associated with General and Intangible Plant shall be functionalized to Transmission utilizing the Wage &amp; Salary Allocation Factor.</t>
  </si>
  <si>
    <t>The Amortization of Excess Deferred Income Tax is a reduction to Income Tax Expense Revenue Requirement.</t>
  </si>
  <si>
    <t>The Amortization of Permanent Differences in Income Taxes: AFUDC - Equity and AFUDC - Interest are increases to Income Tax Expense Revenue Requirement.</t>
  </si>
  <si>
    <t xml:space="preserve">Support for WP22 - Income Tax Adjustments </t>
  </si>
  <si>
    <t>F = C - D + E</t>
  </si>
  <si>
    <t>Additions</t>
  </si>
  <si>
    <t>Excess Deferred Income Tax</t>
  </si>
  <si>
    <t xml:space="preserve">General </t>
  </si>
  <si>
    <t>Permanent Differences in Income Taxes</t>
  </si>
  <si>
    <t>AFUDC Equity</t>
  </si>
  <si>
    <t xml:space="preserve">AFUDC Interest </t>
  </si>
  <si>
    <t>Total Income Tax Adjustments</t>
  </si>
  <si>
    <t>152b</t>
  </si>
  <si>
    <t xml:space="preserve">Amortization of Income Tax Adjustments - Transmission Related </t>
  </si>
  <si>
    <t>152c</t>
  </si>
  <si>
    <t xml:space="preserve">Amortization of Income Tax Adjustments - Labor Related </t>
  </si>
  <si>
    <t>152d</t>
  </si>
  <si>
    <t>152e</t>
  </si>
  <si>
    <t>(Line 152 * Line 152a) + Line 152b + 
(Line 152c * Line 152d)</t>
  </si>
  <si>
    <t>Reserved for Future Use</t>
  </si>
  <si>
    <t>(Line 152e  * Line 153)</t>
  </si>
  <si>
    <t>Informational Filing 3/15/2018</t>
  </si>
  <si>
    <t>Attachment O</t>
  </si>
  <si>
    <t>ER15-1436 &amp; ER17-2579 Settlement changes were incorporated as follows</t>
  </si>
  <si>
    <t>Appendix A</t>
  </si>
  <si>
    <t>Lines 152a - 155 were conformed to use Replaced WP22 Income Tax Adjustment values</t>
  </si>
  <si>
    <t>Added or updated values for Misc Adjustments From "Support to WP02" to Lines: 4, 7,10, 31, 34, 47, &amp; 52</t>
  </si>
  <si>
    <t>Support WP02</t>
  </si>
  <si>
    <t>Added WP or revised existing WP to include adjustments for Customers Informal Challenges that are reported on "WP02 Support" (see prior note)</t>
  </si>
  <si>
    <t>WP06 ADIT</t>
  </si>
  <si>
    <t>See bolded ADIT account changes with bolded amounts consistent with 3/13/2018 FERC Errata filing</t>
  </si>
  <si>
    <t>WP21 Pension</t>
  </si>
  <si>
    <t>See Column Title withn bolded changes on Line 2 consistent with 3/13/2018 FERC Errata filing</t>
  </si>
  <si>
    <t>WP22 IT Adj</t>
  </si>
  <si>
    <t>WP was replaced per settlement</t>
  </si>
  <si>
    <t xml:space="preserve">WP22 Support </t>
  </si>
  <si>
    <t>WP was added per settlement to present additional detail.</t>
  </si>
  <si>
    <t>WP02 Support</t>
  </si>
  <si>
    <r>
      <t xml:space="preserve">True-up Revenue Requirement </t>
    </r>
    <r>
      <rPr>
        <b/>
        <sz val="10"/>
        <rFont val="Arial"/>
        <family val="2"/>
      </rPr>
      <t>- Prorated by Time Period for ROE</t>
    </r>
  </si>
  <si>
    <t>Entergy New Orleans, LLC</t>
  </si>
  <si>
    <t>WP04 - Support for Generator Step-up Correction</t>
  </si>
  <si>
    <t>As Filed</t>
  </si>
  <si>
    <t>Adjusted</t>
  </si>
  <si>
    <t>Step-Up Facilities (1)</t>
  </si>
  <si>
    <t>Accumulated Depreciation (1)</t>
  </si>
  <si>
    <t>Step-Up Facilities (3)</t>
  </si>
  <si>
    <t>See WP04 Support 2 for correction details to Step-up Facilities.</t>
  </si>
  <si>
    <t>This workpaper removes Entergy's 500KV Union Power transmission switching station, purchased from Union Power Partners and placed on the books March 2016, that was erroneously included in Column G WP04 "Step-up Facilities."</t>
  </si>
  <si>
    <r>
      <t xml:space="preserve">Step-Up Facilities </t>
    </r>
    <r>
      <rPr>
        <sz val="10"/>
        <color rgb="FFFF0000"/>
        <rFont val="Arial"/>
        <family val="2"/>
      </rPr>
      <t>(3)</t>
    </r>
  </si>
  <si>
    <t xml:space="preserve">WP04 </t>
  </si>
  <si>
    <t>Col G Lines 7-16 &amp; 26-35: Entergy's 500KV Union Power transmission switching station, purchased from Union Power Partners and placed on the books March 2016, was erroneously included in Column G WP04 "Step-up Facilities."</t>
  </si>
  <si>
    <t>WP04 Support 2</t>
  </si>
  <si>
    <t>New workpaper supportting removal of Entergy 500KV Union Power transmission switching station from WP04 Column G Step-up Facilities.</t>
  </si>
  <si>
    <t>WP02</t>
  </si>
  <si>
    <t>Service Company General Plant Depreciation</t>
  </si>
  <si>
    <t>2018-04 Correction to Informational Update</t>
  </si>
  <si>
    <r>
      <t xml:space="preserve">2017-02-12 Revised title, 2018-04 </t>
    </r>
    <r>
      <rPr>
        <sz val="10.8"/>
        <color rgb="FFFF0000"/>
        <rFont val="Arial"/>
        <family val="2"/>
      </rPr>
      <t xml:space="preserve">Amount changed to include Service Company General &amp; Intangible Plant Depreciation Expense </t>
    </r>
  </si>
  <si>
    <t xml:space="preserve">April 2018 Errata Correction to March 15 Informational Filing </t>
  </si>
  <si>
    <t xml:space="preserve">Footnote to p.336.10.b </t>
  </si>
  <si>
    <t>Added Line 47.7: The FERC depreciation study settlement in ER16-227 only reported plant account depreciation (WP18) and overlooked ESI depreciation amounts.  This change adds the missing ESI depreciation expense reported in the footnote to General depreciation expense in FERC Form 1, page 336, line 10.</t>
  </si>
  <si>
    <t>Version = April 19, 2018 Errata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</si>
</sst>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0.0000000000000000000"/>
    <numFmt numFmtId="200" formatCode="_(* #,##0.000_);_(* \(#,##0.000\);_(* &quot;-&quot;??_);_(@_)"/>
  </numFmts>
  <fonts count="16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0"/>
      <color indexed="17"/>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0"/>
      <color rgb="FFC00000"/>
      <name val="Arial"/>
      <family val="2"/>
    </font>
    <font>
      <b/>
      <sz val="12"/>
      <color rgb="FFC00000"/>
      <name val="Arial"/>
      <family val="2"/>
    </font>
    <font>
      <b/>
      <sz val="11"/>
      <color rgb="FFFF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b/>
      <strike/>
      <u/>
      <sz val="10"/>
      <name val="Arial"/>
      <family val="2"/>
    </font>
    <font>
      <sz val="10.8"/>
      <name val="Arial"/>
      <family val="2"/>
    </font>
    <font>
      <strike/>
      <u val="singleAccounting"/>
      <sz val="10"/>
      <name val="Arial"/>
      <family val="2"/>
    </font>
    <font>
      <b/>
      <sz val="11"/>
      <color rgb="FF002060"/>
      <name val="Arial"/>
      <family val="2"/>
    </font>
    <font>
      <sz val="10"/>
      <name val="Arial"/>
      <family val="2"/>
    </font>
    <font>
      <i/>
      <sz val="10"/>
      <name val="Arial"/>
      <family val="2"/>
    </font>
    <font>
      <b/>
      <strike/>
      <sz val="12"/>
      <name val="Arial"/>
      <family val="2"/>
    </font>
    <font>
      <b/>
      <sz val="14"/>
      <color rgb="FFC00000"/>
      <name val="Arial"/>
      <family val="2"/>
    </font>
    <font>
      <b/>
      <u/>
      <sz val="11"/>
      <color theme="1"/>
      <name val="Calibri"/>
      <family val="2"/>
      <scheme val="minor"/>
    </font>
    <font>
      <sz val="11"/>
      <color rgb="FF002060"/>
      <name val="Arial"/>
      <family val="2"/>
    </font>
    <font>
      <b/>
      <u/>
      <sz val="10"/>
      <color rgb="FFFF0000"/>
      <name val="Arial"/>
      <family val="2"/>
    </font>
    <font>
      <sz val="10.8"/>
      <color rgb="FFFF0000"/>
      <name val="Arial"/>
      <family val="2"/>
    </font>
    <font>
      <b/>
      <sz val="14"/>
      <color rgb="FFFF0000"/>
      <name val="Arial"/>
      <family val="2"/>
    </font>
  </fonts>
  <fills count="5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rgb="FF66FFFF"/>
        <bgColor indexed="64"/>
      </patternFill>
    </fill>
    <fill>
      <patternFill patternType="solid">
        <fgColor rgb="FFFFC00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auto="1"/>
      </left>
      <right/>
      <top style="medium">
        <color indexed="64"/>
      </top>
      <bottom/>
      <diagonal/>
    </border>
  </borders>
  <cellStyleXfs count="37704">
    <xf numFmtId="0" fontId="0" fillId="0" borderId="0"/>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69" fillId="14" borderId="0" applyNumberFormat="0" applyBorder="0" applyAlignment="0" applyProtection="0"/>
    <xf numFmtId="0" fontId="69" fillId="4" borderId="0" applyNumberFormat="0" applyBorder="0" applyAlignment="0" applyProtection="0"/>
    <xf numFmtId="0" fontId="69" fillId="11"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21" borderId="0" applyNumberFormat="0" applyBorder="0" applyAlignment="0" applyProtection="0"/>
    <xf numFmtId="0" fontId="70" fillId="5" borderId="0" applyNumberFormat="0" applyBorder="0" applyAlignment="0" applyProtection="0"/>
    <xf numFmtId="0" fontId="90" fillId="0" borderId="0" applyNumberFormat="0" applyFill="0" applyBorder="0" applyAlignment="0" applyProtection="0"/>
    <xf numFmtId="0" fontId="77" fillId="12" borderId="1" applyNumberFormat="0" applyAlignment="0" applyProtection="0"/>
    <xf numFmtId="0" fontId="71" fillId="22" borderId="2" applyNumberFormat="0" applyAlignment="0" applyProtection="0"/>
    <xf numFmtId="172" fontId="64" fillId="0" borderId="0">
      <alignment horizontal="center" wrapText="1"/>
    </xf>
    <xf numFmtId="43" fontId="38" fillId="0" borderId="0" applyFont="0" applyFill="0" applyBorder="0" applyAlignment="0" applyProtection="0"/>
    <xf numFmtId="178" fontId="91" fillId="0" borderId="0"/>
    <xf numFmtId="178" fontId="91" fillId="0" borderId="0"/>
    <xf numFmtId="178" fontId="91" fillId="0" borderId="0"/>
    <xf numFmtId="178" fontId="91" fillId="0" borderId="0"/>
    <xf numFmtId="178" fontId="91" fillId="0" borderId="0"/>
    <xf numFmtId="178" fontId="91" fillId="0" borderId="0"/>
    <xf numFmtId="178" fontId="91" fillId="0" borderId="0"/>
    <xf numFmtId="178" fontId="91" fillId="0" borderId="0"/>
    <xf numFmtId="41" fontId="58" fillId="0" borderId="0" applyFont="0" applyFill="0" applyBorder="0" applyAlignment="0" applyProtection="0"/>
    <xf numFmtId="41" fontId="5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9"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23" borderId="0" applyFont="0" applyFill="0" applyBorder="0" applyAlignment="0" applyProtection="0"/>
    <xf numFmtId="0" fontId="92" fillId="0" borderId="0"/>
    <xf numFmtId="0" fontId="38" fillId="0" borderId="3"/>
    <xf numFmtId="173" fontId="42" fillId="0" borderId="0">
      <protection locked="0"/>
    </xf>
    <xf numFmtId="44" fontId="38" fillId="0" borderId="0" applyFont="0" applyFill="0" applyBorder="0" applyAlignment="0" applyProtection="0"/>
    <xf numFmtId="179" fontId="38" fillId="0" borderId="0" applyFont="0" applyFill="0" applyBorder="0" applyAlignment="0" applyProtection="0"/>
    <xf numFmtId="180" fontId="93" fillId="0" borderId="0" applyFont="0" applyFill="0" applyBorder="0" applyAlignment="0" applyProtection="0"/>
    <xf numFmtId="44" fontId="4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6" fillId="0" borderId="0" applyFont="0" applyFill="0" applyBorder="0" applyAlignment="0" applyProtection="0"/>
    <xf numFmtId="44" fontId="58" fillId="0" borderId="0" applyFont="0" applyFill="0" applyBorder="0" applyAlignment="0" applyProtection="0"/>
    <xf numFmtId="5" fontId="38" fillId="23" borderId="0" applyFont="0" applyFill="0" applyBorder="0" applyAlignment="0" applyProtection="0"/>
    <xf numFmtId="0" fontId="38" fillId="23" borderId="0" applyFont="0" applyFill="0" applyBorder="0" applyAlignment="0" applyProtection="0"/>
    <xf numFmtId="0" fontId="72" fillId="0" borderId="0" applyNumberFormat="0" applyFill="0" applyBorder="0" applyAlignment="0" applyProtection="0"/>
    <xf numFmtId="2" fontId="38" fillId="23" borderId="0" applyFont="0" applyFill="0" applyBorder="0" applyAlignment="0" applyProtection="0"/>
    <xf numFmtId="0" fontId="43" fillId="0" borderId="0">
      <alignment horizontal="left"/>
    </xf>
    <xf numFmtId="164" fontId="93" fillId="0" borderId="0" applyFont="0" applyFill="0" applyBorder="0" applyAlignment="0" applyProtection="0"/>
    <xf numFmtId="181" fontId="38" fillId="0" borderId="0" applyFont="0" applyFill="0" applyBorder="0" applyAlignment="0" applyProtection="0">
      <alignment horizontal="center"/>
    </xf>
    <xf numFmtId="164" fontId="93" fillId="0" borderId="0" applyFont="0" applyFill="0" applyBorder="0" applyAlignment="0" applyProtection="0"/>
    <xf numFmtId="0" fontId="78" fillId="7" borderId="0" applyNumberFormat="0" applyBorder="0" applyAlignment="0" applyProtection="0"/>
    <xf numFmtId="38" fontId="61" fillId="24" borderId="0" applyNumberFormat="0" applyBorder="0" applyAlignment="0" applyProtection="0"/>
    <xf numFmtId="0" fontId="94" fillId="0" borderId="4">
      <alignment horizontal="left"/>
    </xf>
    <xf numFmtId="0" fontId="40" fillId="0" borderId="5" applyNumberFormat="0" applyAlignment="0" applyProtection="0">
      <alignment horizontal="left" vertical="center"/>
    </xf>
    <xf numFmtId="0" fontId="40" fillId="0" borderId="6">
      <alignment horizontal="left" vertical="center"/>
    </xf>
    <xf numFmtId="14" fontId="39" fillId="25" borderId="7">
      <alignment horizontal="center" vertical="center" wrapText="1"/>
    </xf>
    <xf numFmtId="0" fontId="79" fillId="0" borderId="8" applyNumberFormat="0" applyFill="0" applyAlignment="0" applyProtection="0"/>
    <xf numFmtId="0" fontId="80" fillId="0" borderId="9" applyNumberFormat="0" applyFill="0" applyAlignment="0" applyProtection="0"/>
    <xf numFmtId="0" fontId="81" fillId="0" borderId="10"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0" fontId="61" fillId="26" borderId="11" applyNumberFormat="0" applyBorder="0" applyAlignment="0" applyProtection="0"/>
    <xf numFmtId="0" fontId="73" fillId="8" borderId="1" applyNumberFormat="0" applyAlignment="0" applyProtection="0"/>
    <xf numFmtId="174" fontId="42" fillId="0" borderId="0">
      <alignment horizontal="center"/>
      <protection locked="0"/>
    </xf>
    <xf numFmtId="0" fontId="83" fillId="0" borderId="12" applyNumberFormat="0" applyFill="0" applyAlignment="0" applyProtection="0"/>
    <xf numFmtId="0" fontId="84" fillId="27" borderId="0" applyNumberFormat="0" applyBorder="0" applyAlignment="0" applyProtection="0"/>
    <xf numFmtId="37" fontId="95" fillId="0" borderId="0"/>
    <xf numFmtId="182" fontId="96" fillId="0" borderId="0"/>
    <xf numFmtId="0" fontId="36" fillId="0" borderId="0"/>
    <xf numFmtId="0" fontId="38" fillId="0" borderId="0"/>
    <xf numFmtId="0" fontId="38" fillId="0" borderId="0"/>
    <xf numFmtId="0" fontId="38" fillId="0" borderId="0"/>
    <xf numFmtId="0" fontId="38" fillId="0" borderId="0"/>
    <xf numFmtId="0" fontId="36" fillId="0" borderId="0"/>
    <xf numFmtId="0" fontId="38" fillId="0" borderId="0"/>
    <xf numFmtId="0" fontId="35" fillId="0" borderId="0"/>
    <xf numFmtId="0" fontId="36" fillId="0" borderId="0"/>
    <xf numFmtId="0" fontId="35" fillId="0" borderId="0"/>
    <xf numFmtId="0" fontId="35" fillId="0" borderId="0"/>
    <xf numFmtId="0" fontId="38" fillId="0" borderId="0">
      <alignment vertical="top"/>
    </xf>
    <xf numFmtId="0" fontId="38" fillId="0" borderId="0"/>
    <xf numFmtId="0" fontId="38" fillId="0" borderId="0">
      <alignment vertical="top"/>
    </xf>
    <xf numFmtId="0" fontId="35" fillId="0" borderId="0"/>
    <xf numFmtId="0" fontId="36" fillId="0" borderId="0"/>
    <xf numFmtId="0" fontId="36" fillId="0" borderId="0"/>
    <xf numFmtId="176" fontId="38" fillId="0" borderId="0"/>
    <xf numFmtId="0" fontId="35" fillId="0" borderId="0"/>
    <xf numFmtId="176" fontId="38" fillId="0" borderId="0"/>
    <xf numFmtId="0" fontId="35" fillId="0" borderId="0"/>
    <xf numFmtId="0" fontId="85" fillId="0" borderId="0"/>
    <xf numFmtId="0" fontId="38" fillId="0" borderId="0"/>
    <xf numFmtId="0" fontId="102" fillId="0" borderId="0"/>
    <xf numFmtId="0" fontId="102" fillId="0" borderId="0"/>
    <xf numFmtId="0" fontId="38" fillId="0" borderId="0"/>
    <xf numFmtId="0" fontId="38" fillId="0" borderId="0"/>
    <xf numFmtId="0" fontId="102" fillId="0" borderId="0"/>
    <xf numFmtId="0" fontId="102" fillId="0" borderId="0"/>
    <xf numFmtId="0" fontId="48" fillId="0" borderId="0"/>
    <xf numFmtId="0" fontId="48" fillId="0" borderId="0"/>
    <xf numFmtId="0" fontId="38" fillId="0" borderId="0"/>
    <xf numFmtId="0" fontId="38" fillId="0" borderId="0"/>
    <xf numFmtId="176" fontId="38" fillId="0" borderId="0"/>
    <xf numFmtId="176" fontId="38" fillId="0" borderId="0"/>
    <xf numFmtId="0" fontId="38" fillId="0" borderId="0"/>
    <xf numFmtId="0" fontId="38" fillId="0" borderId="0"/>
    <xf numFmtId="0" fontId="38" fillId="0" borderId="0"/>
    <xf numFmtId="0" fontId="102" fillId="0" borderId="0"/>
    <xf numFmtId="169" fontId="49" fillId="0" borderId="0" applyProtection="0"/>
    <xf numFmtId="0" fontId="103" fillId="0" borderId="0"/>
    <xf numFmtId="0" fontId="104" fillId="0" borderId="0"/>
    <xf numFmtId="0" fontId="104" fillId="0" borderId="0"/>
    <xf numFmtId="0" fontId="105" fillId="0" borderId="0"/>
    <xf numFmtId="0" fontId="6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8" fillId="0" borderId="0"/>
    <xf numFmtId="0" fontId="38" fillId="0" borderId="0"/>
    <xf numFmtId="0" fontId="38" fillId="0" borderId="0">
      <alignment vertical="top"/>
    </xf>
    <xf numFmtId="0" fontId="38" fillId="0" borderId="0"/>
    <xf numFmtId="0" fontId="102" fillId="0" borderId="0"/>
    <xf numFmtId="0" fontId="38" fillId="0" borderId="0"/>
    <xf numFmtId="0" fontId="38" fillId="0" borderId="0"/>
    <xf numFmtId="0" fontId="38" fillId="0" borderId="0"/>
    <xf numFmtId="0" fontId="35" fillId="0" borderId="0"/>
    <xf numFmtId="0" fontId="10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8" fillId="0" borderId="0"/>
    <xf numFmtId="0" fontId="38" fillId="0" borderId="0"/>
    <xf numFmtId="0" fontId="38" fillId="0" borderId="0"/>
    <xf numFmtId="0" fontId="38" fillId="0" borderId="0"/>
    <xf numFmtId="0" fontId="38" fillId="0" borderId="0"/>
    <xf numFmtId="165" fontId="4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8" fillId="0" borderId="0"/>
    <xf numFmtId="0" fontId="38" fillId="0" borderId="0"/>
    <xf numFmtId="0" fontId="38"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38" fillId="0" borderId="0"/>
    <xf numFmtId="0" fontId="35" fillId="0" borderId="0"/>
    <xf numFmtId="0" fontId="38" fillId="0" borderId="0"/>
    <xf numFmtId="0" fontId="38" fillId="0" borderId="0"/>
    <xf numFmtId="0" fontId="36" fillId="0" borderId="0"/>
    <xf numFmtId="0" fontId="36" fillId="0" borderId="0"/>
    <xf numFmtId="0" fontId="38" fillId="0" borderId="0"/>
    <xf numFmtId="0" fontId="35" fillId="0" borderId="0"/>
    <xf numFmtId="0" fontId="38" fillId="0" borderId="0"/>
    <xf numFmtId="0" fontId="38" fillId="0" borderId="0"/>
    <xf numFmtId="169" fontId="49" fillId="0" borderId="0" applyProtection="0"/>
    <xf numFmtId="0" fontId="38" fillId="0" borderId="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38"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183" fontId="97" fillId="28" borderId="0"/>
    <xf numFmtId="0" fontId="75" fillId="12" borderId="14" applyNumberFormat="0" applyAlignment="0" applyProtection="0"/>
    <xf numFmtId="0" fontId="92" fillId="0" borderId="0"/>
    <xf numFmtId="9" fontId="38" fillId="0" borderId="0" applyFont="0" applyFill="0" applyBorder="0" applyAlignment="0" applyProtection="0"/>
    <xf numFmtId="184" fontId="65" fillId="0" borderId="0" applyFont="0" applyFill="0" applyBorder="0" applyAlignment="0" applyProtection="0"/>
    <xf numFmtId="10" fontId="38" fillId="0" borderId="0" applyFont="0" applyFill="0" applyBorder="0" applyAlignment="0" applyProtection="0"/>
    <xf numFmtId="9" fontId="4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9"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0" fontId="66" fillId="0" borderId="7">
      <alignment horizontal="center"/>
    </xf>
    <xf numFmtId="3" fontId="65" fillId="0" borderId="0" applyFont="0" applyFill="0" applyBorder="0" applyAlignment="0" applyProtection="0"/>
    <xf numFmtId="0" fontId="65" fillId="29" borderId="0" applyNumberFormat="0" applyFont="0" applyBorder="0" applyAlignment="0" applyProtection="0"/>
    <xf numFmtId="0" fontId="38" fillId="0" borderId="0" applyNumberFormat="0" applyFill="0" applyBorder="0" applyAlignment="0" applyProtection="0"/>
    <xf numFmtId="0" fontId="38" fillId="30" borderId="14" applyNumberFormat="0" applyProtection="0">
      <alignment horizontal="left" vertical="center" indent="1"/>
    </xf>
    <xf numFmtId="4" fontId="58" fillId="31" borderId="14" applyNumberFormat="0" applyProtection="0">
      <alignment horizontal="right" vertical="center"/>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51" fillId="32" borderId="0"/>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175" fontId="38" fillId="0" borderId="0">
      <alignment horizontal="left" wrapText="1"/>
    </xf>
    <xf numFmtId="0" fontId="38" fillId="24" borderId="3" applyNumberFormat="0" applyFont="0" applyAlignment="0"/>
    <xf numFmtId="0" fontId="47" fillId="0" borderId="0" applyFill="0" applyBorder="0" applyProtection="0">
      <alignment horizontal="left" vertical="top"/>
    </xf>
    <xf numFmtId="40" fontId="98" fillId="0" borderId="0"/>
    <xf numFmtId="0" fontId="86" fillId="0" borderId="0" applyNumberFormat="0" applyFill="0" applyBorder="0" applyAlignment="0" applyProtection="0"/>
    <xf numFmtId="0" fontId="76" fillId="0" borderId="15" applyNumberFormat="0" applyFill="0" applyAlignment="0" applyProtection="0"/>
    <xf numFmtId="0" fontId="74" fillId="0" borderId="0" applyNumberFormat="0" applyFill="0" applyBorder="0" applyAlignment="0" applyProtection="0"/>
    <xf numFmtId="43" fontId="32" fillId="0" borderId="0" applyFont="0" applyFill="0" applyBorder="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0" fontId="77" fillId="12" borderId="1" applyNumberFormat="0" applyAlignment="0" applyProtection="0"/>
    <xf numFmtId="41"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6" fillId="0" borderId="0" applyFont="0" applyFill="0" applyBorder="0" applyAlignment="0" applyProtection="0"/>
    <xf numFmtId="43" fontId="38" fillId="0" borderId="0" applyNumberForma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107"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86" fontId="108" fillId="0" borderId="0" applyFont="0" applyFill="0" applyBorder="0" applyProtection="0">
      <alignment horizontal="right"/>
    </xf>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187" fontId="60" fillId="0" borderId="0" applyNumberFormat="0" applyFill="0" applyBorder="0" applyAlignment="0" applyProtection="0"/>
    <xf numFmtId="37" fontId="109" fillId="0" borderId="0" applyNumberFormat="0" applyFill="0" applyBorder="0"/>
    <xf numFmtId="0" fontId="61" fillId="0" borderId="48" applyNumberFormat="0" applyBorder="0" applyAlignment="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6" fillId="0" borderId="0"/>
    <xf numFmtId="0" fontId="10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8" fillId="0" borderId="0"/>
    <xf numFmtId="0" fontId="65" fillId="0" borderId="0"/>
    <xf numFmtId="0" fontId="65" fillId="0" borderId="0"/>
    <xf numFmtId="165" fontId="42" fillId="0" borderId="0"/>
    <xf numFmtId="165" fontId="4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38"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61" fillId="6" borderId="13" applyNumberFormat="0" applyFon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0" fontId="75" fillId="12" borderId="14" applyNumberFormat="0" applyAlignment="0" applyProtection="0"/>
    <xf numFmtId="12" fontId="40" fillId="38" borderId="7">
      <alignment horizontal="left"/>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6" fillId="0" borderId="7">
      <alignment horizontal="center"/>
    </xf>
    <xf numFmtId="4" fontId="68" fillId="27" borderId="49" applyNumberFormat="0" applyProtection="0">
      <alignment vertical="center"/>
    </xf>
    <xf numFmtId="4" fontId="110" fillId="34" borderId="49" applyNumberFormat="0" applyProtection="0">
      <alignment vertical="center"/>
    </xf>
    <xf numFmtId="4" fontId="68" fillId="34" borderId="49" applyNumberFormat="0" applyProtection="0">
      <alignment vertical="center"/>
    </xf>
    <xf numFmtId="4" fontId="68" fillId="34" borderId="49" applyNumberFormat="0" applyProtection="0">
      <alignment horizontal="left" vertical="center" indent="1"/>
    </xf>
    <xf numFmtId="4" fontId="68" fillId="34" borderId="49" applyNumberFormat="0" applyProtection="0">
      <alignment horizontal="left" vertical="center" indent="1"/>
    </xf>
    <xf numFmtId="4" fontId="68" fillId="34" borderId="49" applyNumberFormat="0" applyProtection="0">
      <alignment horizontal="left" vertical="center" indent="1"/>
    </xf>
    <xf numFmtId="4" fontId="68" fillId="34" borderId="49" applyNumberFormat="0" applyProtection="0">
      <alignment horizontal="left" vertical="center" indent="1"/>
    </xf>
    <xf numFmtId="4" fontId="68" fillId="34" borderId="49" applyNumberFormat="0" applyProtection="0">
      <alignment horizontal="left" vertical="center" indent="1"/>
    </xf>
    <xf numFmtId="4" fontId="68" fillId="34" borderId="49" applyNumberFormat="0" applyProtection="0">
      <alignment horizontal="left" vertical="center" indent="1"/>
    </xf>
    <xf numFmtId="0" fontId="68" fillId="34" borderId="49" applyNumberFormat="0" applyProtection="0">
      <alignment horizontal="left" vertical="top"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4" fontId="68" fillId="39" borderId="49" applyNumberFormat="0" applyProtection="0"/>
    <xf numFmtId="4" fontId="58" fillId="5" borderId="49" applyNumberFormat="0" applyProtection="0">
      <alignment horizontal="right" vertical="center"/>
    </xf>
    <xf numFmtId="4" fontId="58" fillId="4" borderId="49" applyNumberFormat="0" applyProtection="0">
      <alignment horizontal="right" vertical="center"/>
    </xf>
    <xf numFmtId="4" fontId="58" fillId="19" borderId="49" applyNumberFormat="0" applyProtection="0">
      <alignment horizontal="right" vertical="center"/>
    </xf>
    <xf numFmtId="4" fontId="58" fillId="13" borderId="49" applyNumberFormat="0" applyProtection="0">
      <alignment horizontal="right" vertical="center"/>
    </xf>
    <xf numFmtId="4" fontId="58" fillId="17" borderId="49" applyNumberFormat="0" applyProtection="0">
      <alignment horizontal="right" vertical="center"/>
    </xf>
    <xf numFmtId="4" fontId="58" fillId="21" borderId="49" applyNumberFormat="0" applyProtection="0">
      <alignment horizontal="right" vertical="center"/>
    </xf>
    <xf numFmtId="4" fontId="58" fillId="20" borderId="49" applyNumberFormat="0" applyProtection="0">
      <alignment horizontal="right" vertical="center"/>
    </xf>
    <xf numFmtId="4" fontId="58" fillId="40" borderId="49" applyNumberFormat="0" applyProtection="0">
      <alignment horizontal="right" vertical="center"/>
    </xf>
    <xf numFmtId="4" fontId="58" fillId="11" borderId="49" applyNumberFormat="0" applyProtection="0">
      <alignment horizontal="right" vertical="center"/>
    </xf>
    <xf numFmtId="4" fontId="68" fillId="41" borderId="50" applyNumberFormat="0" applyProtection="0">
      <alignment horizontal="left" vertical="center" indent="1"/>
    </xf>
    <xf numFmtId="4" fontId="58" fillId="42" borderId="0" applyNumberFormat="0" applyProtection="0">
      <alignment horizontal="left" vertical="center" indent="1"/>
    </xf>
    <xf numFmtId="4" fontId="58" fillId="42" borderId="0" applyNumberFormat="0" applyProtection="0">
      <alignment horizontal="left" indent="1"/>
    </xf>
    <xf numFmtId="4" fontId="58" fillId="42" borderId="0" applyNumberFormat="0" applyProtection="0">
      <alignment horizontal="left" indent="1"/>
    </xf>
    <xf numFmtId="4" fontId="58" fillId="42" borderId="0" applyNumberFormat="0" applyProtection="0">
      <alignment horizontal="left" indent="1"/>
    </xf>
    <xf numFmtId="4" fontId="58" fillId="42" borderId="0" applyNumberFormat="0" applyProtection="0">
      <alignment horizontal="left" indent="1"/>
    </xf>
    <xf numFmtId="4" fontId="58" fillId="42" borderId="0" applyNumberFormat="0" applyProtection="0">
      <alignment horizontal="left" indent="1"/>
    </xf>
    <xf numFmtId="4" fontId="58" fillId="42" borderId="0" applyNumberFormat="0" applyProtection="0">
      <alignment horizontal="left" indent="1"/>
    </xf>
    <xf numFmtId="4" fontId="111" fillId="43" borderId="0" applyNumberFormat="0" applyProtection="0">
      <alignment horizontal="left" vertical="center" indent="1"/>
    </xf>
    <xf numFmtId="4" fontId="111" fillId="43" borderId="0" applyNumberFormat="0" applyProtection="0">
      <alignment horizontal="left" vertical="center" indent="1"/>
    </xf>
    <xf numFmtId="4" fontId="111" fillId="43" borderId="0" applyNumberFormat="0" applyProtection="0">
      <alignment horizontal="left" vertical="center" indent="1"/>
    </xf>
    <xf numFmtId="4" fontId="111" fillId="43" borderId="0" applyNumberFormat="0" applyProtection="0">
      <alignment horizontal="left" vertical="center" indent="1"/>
    </xf>
    <xf numFmtId="4" fontId="111" fillId="43" borderId="0" applyNumberFormat="0" applyProtection="0">
      <alignment horizontal="left" vertical="center" indent="1"/>
    </xf>
    <xf numFmtId="4" fontId="58" fillId="44" borderId="49" applyNumberFormat="0" applyProtection="0">
      <alignment horizontal="right" vertical="center"/>
    </xf>
    <xf numFmtId="4" fontId="112" fillId="0" borderId="0" applyNumberFormat="0" applyProtection="0">
      <alignment horizontal="left" vertical="center" indent="1"/>
    </xf>
    <xf numFmtId="4" fontId="113" fillId="45" borderId="0" applyNumberFormat="0" applyProtection="0">
      <alignment horizontal="left" indent="1"/>
    </xf>
    <xf numFmtId="4" fontId="113" fillId="45" borderId="0" applyNumberFormat="0" applyProtection="0">
      <alignment horizontal="left" indent="1"/>
    </xf>
    <xf numFmtId="4" fontId="113" fillId="45" borderId="0" applyNumberFormat="0" applyProtection="0">
      <alignment horizontal="left" indent="1"/>
    </xf>
    <xf numFmtId="4" fontId="113" fillId="45" borderId="0" applyNumberFormat="0" applyProtection="0">
      <alignment horizontal="left" indent="1"/>
    </xf>
    <xf numFmtId="4" fontId="113" fillId="45" borderId="0" applyNumberFormat="0" applyProtection="0">
      <alignment horizontal="left" indent="1"/>
    </xf>
    <xf numFmtId="4" fontId="113" fillId="45" borderId="0" applyNumberFormat="0" applyProtection="0">
      <alignment horizontal="left" indent="1"/>
    </xf>
    <xf numFmtId="4" fontId="113" fillId="45" borderId="0" applyNumberFormat="0" applyProtection="0">
      <alignment horizontal="left" indent="1"/>
    </xf>
    <xf numFmtId="4" fontId="114" fillId="0" borderId="0" applyNumberFormat="0" applyProtection="0">
      <alignment horizontal="left" vertical="center" indent="1"/>
    </xf>
    <xf numFmtId="4" fontId="114" fillId="46" borderId="0" applyNumberFormat="0" applyProtection="0"/>
    <xf numFmtId="4" fontId="114" fillId="46" borderId="0" applyNumberFormat="0" applyProtection="0"/>
    <xf numFmtId="4" fontId="114" fillId="46" borderId="0" applyNumberFormat="0" applyProtection="0"/>
    <xf numFmtId="4" fontId="114" fillId="46" borderId="0" applyNumberFormat="0" applyProtection="0"/>
    <xf numFmtId="4" fontId="114" fillId="46" borderId="0" applyNumberFormat="0" applyProtection="0"/>
    <xf numFmtId="4" fontId="114" fillId="46" borderId="0" applyNumberFormat="0" applyProtection="0"/>
    <xf numFmtId="4" fontId="114" fillId="46" borderId="0" applyNumberFormat="0" applyProtection="0"/>
    <xf numFmtId="0" fontId="38" fillId="43" borderId="49" applyNumberFormat="0" applyProtection="0">
      <alignment horizontal="left" vertical="center" indent="1"/>
    </xf>
    <xf numFmtId="0" fontId="38" fillId="43" borderId="49" applyNumberFormat="0" applyProtection="0">
      <alignment horizontal="left" vertical="center" indent="1"/>
    </xf>
    <xf numFmtId="0" fontId="38" fillId="43" borderId="49" applyNumberFormat="0" applyProtection="0">
      <alignment horizontal="left" vertical="center" indent="1"/>
    </xf>
    <xf numFmtId="0" fontId="38" fillId="43" borderId="49" applyNumberFormat="0" applyProtection="0">
      <alignment horizontal="left" vertical="center" indent="1"/>
    </xf>
    <xf numFmtId="0" fontId="38" fillId="43" borderId="49" applyNumberFormat="0" applyProtection="0">
      <alignment horizontal="left" vertical="center"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43" borderId="49" applyNumberFormat="0" applyProtection="0">
      <alignment horizontal="left" vertical="top" indent="1"/>
    </xf>
    <xf numFmtId="0" fontId="38" fillId="39" borderId="49" applyNumberFormat="0" applyProtection="0">
      <alignment horizontal="left" vertical="center" indent="1"/>
    </xf>
    <xf numFmtId="0" fontId="38" fillId="39" borderId="49" applyNumberFormat="0" applyProtection="0">
      <alignment horizontal="left" vertical="center" indent="1"/>
    </xf>
    <xf numFmtId="0" fontId="38" fillId="39" borderId="49" applyNumberFormat="0" applyProtection="0">
      <alignment horizontal="left" vertical="center" indent="1"/>
    </xf>
    <xf numFmtId="0" fontId="38" fillId="39" borderId="49" applyNumberFormat="0" applyProtection="0">
      <alignment horizontal="left" vertical="center" indent="1"/>
    </xf>
    <xf numFmtId="0" fontId="38" fillId="39" borderId="49" applyNumberFormat="0" applyProtection="0">
      <alignment horizontal="left" vertical="center" indent="1"/>
    </xf>
    <xf numFmtId="0" fontId="38" fillId="39" borderId="49" applyNumberFormat="0" applyProtection="0">
      <alignment horizontal="left" vertical="top" indent="1"/>
    </xf>
    <xf numFmtId="0" fontId="38" fillId="39" borderId="49" applyNumberFormat="0" applyProtection="0">
      <alignment horizontal="left" vertical="top" indent="1"/>
    </xf>
    <xf numFmtId="0" fontId="38" fillId="39" borderId="49" applyNumberFormat="0" applyProtection="0">
      <alignment horizontal="left" vertical="top" indent="1"/>
    </xf>
    <xf numFmtId="0" fontId="38" fillId="39" borderId="49" applyNumberFormat="0" applyProtection="0">
      <alignment horizontal="left" vertical="top" indent="1"/>
    </xf>
    <xf numFmtId="0" fontId="38" fillId="39" borderId="49" applyNumberFormat="0" applyProtection="0">
      <alignment horizontal="left" vertical="top" indent="1"/>
    </xf>
    <xf numFmtId="0" fontId="38" fillId="36" borderId="49" applyNumberFormat="0" applyProtection="0">
      <alignment horizontal="left" vertical="center" indent="1"/>
    </xf>
    <xf numFmtId="0" fontId="38" fillId="36" borderId="49" applyNumberFormat="0" applyProtection="0">
      <alignment horizontal="left" vertical="center" indent="1"/>
    </xf>
    <xf numFmtId="0" fontId="38" fillId="36" borderId="49" applyNumberFormat="0" applyProtection="0">
      <alignment horizontal="left" vertical="center" indent="1"/>
    </xf>
    <xf numFmtId="0" fontId="38" fillId="36" borderId="49" applyNumberFormat="0" applyProtection="0">
      <alignment horizontal="left" vertical="center" indent="1"/>
    </xf>
    <xf numFmtId="0" fontId="38" fillId="36" borderId="49" applyNumberFormat="0" applyProtection="0">
      <alignment horizontal="left" vertical="center" indent="1"/>
    </xf>
    <xf numFmtId="0" fontId="38" fillId="36" borderId="49" applyNumberFormat="0" applyProtection="0">
      <alignment horizontal="left" vertical="top" indent="1"/>
    </xf>
    <xf numFmtId="0" fontId="38" fillId="36" borderId="49" applyNumberFormat="0" applyProtection="0">
      <alignment horizontal="left" vertical="top" indent="1"/>
    </xf>
    <xf numFmtId="0" fontId="38" fillId="36" borderId="49" applyNumberFormat="0" applyProtection="0">
      <alignment horizontal="left" vertical="top" indent="1"/>
    </xf>
    <xf numFmtId="0" fontId="38" fillId="36" borderId="49" applyNumberFormat="0" applyProtection="0">
      <alignment horizontal="left" vertical="top" indent="1"/>
    </xf>
    <xf numFmtId="0" fontId="38" fillId="36" borderId="49" applyNumberFormat="0" applyProtection="0">
      <alignment horizontal="left" vertical="top" indent="1"/>
    </xf>
    <xf numFmtId="0" fontId="38" fillId="47" borderId="49" applyNumberFormat="0" applyProtection="0">
      <alignment horizontal="left" vertical="center" indent="1"/>
    </xf>
    <xf numFmtId="0" fontId="38" fillId="47" borderId="49" applyNumberFormat="0" applyProtection="0">
      <alignment horizontal="left" vertical="center" indent="1"/>
    </xf>
    <xf numFmtId="0" fontId="38" fillId="47" borderId="49" applyNumberFormat="0" applyProtection="0">
      <alignment horizontal="left" vertical="center" indent="1"/>
    </xf>
    <xf numFmtId="0" fontId="38" fillId="47" borderId="49" applyNumberFormat="0" applyProtection="0">
      <alignment horizontal="left" vertical="center" indent="1"/>
    </xf>
    <xf numFmtId="0" fontId="38" fillId="47" borderId="49" applyNumberFormat="0" applyProtection="0">
      <alignment horizontal="left" vertical="center" indent="1"/>
    </xf>
    <xf numFmtId="0" fontId="38" fillId="47" borderId="49" applyNumberFormat="0" applyProtection="0">
      <alignment horizontal="left" vertical="top" indent="1"/>
    </xf>
    <xf numFmtId="0" fontId="38" fillId="47" borderId="49" applyNumberFormat="0" applyProtection="0">
      <alignment horizontal="left" vertical="top" indent="1"/>
    </xf>
    <xf numFmtId="0" fontId="38" fillId="47" borderId="49" applyNumberFormat="0" applyProtection="0">
      <alignment horizontal="left" vertical="top" indent="1"/>
    </xf>
    <xf numFmtId="0" fontId="38" fillId="47" borderId="49" applyNumberFormat="0" applyProtection="0">
      <alignment horizontal="left" vertical="top" indent="1"/>
    </xf>
    <xf numFmtId="0" fontId="38" fillId="47" borderId="49" applyNumberFormat="0" applyProtection="0">
      <alignment horizontal="left" vertical="top" indent="1"/>
    </xf>
    <xf numFmtId="4" fontId="58" fillId="26" borderId="49" applyNumberFormat="0" applyProtection="0">
      <alignment vertical="center"/>
    </xf>
    <xf numFmtId="4" fontId="115" fillId="26" borderId="49" applyNumberFormat="0" applyProtection="0">
      <alignment vertical="center"/>
    </xf>
    <xf numFmtId="4" fontId="58" fillId="26" borderId="49" applyNumberFormat="0" applyProtection="0">
      <alignment horizontal="left" vertical="center" indent="1"/>
    </xf>
    <xf numFmtId="0" fontId="58" fillId="26" borderId="49" applyNumberFormat="0" applyProtection="0">
      <alignment horizontal="left" vertical="top" indent="1"/>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31" borderId="14" applyNumberFormat="0" applyProtection="0">
      <alignment horizontal="right" vertical="center"/>
    </xf>
    <xf numFmtId="4" fontId="58" fillId="0" borderId="49" applyNumberFormat="0" applyProtection="0">
      <alignment horizontal="right" vertical="center"/>
    </xf>
    <xf numFmtId="4" fontId="115" fillId="42" borderId="49" applyNumberFormat="0" applyProtection="0">
      <alignment horizontal="right" vertical="center"/>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4" fontId="58" fillId="44" borderId="49"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4" fontId="58" fillId="0" borderId="49"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38" fillId="30" borderId="14" applyNumberFormat="0" applyProtection="0">
      <alignment horizontal="left" vertical="center" indent="1"/>
    </xf>
    <xf numFmtId="0" fontId="58" fillId="39" borderId="49" applyNumberFormat="0" applyProtection="0">
      <alignment horizontal="left" vertical="top"/>
    </xf>
    <xf numFmtId="4" fontId="54" fillId="0" borderId="0" applyNumberFormat="0" applyProtection="0">
      <alignment horizontal="left" vertical="center"/>
    </xf>
    <xf numFmtId="4" fontId="51" fillId="48" borderId="0" applyNumberFormat="0" applyProtection="0">
      <alignment horizontal="left"/>
    </xf>
    <xf numFmtId="4" fontId="51" fillId="48" borderId="0" applyNumberFormat="0" applyProtection="0">
      <alignment horizontal="left"/>
    </xf>
    <xf numFmtId="4" fontId="51" fillId="48" borderId="0" applyNumberFormat="0" applyProtection="0">
      <alignment horizontal="left"/>
    </xf>
    <xf numFmtId="4" fontId="51" fillId="48" borderId="0" applyNumberFormat="0" applyProtection="0">
      <alignment horizontal="left"/>
    </xf>
    <xf numFmtId="4" fontId="51" fillId="48" borderId="0" applyNumberFormat="0" applyProtection="0">
      <alignment horizontal="left"/>
    </xf>
    <xf numFmtId="4" fontId="51" fillId="48" borderId="0" applyNumberFormat="0" applyProtection="0">
      <alignment horizontal="left"/>
    </xf>
    <xf numFmtId="4" fontId="51" fillId="48" borderId="0" applyNumberFormat="0" applyProtection="0">
      <alignment horizontal="left"/>
    </xf>
    <xf numFmtId="4" fontId="41" fillId="42" borderId="49" applyNumberFormat="0" applyProtection="0">
      <alignment horizontal="right" vertical="center"/>
    </xf>
    <xf numFmtId="188" fontId="38" fillId="0" borderId="0" applyFill="0" applyBorder="0" applyAlignment="0" applyProtection="0">
      <alignment wrapText="1"/>
    </xf>
    <xf numFmtId="0" fontId="39" fillId="0" borderId="0" applyNumberFormat="0" applyFill="0" applyBorder="0">
      <alignment horizontal="center" wrapText="1"/>
    </xf>
    <xf numFmtId="0" fontId="39" fillId="0" borderId="0" applyNumberFormat="0" applyFill="0" applyBorder="0">
      <alignment horizontal="center" wrapText="1"/>
    </xf>
    <xf numFmtId="0" fontId="39" fillId="0" borderId="11">
      <alignment horizontal="center" vertical="center" wrapText="1"/>
    </xf>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0" fontId="76" fillId="0" borderId="15" applyNumberFormat="0" applyFill="0" applyAlignment="0" applyProtection="0"/>
    <xf numFmtId="37" fontId="61" fillId="34" borderId="0" applyNumberFormat="0" applyBorder="0" applyAlignment="0" applyProtection="0"/>
    <xf numFmtId="37" fontId="61" fillId="0" borderId="0"/>
    <xf numFmtId="3" fontId="116" fillId="49" borderId="51" applyProtection="0"/>
    <xf numFmtId="0" fontId="65" fillId="0" borderId="0"/>
    <xf numFmtId="0" fontId="33" fillId="0" borderId="0"/>
    <xf numFmtId="0" fontId="31" fillId="0" borderId="0"/>
    <xf numFmtId="0" fontId="31" fillId="0" borderId="0"/>
    <xf numFmtId="0" fontId="31" fillId="0" borderId="0"/>
    <xf numFmtId="0" fontId="38" fillId="0" borderId="0"/>
    <xf numFmtId="0" fontId="103" fillId="0" borderId="0"/>
    <xf numFmtId="0" fontId="38" fillId="0" borderId="0">
      <alignment vertical="top"/>
    </xf>
    <xf numFmtId="9" fontId="49" fillId="0" borderId="0" applyFont="0" applyFill="0" applyBorder="0" applyAlignment="0" applyProtection="0"/>
    <xf numFmtId="0" fontId="30" fillId="0" borderId="0"/>
    <xf numFmtId="0" fontId="33" fillId="0" borderId="0"/>
    <xf numFmtId="0" fontId="30" fillId="0" borderId="0"/>
    <xf numFmtId="0" fontId="30" fillId="0" borderId="0"/>
    <xf numFmtId="44" fontId="103" fillId="0" borderId="0" applyFont="0" applyFill="0" applyBorder="0" applyAlignment="0" applyProtection="0"/>
    <xf numFmtId="0" fontId="29" fillId="0" borderId="0"/>
    <xf numFmtId="43" fontId="29" fillId="0" borderId="0" applyFont="0" applyFill="0" applyBorder="0" applyAlignment="0" applyProtection="0"/>
    <xf numFmtId="43" fontId="122" fillId="0" borderId="0" applyFont="0" applyFill="0" applyBorder="0" applyAlignment="0" applyProtection="0"/>
    <xf numFmtId="9" fontId="122" fillId="0" borderId="0" applyFont="0" applyFill="0" applyBorder="0" applyAlignment="0" applyProtection="0"/>
    <xf numFmtId="0" fontId="33" fillId="3"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38" fillId="6" borderId="13" applyNumberFormat="0" applyFont="0" applyAlignment="0" applyProtection="0"/>
    <xf numFmtId="43" fontId="122" fillId="0" borderId="0" applyFont="0" applyFill="0" applyBorder="0" applyAlignment="0" applyProtection="0"/>
    <xf numFmtId="0" fontId="38" fillId="6" borderId="13" applyNumberFormat="0" applyFont="0" applyAlignment="0" applyProtection="0"/>
    <xf numFmtId="0" fontId="38" fillId="0" borderId="0"/>
    <xf numFmtId="0" fontId="73" fillId="8" borderId="1" applyNumberFormat="0" applyAlignment="0" applyProtection="0"/>
    <xf numFmtId="0" fontId="38" fillId="6" borderId="13" applyNumberFormat="0" applyFont="0" applyAlignment="0" applyProtection="0"/>
    <xf numFmtId="9" fontId="122" fillId="0" borderId="0" applyFont="0" applyFill="0" applyBorder="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73" fillId="8" borderId="1" applyNumberFormat="0" applyAlignment="0" applyProtection="0"/>
    <xf numFmtId="0" fontId="38" fillId="6" borderId="13" applyNumberFormat="0" applyFont="0" applyAlignment="0" applyProtection="0"/>
    <xf numFmtId="0" fontId="73" fillId="8" borderId="1" applyNumberFormat="0" applyAlignment="0" applyProtection="0"/>
    <xf numFmtId="0" fontId="38" fillId="6" borderId="13" applyNumberFormat="0" applyFont="0" applyAlignment="0" applyProtection="0"/>
    <xf numFmtId="0" fontId="38" fillId="6" borderId="13" applyNumberFormat="0" applyFont="0" applyAlignment="0" applyProtection="0"/>
    <xf numFmtId="0" fontId="38" fillId="0" borderId="0"/>
    <xf numFmtId="0" fontId="38" fillId="6" borderId="13" applyNumberFormat="0" applyFont="0" applyAlignment="0" applyProtection="0"/>
    <xf numFmtId="0" fontId="38" fillId="0" borderId="0"/>
    <xf numFmtId="0" fontId="38" fillId="6" borderId="13" applyNumberFormat="0" applyFont="0" applyAlignment="0" applyProtection="0"/>
    <xf numFmtId="0" fontId="38" fillId="0" borderId="0"/>
    <xf numFmtId="0" fontId="38" fillId="6" borderId="13" applyNumberFormat="0" applyFont="0" applyAlignment="0" applyProtection="0"/>
    <xf numFmtId="0" fontId="38" fillId="0" borderId="0"/>
    <xf numFmtId="0" fontId="38" fillId="6" borderId="13"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3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8" fillId="0" borderId="0"/>
    <xf numFmtId="0" fontId="28" fillId="0" borderId="0"/>
    <xf numFmtId="0" fontId="3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28" fillId="0" borderId="0"/>
    <xf numFmtId="0" fontId="3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123" fillId="0" borderId="0" applyFont="0" applyFill="0" applyBorder="0" applyAlignment="0" applyProtection="0"/>
    <xf numFmtId="9" fontId="123" fillId="0" borderId="0" applyFont="0" applyFill="0" applyBorder="0" applyAlignment="0" applyProtection="0"/>
    <xf numFmtId="43" fontId="123" fillId="0" borderId="0" applyFont="0" applyFill="0" applyBorder="0" applyAlignment="0" applyProtection="0"/>
    <xf numFmtId="9" fontId="123"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0" fontId="3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169" fontId="49" fillId="0" borderId="0" applyProtection="0"/>
    <xf numFmtId="0" fontId="38" fillId="0" borderId="0"/>
    <xf numFmtId="169" fontId="49" fillId="0" borderId="0" applyProtection="0"/>
    <xf numFmtId="169" fontId="49" fillId="0" borderId="0" applyProtection="0"/>
    <xf numFmtId="0" fontId="49" fillId="0" borderId="0" applyProtection="0"/>
    <xf numFmtId="0" fontId="9" fillId="0" borderId="0"/>
    <xf numFmtId="0" fontId="9" fillId="0" borderId="0"/>
    <xf numFmtId="43" fontId="24" fillId="0" borderId="0" applyFont="0" applyFill="0" applyBorder="0" applyAlignment="0" applyProtection="0"/>
    <xf numFmtId="0" fontId="1" fillId="0" borderId="0"/>
    <xf numFmtId="43" fontId="1" fillId="0" borderId="0" applyFont="0" applyFill="0" applyBorder="0" applyAlignment="0" applyProtection="0"/>
  </cellStyleXfs>
  <cellXfs count="2154">
    <xf numFmtId="0" fontId="0" fillId="0" borderId="0" xfId="0"/>
    <xf numFmtId="0" fontId="40" fillId="0" borderId="0" xfId="0" applyFont="1"/>
    <xf numFmtId="0" fontId="42" fillId="0" borderId="0" xfId="0" applyFont="1" applyAlignment="1"/>
    <xf numFmtId="0" fontId="40" fillId="0" borderId="17" xfId="0" applyNumberFormat="1" applyFont="1" applyFill="1" applyBorder="1" applyAlignment="1"/>
    <xf numFmtId="0" fontId="40" fillId="0" borderId="17" xfId="0" applyFont="1" applyBorder="1"/>
    <xf numFmtId="0" fontId="40" fillId="0" borderId="0" xfId="0" applyNumberFormat="1" applyFont="1" applyFill="1" applyBorder="1" applyAlignment="1"/>
    <xf numFmtId="0" fontId="42" fillId="0" borderId="0" xfId="0" applyFont="1" applyBorder="1" applyAlignment="1"/>
    <xf numFmtId="0" fontId="42" fillId="0" borderId="0" xfId="0" applyNumberFormat="1" applyFont="1" applyBorder="1" applyAlignment="1">
      <alignment horizontal="center"/>
    </xf>
    <xf numFmtId="0" fontId="42" fillId="0" borderId="0" xfId="0" applyNumberFormat="1" applyFont="1" applyBorder="1" applyAlignment="1">
      <alignment horizontal="left"/>
    </xf>
    <xf numFmtId="0" fontId="42" fillId="0" borderId="0" xfId="0" applyFont="1" applyFill="1" applyBorder="1" applyAlignment="1"/>
    <xf numFmtId="0" fontId="42" fillId="0" borderId="0" xfId="0" applyFont="1" applyBorder="1"/>
    <xf numFmtId="0" fontId="40" fillId="0" borderId="0" xfId="0" applyNumberFormat="1" applyFont="1" applyBorder="1" applyAlignment="1"/>
    <xf numFmtId="0" fontId="42" fillId="0" borderId="18" xfId="0" applyFont="1" applyFill="1" applyBorder="1" applyAlignment="1">
      <alignment horizontal="left"/>
    </xf>
    <xf numFmtId="0" fontId="42" fillId="0" borderId="18" xfId="0" applyNumberFormat="1" applyFont="1" applyBorder="1" applyAlignment="1">
      <alignment horizontal="left"/>
    </xf>
    <xf numFmtId="0" fontId="42" fillId="0" borderId="0" xfId="0" applyFont="1" applyFill="1" applyBorder="1" applyAlignment="1">
      <alignment horizontal="left"/>
    </xf>
    <xf numFmtId="0" fontId="42" fillId="0" borderId="0" xfId="0" applyFont="1" applyFill="1" applyBorder="1"/>
    <xf numFmtId="0" fontId="40" fillId="0" borderId="17" xfId="0" applyFont="1" applyBorder="1" applyAlignment="1"/>
    <xf numFmtId="0" fontId="42" fillId="0" borderId="17" xfId="0" applyFont="1" applyBorder="1"/>
    <xf numFmtId="168" fontId="40" fillId="0" borderId="17" xfId="0" applyNumberFormat="1" applyFont="1" applyBorder="1" applyAlignment="1">
      <alignment horizontal="left"/>
    </xf>
    <xf numFmtId="0" fontId="42" fillId="0" borderId="17" xfId="0" applyFont="1" applyFill="1" applyBorder="1" applyAlignment="1"/>
    <xf numFmtId="0" fontId="53" fillId="0" borderId="0" xfId="0" applyFont="1" applyFill="1" applyBorder="1" applyAlignment="1"/>
    <xf numFmtId="0" fontId="40" fillId="0" borderId="0" xfId="0" applyFont="1" applyBorder="1" applyAlignment="1"/>
    <xf numFmtId="168" fontId="40" fillId="0" borderId="0" xfId="0" applyNumberFormat="1" applyFont="1" applyBorder="1" applyAlignment="1">
      <alignment horizontal="left"/>
    </xf>
    <xf numFmtId="0" fontId="42" fillId="33" borderId="0" xfId="0" applyNumberFormat="1" applyFont="1" applyFill="1" applyAlignment="1">
      <alignment horizontal="center"/>
    </xf>
    <xf numFmtId="0" fontId="53" fillId="33" borderId="0" xfId="0" applyNumberFormat="1" applyFont="1" applyFill="1" applyAlignment="1">
      <alignment horizontal="left"/>
    </xf>
    <xf numFmtId="0" fontId="42" fillId="0" borderId="18" xfId="0" applyNumberFormat="1" applyFont="1" applyFill="1" applyBorder="1" applyAlignment="1">
      <alignment horizontal="left"/>
    </xf>
    <xf numFmtId="0" fontId="40" fillId="0" borderId="0" xfId="0" applyNumberFormat="1" applyFont="1" applyBorder="1" applyAlignment="1">
      <alignment horizontal="left"/>
    </xf>
    <xf numFmtId="0" fontId="42" fillId="0" borderId="18" xfId="0" applyNumberFormat="1" applyFont="1" applyBorder="1" applyAlignment="1">
      <alignment horizontal="center"/>
    </xf>
    <xf numFmtId="0" fontId="42" fillId="0" borderId="0" xfId="0" applyFont="1" applyBorder="1" applyAlignment="1">
      <alignment horizontal="center"/>
    </xf>
    <xf numFmtId="0" fontId="40" fillId="0" borderId="17" xfId="0" applyFont="1" applyBorder="1" applyAlignment="1">
      <alignment horizontal="center"/>
    </xf>
    <xf numFmtId="0" fontId="42" fillId="0" borderId="18" xfId="0" applyNumberFormat="1" applyFont="1" applyFill="1" applyBorder="1" applyAlignment="1">
      <alignment horizontal="center"/>
    </xf>
    <xf numFmtId="0" fontId="42" fillId="0" borderId="18" xfId="0" applyFont="1" applyBorder="1" applyAlignment="1">
      <alignment horizontal="center"/>
    </xf>
    <xf numFmtId="0" fontId="40" fillId="0" borderId="0" xfId="0" applyFont="1" applyBorder="1" applyAlignment="1">
      <alignment horizontal="center"/>
    </xf>
    <xf numFmtId="0" fontId="42" fillId="0" borderId="0" xfId="0" applyNumberFormat="1" applyFont="1" applyFill="1" applyBorder="1" applyAlignment="1">
      <alignment horizontal="center"/>
    </xf>
    <xf numFmtId="0" fontId="44" fillId="0" borderId="0" xfId="0" applyFont="1" applyFill="1" applyBorder="1" applyAlignment="1">
      <alignment horizontal="center"/>
    </xf>
    <xf numFmtId="0" fontId="44" fillId="0" borderId="18" xfId="0" applyFont="1" applyFill="1" applyBorder="1" applyAlignment="1"/>
    <xf numFmtId="0" fontId="42" fillId="0" borderId="0" xfId="0" applyFont="1" applyFill="1" applyBorder="1" applyAlignment="1">
      <alignment horizontal="center"/>
    </xf>
    <xf numFmtId="0" fontId="40" fillId="0" borderId="0" xfId="0" applyFont="1" applyFill="1"/>
    <xf numFmtId="0" fontId="40" fillId="0" borderId="0" xfId="0" applyFont="1" applyFill="1" applyBorder="1"/>
    <xf numFmtId="0" fontId="47" fillId="0" borderId="0" xfId="0" applyFont="1"/>
    <xf numFmtId="0" fontId="39" fillId="0" borderId="0" xfId="0" applyFont="1" applyAlignment="1">
      <alignment horizontal="left"/>
    </xf>
    <xf numFmtId="0" fontId="40" fillId="0" borderId="0" xfId="0" applyNumberFormat="1" applyFont="1" applyFill="1" applyBorder="1" applyAlignment="1">
      <alignment horizontal="left"/>
    </xf>
    <xf numFmtId="0" fontId="39" fillId="0" borderId="0" xfId="0" applyFont="1" applyFill="1" applyAlignment="1">
      <alignment horizontal="center"/>
    </xf>
    <xf numFmtId="0" fontId="38" fillId="0" borderId="0" xfId="0" applyFont="1" applyFill="1"/>
    <xf numFmtId="0" fontId="38" fillId="0" borderId="0" xfId="0" applyFont="1"/>
    <xf numFmtId="0" fontId="38" fillId="0" borderId="0" xfId="0" applyFont="1" applyFill="1" applyBorder="1"/>
    <xf numFmtId="0" fontId="39" fillId="0" borderId="0" xfId="0" applyFont="1" applyFill="1" applyBorder="1" applyAlignment="1">
      <alignment horizontal="left"/>
    </xf>
    <xf numFmtId="37" fontId="40" fillId="0" borderId="0" xfId="0" applyNumberFormat="1" applyFont="1" applyBorder="1" applyAlignment="1">
      <alignment horizontal="right"/>
    </xf>
    <xf numFmtId="0" fontId="42" fillId="0" borderId="18" xfId="0" applyNumberFormat="1" applyFont="1" applyBorder="1" applyAlignment="1"/>
    <xf numFmtId="3" fontId="42" fillId="0" borderId="0" xfId="0" applyNumberFormat="1" applyFont="1" applyBorder="1" applyAlignment="1"/>
    <xf numFmtId="3" fontId="42" fillId="0" borderId="0" xfId="0" applyNumberFormat="1" applyFont="1" applyFill="1" applyBorder="1" applyAlignment="1"/>
    <xf numFmtId="0" fontId="40" fillId="0" borderId="0" xfId="0" applyFont="1" applyFill="1" applyBorder="1" applyAlignment="1"/>
    <xf numFmtId="0" fontId="40" fillId="0" borderId="0" xfId="0" applyNumberFormat="1" applyFont="1" applyFill="1" applyBorder="1" applyAlignment="1">
      <alignment horizontal="center"/>
    </xf>
    <xf numFmtId="3" fontId="42" fillId="0" borderId="17" xfId="0" applyNumberFormat="1" applyFont="1" applyFill="1" applyBorder="1" applyAlignment="1">
      <alignment horizontal="center"/>
    </xf>
    <xf numFmtId="0" fontId="42" fillId="0" borderId="0" xfId="0" applyNumberFormat="1" applyFont="1" applyBorder="1" applyAlignment="1"/>
    <xf numFmtId="3" fontId="42" fillId="0" borderId="0" xfId="0" applyNumberFormat="1" applyFont="1" applyBorder="1" applyAlignment="1">
      <alignment horizontal="center"/>
    </xf>
    <xf numFmtId="0" fontId="40" fillId="0" borderId="0" xfId="0" applyFont="1" applyBorder="1" applyAlignment="1">
      <alignment horizontal="left"/>
    </xf>
    <xf numFmtId="3" fontId="42" fillId="0" borderId="17" xfId="0" applyNumberFormat="1" applyFont="1" applyBorder="1" applyAlignment="1">
      <alignment horizontal="center"/>
    </xf>
    <xf numFmtId="0" fontId="42" fillId="0" borderId="0" xfId="0" applyNumberFormat="1" applyFont="1" applyFill="1" applyBorder="1" applyAlignment="1">
      <alignment horizontal="left"/>
    </xf>
    <xf numFmtId="0" fontId="40" fillId="0" borderId="17" xfId="0" applyNumberFormat="1" applyFont="1" applyBorder="1" applyAlignment="1">
      <alignment horizontal="left"/>
    </xf>
    <xf numFmtId="0" fontId="40" fillId="0" borderId="17" xfId="0" applyNumberFormat="1" applyFont="1" applyBorder="1" applyAlignment="1">
      <alignment horizontal="center"/>
    </xf>
    <xf numFmtId="0" fontId="42" fillId="0" borderId="0" xfId="0" applyNumberFormat="1" applyFont="1" applyFill="1" applyBorder="1" applyAlignment="1"/>
    <xf numFmtId="168" fontId="42" fillId="0" borderId="0" xfId="0" applyNumberFormat="1" applyFont="1" applyBorder="1" applyAlignment="1">
      <alignment horizontal="left"/>
    </xf>
    <xf numFmtId="0" fontId="42" fillId="0" borderId="18" xfId="0" applyNumberFormat="1" applyFont="1" applyFill="1" applyBorder="1" applyAlignment="1"/>
    <xf numFmtId="37" fontId="42" fillId="0" borderId="0" xfId="0" applyNumberFormat="1" applyFont="1" applyBorder="1" applyAlignment="1">
      <alignment horizontal="left"/>
    </xf>
    <xf numFmtId="0" fontId="40" fillId="0" borderId="0" xfId="0" applyNumberFormat="1" applyFont="1" applyBorder="1" applyAlignment="1">
      <alignment horizontal="center"/>
    </xf>
    <xf numFmtId="0" fontId="38" fillId="0" borderId="0" xfId="504" applyFont="1"/>
    <xf numFmtId="0" fontId="42" fillId="0" borderId="18" xfId="0" applyFont="1" applyFill="1" applyBorder="1" applyAlignment="1"/>
    <xf numFmtId="0" fontId="40" fillId="0" borderId="0" xfId="0" applyFont="1" applyBorder="1"/>
    <xf numFmtId="3" fontId="42" fillId="0" borderId="26" xfId="0" applyNumberFormat="1" applyFont="1" applyFill="1" applyBorder="1"/>
    <xf numFmtId="3" fontId="42" fillId="0" borderId="26" xfId="0" applyNumberFormat="1" applyFont="1" applyFill="1" applyBorder="1" applyAlignment="1"/>
    <xf numFmtId="3" fontId="40" fillId="0" borderId="27" xfId="0" applyNumberFormat="1" applyFont="1" applyFill="1" applyBorder="1" applyAlignment="1"/>
    <xf numFmtId="171" fontId="40" fillId="0" borderId="26" xfId="674" applyNumberFormat="1" applyFont="1" applyBorder="1" applyAlignment="1"/>
    <xf numFmtId="164" fontId="40" fillId="0" borderId="26" xfId="382" applyNumberFormat="1" applyFont="1" applyFill="1" applyBorder="1" applyAlignment="1"/>
    <xf numFmtId="0" fontId="39" fillId="0" borderId="0" xfId="0" applyFont="1" applyFill="1" applyBorder="1"/>
    <xf numFmtId="0" fontId="42" fillId="0" borderId="18" xfId="0" applyFont="1" applyFill="1" applyBorder="1" applyAlignment="1">
      <alignment horizontal="center"/>
    </xf>
    <xf numFmtId="0" fontId="42" fillId="0" borderId="22" xfId="0" applyNumberFormat="1" applyFont="1" applyFill="1" applyBorder="1" applyAlignment="1">
      <alignment horizontal="center"/>
    </xf>
    <xf numFmtId="0" fontId="45" fillId="0" borderId="0" xfId="0" applyFont="1" applyBorder="1" applyAlignment="1"/>
    <xf numFmtId="164" fontId="38" fillId="0" borderId="0" xfId="382" applyNumberFormat="1" applyFont="1" applyFill="1"/>
    <xf numFmtId="0" fontId="38" fillId="0" borderId="0" xfId="504" applyFont="1" applyFill="1"/>
    <xf numFmtId="0" fontId="38" fillId="0" borderId="0" xfId="504" applyFont="1" applyBorder="1"/>
    <xf numFmtId="171" fontId="42" fillId="0" borderId="30" xfId="674" applyNumberFormat="1" applyFont="1" applyFill="1" applyBorder="1" applyAlignment="1"/>
    <xf numFmtId="0" fontId="44" fillId="0" borderId="0" xfId="0" applyFont="1" applyFill="1" applyBorder="1" applyAlignment="1"/>
    <xf numFmtId="0" fontId="39" fillId="0" borderId="0" xfId="504" applyFont="1"/>
    <xf numFmtId="0" fontId="39" fillId="0" borderId="0" xfId="0" applyFont="1"/>
    <xf numFmtId="0" fontId="42" fillId="0" borderId="26" xfId="0" applyFont="1" applyBorder="1"/>
    <xf numFmtId="171" fontId="40" fillId="0" borderId="26" xfId="674" applyNumberFormat="1" applyFont="1" applyFill="1" applyBorder="1" applyAlignment="1"/>
    <xf numFmtId="0" fontId="42" fillId="0" borderId="26" xfId="0" applyFont="1" applyFill="1" applyBorder="1"/>
    <xf numFmtId="0" fontId="42" fillId="0" borderId="26" xfId="0" applyFont="1" applyFill="1" applyBorder="1" applyAlignment="1">
      <alignment horizontal="center" wrapText="1"/>
    </xf>
    <xf numFmtId="3" fontId="40" fillId="0" borderId="26" xfId="0" applyNumberFormat="1" applyFont="1" applyFill="1" applyBorder="1" applyAlignment="1"/>
    <xf numFmtId="3" fontId="42" fillId="0" borderId="26" xfId="0" applyNumberFormat="1" applyFont="1" applyFill="1" applyBorder="1" applyAlignment="1">
      <alignment horizontal="right"/>
    </xf>
    <xf numFmtId="171" fontId="42" fillId="0" borderId="26" xfId="0" applyNumberFormat="1" applyFont="1" applyFill="1" applyBorder="1" applyAlignment="1">
      <alignment horizontal="right"/>
    </xf>
    <xf numFmtId="171" fontId="42" fillId="0" borderId="30" xfId="0" applyNumberFormat="1" applyFont="1" applyFill="1" applyBorder="1" applyAlignment="1">
      <alignment horizontal="right"/>
    </xf>
    <xf numFmtId="10" fontId="42" fillId="0" borderId="26" xfId="674" applyNumberFormat="1" applyFont="1" applyFill="1" applyBorder="1" applyAlignment="1"/>
    <xf numFmtId="166" fontId="40" fillId="0" borderId="26" xfId="0" applyNumberFormat="1" applyFont="1" applyBorder="1" applyAlignment="1"/>
    <xf numFmtId="166" fontId="42" fillId="0" borderId="26" xfId="0" applyNumberFormat="1" applyFont="1" applyBorder="1" applyAlignment="1"/>
    <xf numFmtId="10" fontId="42" fillId="0" borderId="26" xfId="0" applyNumberFormat="1" applyFont="1" applyFill="1" applyBorder="1"/>
    <xf numFmtId="10" fontId="42" fillId="0" borderId="26" xfId="0" applyNumberFormat="1" applyFont="1" applyFill="1" applyBorder="1" applyAlignment="1">
      <alignment horizontal="right"/>
    </xf>
    <xf numFmtId="10" fontId="42" fillId="0" borderId="26" xfId="674" applyNumberFormat="1" applyFont="1" applyBorder="1" applyAlignment="1"/>
    <xf numFmtId="164" fontId="40" fillId="0" borderId="27" xfId="382" applyNumberFormat="1" applyFont="1" applyFill="1" applyBorder="1" applyAlignment="1">
      <alignment horizontal="right"/>
    </xf>
    <xf numFmtId="164" fontId="42" fillId="0" borderId="26" xfId="382" applyNumberFormat="1" applyFont="1" applyFill="1" applyBorder="1" applyAlignment="1"/>
    <xf numFmtId="0" fontId="42" fillId="0" borderId="25" xfId="0" applyFont="1" applyFill="1" applyBorder="1" applyAlignment="1">
      <alignment horizontal="left"/>
    </xf>
    <xf numFmtId="0" fontId="42" fillId="0" borderId="24" xfId="0" applyFont="1" applyFill="1" applyBorder="1" applyAlignment="1"/>
    <xf numFmtId="0" fontId="40" fillId="0" borderId="24" xfId="0" applyNumberFormat="1" applyFont="1" applyFill="1" applyBorder="1" applyAlignment="1">
      <alignment horizontal="center"/>
    </xf>
    <xf numFmtId="0" fontId="42" fillId="0" borderId="33" xfId="0" applyFont="1" applyFill="1" applyBorder="1" applyAlignment="1">
      <alignment horizontal="center" wrapText="1"/>
    </xf>
    <xf numFmtId="0" fontId="40" fillId="0" borderId="22" xfId="0" applyNumberFormat="1" applyFont="1" applyFill="1" applyBorder="1" applyAlignment="1">
      <alignment horizontal="center"/>
    </xf>
    <xf numFmtId="0" fontId="42" fillId="0" borderId="22" xfId="0" applyNumberFormat="1" applyFont="1" applyBorder="1" applyAlignment="1">
      <alignment horizontal="center"/>
    </xf>
    <xf numFmtId="0" fontId="44" fillId="0" borderId="0" xfId="0" applyFont="1" applyFill="1" applyBorder="1" applyAlignment="1">
      <alignment horizontal="left"/>
    </xf>
    <xf numFmtId="3" fontId="42" fillId="0" borderId="0" xfId="0" applyNumberFormat="1" applyFont="1" applyFill="1" applyBorder="1" applyAlignment="1">
      <alignment horizontal="center"/>
    </xf>
    <xf numFmtId="0" fontId="42" fillId="0" borderId="22" xfId="0" applyFont="1" applyBorder="1" applyAlignment="1">
      <alignment horizontal="center"/>
    </xf>
    <xf numFmtId="0" fontId="42" fillId="0" borderId="22" xfId="0" applyNumberFormat="1" applyFont="1" applyBorder="1" applyAlignment="1">
      <alignment horizontal="left"/>
    </xf>
    <xf numFmtId="0" fontId="52" fillId="0" borderId="22" xfId="0" applyFont="1" applyFill="1" applyBorder="1" applyAlignment="1">
      <alignment horizontal="center"/>
    </xf>
    <xf numFmtId="0" fontId="42" fillId="0" borderId="22" xfId="0" applyFont="1" applyFill="1" applyBorder="1" applyAlignment="1">
      <alignment horizontal="center"/>
    </xf>
    <xf numFmtId="0" fontId="55" fillId="0" borderId="22" xfId="0" applyFont="1" applyBorder="1" applyAlignment="1">
      <alignment horizontal="left"/>
    </xf>
    <xf numFmtId="0" fontId="55" fillId="0" borderId="0" xfId="0" applyFont="1" applyBorder="1"/>
    <xf numFmtId="0" fontId="42" fillId="0" borderId="0" xfId="0" applyNumberFormat="1" applyFont="1" applyFill="1" applyBorder="1" applyAlignment="1">
      <alignment horizontal="right"/>
    </xf>
    <xf numFmtId="0" fontId="40" fillId="0" borderId="0" xfId="0" applyNumberFormat="1" applyFont="1" applyFill="1" applyBorder="1" applyAlignment="1">
      <alignment horizontal="right"/>
    </xf>
    <xf numFmtId="0" fontId="40" fillId="0" borderId="22" xfId="0" applyFont="1" applyBorder="1"/>
    <xf numFmtId="0" fontId="42" fillId="0" borderId="22" xfId="0" applyFont="1" applyBorder="1" applyAlignment="1">
      <alignment horizontal="left"/>
    </xf>
    <xf numFmtId="0" fontId="42" fillId="0" borderId="22" xfId="0" applyFont="1" applyFill="1" applyBorder="1" applyAlignment="1"/>
    <xf numFmtId="43" fontId="42" fillId="0" borderId="0" xfId="382" applyFont="1" applyFill="1" applyBorder="1" applyAlignment="1"/>
    <xf numFmtId="0" fontId="40" fillId="0" borderId="22" xfId="0" applyNumberFormat="1" applyFont="1" applyFill="1" applyBorder="1" applyAlignment="1"/>
    <xf numFmtId="0" fontId="42" fillId="0" borderId="0" xfId="0" applyNumberFormat="1" applyFont="1" applyBorder="1" applyAlignment="1">
      <alignment horizontal="right"/>
    </xf>
    <xf numFmtId="0" fontId="46" fillId="0" borderId="0" xfId="0" applyNumberFormat="1" applyFont="1" applyFill="1" applyBorder="1" applyAlignment="1"/>
    <xf numFmtId="0" fontId="40" fillId="0" borderId="22" xfId="0" applyNumberFormat="1" applyFont="1" applyBorder="1" applyAlignment="1">
      <alignment horizontal="center"/>
    </xf>
    <xf numFmtId="0" fontId="42" fillId="0" borderId="22" xfId="0" applyNumberFormat="1" applyFont="1" applyFill="1" applyBorder="1" applyAlignment="1">
      <alignment horizontal="left"/>
    </xf>
    <xf numFmtId="0" fontId="42" fillId="0" borderId="0" xfId="0" applyNumberFormat="1" applyFont="1" applyFill="1" applyBorder="1"/>
    <xf numFmtId="169" fontId="42" fillId="0" borderId="0" xfId="0" applyNumberFormat="1" applyFont="1" applyBorder="1" applyAlignment="1"/>
    <xf numFmtId="168" fontId="42" fillId="0" borderId="0" xfId="0" applyNumberFormat="1" applyFont="1" applyBorder="1" applyAlignment="1">
      <alignment horizontal="center"/>
    </xf>
    <xf numFmtId="0" fontId="42" fillId="0" borderId="34" xfId="0" applyFont="1" applyFill="1" applyBorder="1"/>
    <xf numFmtId="3" fontId="42" fillId="0" borderId="35" xfId="0" applyNumberFormat="1" applyFont="1" applyBorder="1" applyAlignment="1"/>
    <xf numFmtId="0" fontId="42" fillId="0" borderId="35" xfId="0" applyFont="1" applyFill="1" applyBorder="1"/>
    <xf numFmtId="3" fontId="42" fillId="0" borderId="36" xfId="0" applyNumberFormat="1" applyFont="1" applyFill="1" applyBorder="1" applyAlignment="1"/>
    <xf numFmtId="0" fontId="42" fillId="0" borderId="35" xfId="0" applyFont="1" applyBorder="1" applyAlignment="1"/>
    <xf numFmtId="0" fontId="42" fillId="0" borderId="35" xfId="0" applyFont="1" applyBorder="1"/>
    <xf numFmtId="3" fontId="42" fillId="0" borderId="35" xfId="0" applyNumberFormat="1" applyFont="1" applyFill="1" applyBorder="1" applyAlignment="1"/>
    <xf numFmtId="3" fontId="42" fillId="0" borderId="37" xfId="0" applyNumberFormat="1" applyFont="1" applyFill="1" applyBorder="1" applyAlignment="1"/>
    <xf numFmtId="0" fontId="42" fillId="0" borderId="35" xfId="0" applyFont="1" applyFill="1" applyBorder="1" applyAlignment="1">
      <alignment horizontal="left"/>
    </xf>
    <xf numFmtId="3" fontId="42" fillId="0" borderId="37" xfId="0" applyNumberFormat="1" applyFont="1" applyBorder="1" applyAlignment="1"/>
    <xf numFmtId="3" fontId="40" fillId="0" borderId="36" xfId="0" applyNumberFormat="1" applyFont="1" applyBorder="1" applyAlignment="1"/>
    <xf numFmtId="3" fontId="42" fillId="0" borderId="35" xfId="0" applyNumberFormat="1" applyFont="1" applyFill="1" applyBorder="1" applyAlignment="1">
      <alignment horizontal="right"/>
    </xf>
    <xf numFmtId="3" fontId="44" fillId="0" borderId="35" xfId="0" applyNumberFormat="1" applyFont="1" applyFill="1" applyBorder="1" applyAlignment="1">
      <alignment horizontal="right"/>
    </xf>
    <xf numFmtId="0" fontId="42" fillId="0" borderId="35" xfId="0" applyFont="1" applyFill="1" applyBorder="1" applyAlignment="1"/>
    <xf numFmtId="0" fontId="42" fillId="0" borderId="35" xfId="0" applyNumberFormat="1" applyFont="1" applyFill="1" applyBorder="1" applyAlignment="1"/>
    <xf numFmtId="0" fontId="42" fillId="0" borderId="37" xfId="0" applyFont="1" applyFill="1" applyBorder="1" applyAlignment="1"/>
    <xf numFmtId="0" fontId="42" fillId="0" borderId="35" xfId="0" applyNumberFormat="1" applyFont="1" applyFill="1" applyBorder="1" applyAlignment="1">
      <alignment horizontal="left"/>
    </xf>
    <xf numFmtId="3" fontId="40" fillId="0" borderId="35" xfId="0" applyNumberFormat="1" applyFont="1" applyBorder="1" applyAlignment="1"/>
    <xf numFmtId="168" fontId="42" fillId="0" borderId="35" xfId="0" applyNumberFormat="1" applyFont="1" applyBorder="1" applyAlignment="1">
      <alignment horizontal="left"/>
    </xf>
    <xf numFmtId="3" fontId="46" fillId="0" borderId="35" xfId="0" applyNumberFormat="1" applyFont="1" applyBorder="1" applyAlignment="1"/>
    <xf numFmtId="0" fontId="40" fillId="0" borderId="5" xfId="0" applyFont="1" applyBorder="1"/>
    <xf numFmtId="0" fontId="42" fillId="0" borderId="23" xfId="0" applyFont="1" applyFill="1" applyBorder="1" applyAlignment="1">
      <alignment horizontal="center"/>
    </xf>
    <xf numFmtId="0" fontId="42" fillId="0" borderId="7" xfId="0" applyNumberFormat="1" applyFont="1" applyFill="1" applyBorder="1" applyAlignment="1">
      <alignment horizontal="center"/>
    </xf>
    <xf numFmtId="0" fontId="42" fillId="0" borderId="7" xfId="0" applyNumberFormat="1" applyFont="1" applyBorder="1" applyAlignment="1">
      <alignment horizontal="left"/>
    </xf>
    <xf numFmtId="0" fontId="42" fillId="0" borderId="7" xfId="0" applyFont="1" applyBorder="1" applyAlignment="1"/>
    <xf numFmtId="164" fontId="38" fillId="0" borderId="0" xfId="382" applyNumberFormat="1" applyFont="1" applyFill="1" applyBorder="1" applyAlignment="1"/>
    <xf numFmtId="37" fontId="42" fillId="0" borderId="35" xfId="0" applyNumberFormat="1" applyFont="1" applyFill="1" applyBorder="1"/>
    <xf numFmtId="37" fontId="42" fillId="0" borderId="0" xfId="0" applyNumberFormat="1" applyFont="1" applyFill="1" applyBorder="1"/>
    <xf numFmtId="37" fontId="42" fillId="0" borderId="26" xfId="0" applyNumberFormat="1" applyFont="1" applyFill="1" applyBorder="1"/>
    <xf numFmtId="3" fontId="42" fillId="0" borderId="0" xfId="0" applyNumberFormat="1" applyFont="1" applyFill="1" applyBorder="1" applyAlignment="1">
      <alignment horizontal="left"/>
    </xf>
    <xf numFmtId="0" fontId="42" fillId="0" borderId="35" xfId="0" applyFont="1" applyFill="1" applyBorder="1" applyAlignment="1">
      <alignment horizontal="right"/>
    </xf>
    <xf numFmtId="171" fontId="44" fillId="0" borderId="26" xfId="0" applyNumberFormat="1" applyFont="1" applyFill="1" applyBorder="1" applyAlignment="1">
      <alignment horizontal="right"/>
    </xf>
    <xf numFmtId="0" fontId="40" fillId="0" borderId="17" xfId="0" applyFont="1" applyFill="1" applyBorder="1"/>
    <xf numFmtId="0" fontId="40" fillId="0" borderId="17" xfId="0" applyFont="1" applyFill="1" applyBorder="1" applyAlignment="1">
      <alignment horizontal="center"/>
    </xf>
    <xf numFmtId="0" fontId="42" fillId="0" borderId="0" xfId="0" applyNumberFormat="1" applyFont="1" applyFill="1" applyBorder="1" applyAlignment="1">
      <alignment horizontal="center" vertical="top"/>
    </xf>
    <xf numFmtId="0" fontId="39" fillId="0" borderId="0" xfId="504" applyFont="1" applyFill="1" applyBorder="1" applyAlignment="1">
      <alignment horizontal="left"/>
    </xf>
    <xf numFmtId="0" fontId="38" fillId="0" borderId="0" xfId="504" applyFont="1" applyFill="1" applyBorder="1" applyAlignment="1">
      <alignment horizontal="left"/>
    </xf>
    <xf numFmtId="164" fontId="38" fillId="0" borderId="0" xfId="504" applyNumberFormat="1" applyFont="1"/>
    <xf numFmtId="164" fontId="38" fillId="0" borderId="0" xfId="382" applyNumberFormat="1" applyFont="1" applyFill="1" applyBorder="1" applyAlignment="1">
      <alignment horizontal="center"/>
    </xf>
    <xf numFmtId="0" fontId="38" fillId="0" borderId="0" xfId="530" applyFont="1" applyAlignment="1">
      <alignment horizontal="right" vertical="top"/>
    </xf>
    <xf numFmtId="0" fontId="38" fillId="0" borderId="0" xfId="484" applyFont="1" applyAlignment="1">
      <alignment vertical="top"/>
    </xf>
    <xf numFmtId="0" fontId="38" fillId="0" borderId="0" xfId="484" applyFont="1" applyFill="1" applyAlignment="1">
      <alignment vertical="top"/>
    </xf>
    <xf numFmtId="0" fontId="38" fillId="0" borderId="0" xfId="484" applyFont="1" applyFill="1" applyAlignment="1">
      <alignment horizontal="center" vertical="top"/>
    </xf>
    <xf numFmtId="0" fontId="38" fillId="0" borderId="0" xfId="474" applyFont="1" applyProtection="1">
      <protection locked="0"/>
    </xf>
    <xf numFmtId="0" fontId="38" fillId="0" borderId="0" xfId="474" quotePrefix="1" applyFont="1" applyAlignment="1" applyProtection="1">
      <alignment horizontal="left"/>
      <protection locked="0"/>
    </xf>
    <xf numFmtId="0" fontId="58" fillId="0" borderId="0" xfId="569" applyFont="1"/>
    <xf numFmtId="0" fontId="58" fillId="0" borderId="0" xfId="569" applyFont="1" applyAlignment="1">
      <alignment horizontal="left"/>
    </xf>
    <xf numFmtId="164" fontId="58" fillId="0" borderId="0" xfId="569" applyNumberFormat="1" applyFont="1" applyFill="1"/>
    <xf numFmtId="0" fontId="38" fillId="0" borderId="0" xfId="474"/>
    <xf numFmtId="0" fontId="38" fillId="0" borderId="0" xfId="474" applyFont="1" applyFill="1"/>
    <xf numFmtId="0" fontId="38" fillId="0" borderId="0" xfId="0" applyFont="1" applyFill="1" applyAlignment="1"/>
    <xf numFmtId="164" fontId="38" fillId="0" borderId="0" xfId="382" applyNumberFormat="1" applyFont="1" applyFill="1" applyAlignment="1"/>
    <xf numFmtId="0" fontId="38" fillId="0" borderId="0" xfId="0" applyFont="1" applyAlignment="1">
      <alignment vertical="top"/>
    </xf>
    <xf numFmtId="37" fontId="38" fillId="0" borderId="0" xfId="484" applyNumberFormat="1" applyFont="1" applyFill="1" applyAlignment="1">
      <alignment vertical="top"/>
    </xf>
    <xf numFmtId="0" fontId="101" fillId="0" borderId="0" xfId="0" applyFont="1"/>
    <xf numFmtId="0" fontId="101" fillId="0" borderId="0" xfId="0" applyFont="1" applyAlignment="1">
      <alignment horizontal="center"/>
    </xf>
    <xf numFmtId="164" fontId="38" fillId="0" borderId="0" xfId="504" applyNumberFormat="1" applyFont="1" applyFill="1" applyBorder="1"/>
    <xf numFmtId="0" fontId="42" fillId="0" borderId="0" xfId="0" applyNumberFormat="1" applyFont="1" applyFill="1" applyBorder="1" applyAlignment="1">
      <alignment horizontal="left" indent="1"/>
    </xf>
    <xf numFmtId="0" fontId="38" fillId="0" borderId="0" xfId="0" applyFont="1" applyAlignment="1"/>
    <xf numFmtId="0" fontId="38" fillId="0" borderId="0" xfId="0" applyFont="1" applyBorder="1"/>
    <xf numFmtId="0" fontId="38" fillId="0" borderId="0" xfId="0" applyFont="1" applyFill="1" applyBorder="1" applyAlignment="1"/>
    <xf numFmtId="0" fontId="38" fillId="37" borderId="0" xfId="0" applyFont="1" applyFill="1" applyAlignment="1"/>
    <xf numFmtId="3" fontId="40" fillId="0" borderId="17" xfId="0" applyNumberFormat="1" applyFont="1" applyBorder="1" applyAlignment="1">
      <alignment horizontal="right"/>
    </xf>
    <xf numFmtId="0" fontId="40" fillId="0" borderId="0" xfId="0" applyFont="1" applyFill="1" applyBorder="1" applyAlignment="1">
      <alignment horizontal="center"/>
    </xf>
    <xf numFmtId="0" fontId="40" fillId="0" borderId="7" xfId="0" applyFont="1" applyBorder="1" applyAlignment="1">
      <alignment horizontal="center"/>
    </xf>
    <xf numFmtId="164" fontId="38" fillId="37" borderId="0" xfId="382" applyNumberFormat="1" applyFont="1" applyFill="1" applyBorder="1"/>
    <xf numFmtId="0" fontId="38" fillId="0" borderId="0" xfId="0" applyNumberFormat="1" applyFont="1" applyFill="1" applyBorder="1" applyAlignment="1">
      <alignment horizontal="center"/>
    </xf>
    <xf numFmtId="0" fontId="47" fillId="0" borderId="0" xfId="0" applyFont="1" applyFill="1" applyBorder="1"/>
    <xf numFmtId="0" fontId="0" fillId="0" borderId="0" xfId="0" applyAlignment="1">
      <alignment horizontal="center"/>
    </xf>
    <xf numFmtId="164" fontId="39" fillId="0" borderId="0" xfId="504" applyNumberFormat="1" applyFont="1" applyFill="1" applyBorder="1" applyAlignment="1">
      <alignment horizontal="center"/>
    </xf>
    <xf numFmtId="164" fontId="38" fillId="0" borderId="0" xfId="504" applyNumberFormat="1" applyFont="1" applyFill="1" applyBorder="1" applyAlignment="1">
      <alignment horizontal="center"/>
    </xf>
    <xf numFmtId="164" fontId="38" fillId="0" borderId="0" xfId="403" applyNumberFormat="1" applyFont="1" applyFill="1" applyBorder="1" applyAlignment="1"/>
    <xf numFmtId="164" fontId="38" fillId="0" borderId="0" xfId="403" applyNumberFormat="1" applyFont="1" applyBorder="1"/>
    <xf numFmtId="164" fontId="38" fillId="0" borderId="0" xfId="504" applyNumberFormat="1" applyFont="1" applyBorder="1"/>
    <xf numFmtId="164" fontId="38" fillId="0" borderId="0" xfId="403" applyNumberFormat="1" applyFont="1" applyFill="1" applyBorder="1"/>
    <xf numFmtId="164" fontId="38" fillId="0" borderId="0" xfId="403" applyNumberFormat="1" applyFont="1" applyFill="1" applyAlignment="1"/>
    <xf numFmtId="164" fontId="38" fillId="0" borderId="0" xfId="403" applyNumberFormat="1" applyFont="1" applyFill="1" applyBorder="1" applyAlignment="1">
      <alignment horizontal="right"/>
    </xf>
    <xf numFmtId="0" fontId="38" fillId="0" borderId="0" xfId="0" applyFont="1" applyFill="1" applyAlignment="1">
      <alignment horizontal="left"/>
    </xf>
    <xf numFmtId="164" fontId="38" fillId="0" borderId="0" xfId="403" applyNumberFormat="1" applyFont="1"/>
    <xf numFmtId="164" fontId="38" fillId="37" borderId="0" xfId="382" applyNumberFormat="1" applyFont="1" applyFill="1"/>
    <xf numFmtId="0" fontId="42" fillId="0" borderId="0" xfId="0" applyFont="1" applyAlignment="1">
      <alignment horizontal="center"/>
    </xf>
    <xf numFmtId="0" fontId="51" fillId="0" borderId="0" xfId="0" applyFont="1" applyAlignment="1"/>
    <xf numFmtId="10" fontId="42" fillId="37" borderId="26" xfId="674" applyNumberFormat="1" applyFont="1" applyFill="1" applyBorder="1" applyAlignment="1"/>
    <xf numFmtId="164" fontId="42" fillId="37" borderId="26" xfId="382" applyNumberFormat="1" applyFont="1" applyFill="1" applyBorder="1" applyAlignment="1"/>
    <xf numFmtId="0" fontId="39" fillId="0" borderId="0" xfId="564" quotePrefix="1" applyFont="1" applyFill="1" applyBorder="1" applyAlignment="1">
      <alignment vertical="top"/>
    </xf>
    <xf numFmtId="0" fontId="38" fillId="0" borderId="0" xfId="11272">
      <alignment vertical="top"/>
    </xf>
    <xf numFmtId="0" fontId="101" fillId="0" borderId="0" xfId="11272" applyFont="1" applyAlignment="1">
      <alignment horizontal="center"/>
    </xf>
    <xf numFmtId="0" fontId="106" fillId="0" borderId="0" xfId="496" applyFont="1"/>
    <xf numFmtId="0" fontId="89" fillId="0" borderId="0" xfId="569" applyFont="1"/>
    <xf numFmtId="0" fontId="117" fillId="0" borderId="0" xfId="496" applyFont="1"/>
    <xf numFmtId="0" fontId="38" fillId="0" borderId="0" xfId="11267" applyFont="1" applyFill="1" applyAlignment="1">
      <alignment horizontal="left"/>
    </xf>
    <xf numFmtId="0" fontId="106" fillId="0" borderId="0" xfId="496" applyFont="1" applyAlignment="1">
      <alignment horizontal="center"/>
    </xf>
    <xf numFmtId="0" fontId="39" fillId="0" borderId="0" xfId="0" applyFont="1" applyAlignment="1"/>
    <xf numFmtId="0" fontId="38" fillId="0" borderId="0" xfId="504" applyFont="1" applyFill="1" applyAlignment="1">
      <alignment horizontal="left"/>
    </xf>
    <xf numFmtId="0" fontId="38" fillId="0" borderId="0" xfId="504" applyFont="1" applyBorder="1" applyAlignment="1">
      <alignment horizontal="left"/>
    </xf>
    <xf numFmtId="0" fontId="38" fillId="0" borderId="0" xfId="504" applyFont="1" applyFill="1" applyBorder="1" applyAlignment="1">
      <alignment horizontal="center"/>
    </xf>
    <xf numFmtId="0" fontId="39" fillId="0" borderId="0" xfId="504" applyFont="1" applyFill="1" applyBorder="1"/>
    <xf numFmtId="164" fontId="39" fillId="0" borderId="0" xfId="403" applyNumberFormat="1" applyFont="1" applyFill="1" applyBorder="1" applyAlignment="1"/>
    <xf numFmtId="37" fontId="38" fillId="0" borderId="0" xfId="0" applyNumberFormat="1" applyFont="1" applyFill="1"/>
    <xf numFmtId="0" fontId="38" fillId="0" borderId="0" xfId="0" quotePrefix="1" applyFont="1" applyFill="1" applyAlignment="1">
      <alignment horizontal="center"/>
    </xf>
    <xf numFmtId="164" fontId="38" fillId="0" borderId="0" xfId="382" applyNumberFormat="1" applyFont="1" applyAlignment="1"/>
    <xf numFmtId="164" fontId="38" fillId="0" borderId="18" xfId="403" applyNumberFormat="1" applyFont="1" applyBorder="1"/>
    <xf numFmtId="0" fontId="38" fillId="0" borderId="0" xfId="504" applyFont="1" applyAlignment="1">
      <alignment horizontal="center"/>
    </xf>
    <xf numFmtId="0" fontId="38" fillId="0" borderId="0" xfId="504" applyFont="1" applyAlignment="1">
      <alignment wrapText="1"/>
    </xf>
    <xf numFmtId="0" fontId="38" fillId="0" borderId="0" xfId="591" applyFont="1" applyFill="1" applyBorder="1" applyAlignment="1">
      <alignment horizontal="center"/>
    </xf>
    <xf numFmtId="164" fontId="38" fillId="0" borderId="0" xfId="504" applyNumberFormat="1" applyFont="1" applyFill="1" applyBorder="1" applyAlignment="1">
      <alignment wrapText="1"/>
    </xf>
    <xf numFmtId="43" fontId="38" fillId="0" borderId="0" xfId="504" applyNumberFormat="1" applyFont="1"/>
    <xf numFmtId="167" fontId="38" fillId="0" borderId="0" xfId="504" applyNumberFormat="1" applyFont="1" applyFill="1" applyBorder="1"/>
    <xf numFmtId="164" fontId="38" fillId="0" borderId="0" xfId="404" applyNumberFormat="1" applyFont="1" applyFill="1" applyBorder="1"/>
    <xf numFmtId="0" fontId="47" fillId="0" borderId="0" xfId="504" applyFont="1" applyFill="1" applyBorder="1" applyAlignment="1">
      <alignment horizontal="left"/>
    </xf>
    <xf numFmtId="0" fontId="38" fillId="0" borderId="0" xfId="504" applyFont="1" applyBorder="1" applyAlignment="1">
      <alignment horizontal="center"/>
    </xf>
    <xf numFmtId="0" fontId="42" fillId="0" borderId="22" xfId="0" applyNumberFormat="1" applyFont="1" applyFill="1" applyBorder="1" applyAlignment="1">
      <alignment horizontal="center" vertical="top"/>
    </xf>
    <xf numFmtId="0" fontId="42" fillId="0" borderId="0" xfId="0" applyFont="1" applyFill="1" applyBorder="1" applyAlignment="1">
      <alignment vertical="top"/>
    </xf>
    <xf numFmtId="3" fontId="42" fillId="0" borderId="0" xfId="0" applyNumberFormat="1" applyFont="1" applyFill="1" applyBorder="1" applyAlignment="1">
      <alignment horizontal="left" vertical="top"/>
    </xf>
    <xf numFmtId="0" fontId="42" fillId="0" borderId="0" xfId="0" applyFont="1" applyFill="1" applyAlignment="1">
      <alignment vertical="top"/>
    </xf>
    <xf numFmtId="0" fontId="42" fillId="0" borderId="0" xfId="0" applyNumberFormat="1" applyFont="1" applyFill="1" applyAlignment="1">
      <alignment horizontal="center" vertical="top"/>
    </xf>
    <xf numFmtId="0" fontId="42" fillId="50" borderId="0" xfId="0" applyFont="1" applyFill="1" applyBorder="1" applyAlignment="1"/>
    <xf numFmtId="0" fontId="42" fillId="50" borderId="0" xfId="0" applyFont="1" applyFill="1" applyBorder="1"/>
    <xf numFmtId="0" fontId="40" fillId="50" borderId="0" xfId="0" applyFont="1" applyFill="1" applyBorder="1" applyAlignment="1"/>
    <xf numFmtId="0" fontId="42" fillId="50" borderId="11" xfId="0" applyFont="1" applyFill="1" applyBorder="1" applyAlignment="1">
      <alignment horizontal="center" wrapText="1"/>
    </xf>
    <xf numFmtId="0" fontId="40" fillId="50" borderId="6" xfId="0" applyFont="1" applyFill="1" applyBorder="1" applyAlignment="1"/>
    <xf numFmtId="0" fontId="42" fillId="50" borderId="6" xfId="0" applyFont="1" applyFill="1" applyBorder="1" applyAlignment="1"/>
    <xf numFmtId="0" fontId="40" fillId="50" borderId="6" xfId="0" applyNumberFormat="1" applyFont="1" applyFill="1" applyBorder="1" applyAlignment="1">
      <alignment horizontal="center"/>
    </xf>
    <xf numFmtId="0" fontId="42" fillId="50" borderId="6" xfId="0" applyFont="1" applyFill="1" applyBorder="1"/>
    <xf numFmtId="0" fontId="42" fillId="50" borderId="21" xfId="0" applyFont="1" applyFill="1" applyBorder="1" applyAlignment="1">
      <alignment horizontal="center" wrapText="1"/>
    </xf>
    <xf numFmtId="0" fontId="42" fillId="50" borderId="21" xfId="0" applyFont="1" applyFill="1" applyBorder="1"/>
    <xf numFmtId="3" fontId="42" fillId="0" borderId="35" xfId="0" applyNumberFormat="1" applyFont="1" applyFill="1" applyBorder="1" applyAlignment="1">
      <alignment vertical="top"/>
    </xf>
    <xf numFmtId="164" fontId="38" fillId="0" borderId="0" xfId="382" applyNumberFormat="1" applyFont="1"/>
    <xf numFmtId="171" fontId="42" fillId="0" borderId="30" xfId="674" applyNumberFormat="1" applyFont="1" applyFill="1" applyBorder="1"/>
    <xf numFmtId="168" fontId="42" fillId="0" borderId="0" xfId="0" applyNumberFormat="1" applyFont="1" applyFill="1" applyBorder="1" applyAlignment="1">
      <alignment horizontal="left"/>
    </xf>
    <xf numFmtId="10" fontId="42" fillId="0" borderId="30" xfId="674" applyNumberFormat="1" applyFont="1" applyFill="1" applyBorder="1" applyAlignment="1"/>
    <xf numFmtId="10" fontId="40" fillId="0" borderId="26" xfId="674" applyNumberFormat="1" applyFont="1" applyFill="1" applyBorder="1" applyAlignment="1"/>
    <xf numFmtId="3" fontId="42" fillId="0" borderId="35" xfId="0" applyNumberFormat="1" applyFont="1" applyFill="1" applyBorder="1" applyAlignment="1">
      <alignment horizontal="left"/>
    </xf>
    <xf numFmtId="0" fontId="42" fillId="0" borderId="0" xfId="0" applyFont="1" applyAlignment="1">
      <alignment vertical="center"/>
    </xf>
    <xf numFmtId="0" fontId="42" fillId="0" borderId="0" xfId="0" applyFont="1" applyFill="1" applyAlignment="1">
      <alignment vertical="center"/>
    </xf>
    <xf numFmtId="164" fontId="38" fillId="37" borderId="18" xfId="382" applyNumberFormat="1" applyFont="1" applyFill="1" applyBorder="1"/>
    <xf numFmtId="0" fontId="42" fillId="0" borderId="37" xfId="0" applyFont="1" applyFill="1" applyBorder="1"/>
    <xf numFmtId="0" fontId="42" fillId="0" borderId="0" xfId="0" applyFont="1"/>
    <xf numFmtId="0" fontId="42" fillId="0" borderId="0" xfId="0" applyFont="1" applyFill="1"/>
    <xf numFmtId="0" fontId="38" fillId="0" borderId="0" xfId="504" applyFont="1" applyFill="1" applyBorder="1"/>
    <xf numFmtId="164" fontId="38" fillId="0" borderId="0" xfId="382" applyNumberFormat="1" applyFont="1" applyFill="1" applyBorder="1"/>
    <xf numFmtId="0" fontId="39" fillId="0" borderId="0" xfId="504" applyNumberFormat="1" applyFont="1" applyFill="1" applyBorder="1" applyAlignment="1"/>
    <xf numFmtId="3" fontId="39" fillId="0" borderId="0" xfId="504" applyNumberFormat="1" applyFont="1" applyFill="1" applyBorder="1" applyAlignment="1">
      <alignment horizontal="center"/>
    </xf>
    <xf numFmtId="0" fontId="39" fillId="0" borderId="0" xfId="504" applyNumberFormat="1" applyFont="1" applyFill="1" applyBorder="1" applyAlignment="1">
      <alignment horizontal="left"/>
    </xf>
    <xf numFmtId="0" fontId="38" fillId="0" borderId="0" xfId="504" applyNumberFormat="1" applyFont="1" applyFill="1" applyBorder="1" applyAlignment="1">
      <alignment horizontal="left"/>
    </xf>
    <xf numFmtId="0" fontId="38" fillId="0" borderId="0" xfId="504" applyNumberFormat="1" applyFont="1" applyFill="1" applyBorder="1" applyAlignment="1">
      <alignment horizontal="center"/>
    </xf>
    <xf numFmtId="0" fontId="39" fillId="0" borderId="0" xfId="504" applyFont="1" applyFill="1" applyBorder="1" applyAlignment="1"/>
    <xf numFmtId="3" fontId="39" fillId="0" borderId="0" xfId="504" applyNumberFormat="1" applyFont="1" applyFill="1" applyBorder="1" applyAlignment="1"/>
    <xf numFmtId="164" fontId="39" fillId="0" borderId="0" xfId="13644" applyNumberFormat="1" applyFont="1"/>
    <xf numFmtId="10" fontId="42" fillId="0" borderId="26" xfId="0" applyNumberFormat="1" applyFont="1" applyFill="1" applyBorder="1" applyAlignment="1"/>
    <xf numFmtId="169" fontId="42" fillId="0" borderId="0" xfId="0" applyNumberFormat="1" applyFont="1" applyFill="1" applyBorder="1" applyAlignment="1"/>
    <xf numFmtId="164" fontId="38" fillId="0" borderId="0" xfId="504" applyNumberFormat="1" applyFont="1" applyFill="1"/>
    <xf numFmtId="167" fontId="38" fillId="0" borderId="0" xfId="434" applyNumberFormat="1" applyFont="1" applyFill="1" applyBorder="1" applyAlignment="1">
      <alignment horizontal="center" wrapText="1"/>
    </xf>
    <xf numFmtId="164" fontId="58" fillId="37" borderId="0" xfId="382" applyNumberFormat="1" applyFont="1" applyFill="1" applyAlignment="1">
      <alignment horizontal="left"/>
    </xf>
    <xf numFmtId="41" fontId="38" fillId="0" borderId="0" xfId="484" applyNumberFormat="1" applyFont="1" applyFill="1" applyBorder="1" applyAlignment="1">
      <alignment vertical="top"/>
    </xf>
    <xf numFmtId="0" fontId="38" fillId="0" borderId="0" xfId="0" applyFont="1" applyAlignment="1">
      <alignment horizontal="left" indent="1"/>
    </xf>
    <xf numFmtId="0" fontId="58" fillId="0" borderId="0" xfId="11275" applyFont="1"/>
    <xf numFmtId="0" fontId="42" fillId="0" borderId="47" xfId="0" applyNumberFormat="1" applyFont="1" applyFill="1" applyBorder="1" applyAlignment="1"/>
    <xf numFmtId="3" fontId="42" fillId="0" borderId="47" xfId="0" applyNumberFormat="1" applyFont="1" applyFill="1" applyBorder="1" applyAlignment="1"/>
    <xf numFmtId="3" fontId="42" fillId="0" borderId="47" xfId="0" applyNumberFormat="1" applyFont="1" applyFill="1" applyBorder="1" applyAlignment="1">
      <alignment horizontal="center"/>
    </xf>
    <xf numFmtId="0" fontId="42" fillId="0" borderId="47" xfId="0" applyFont="1" applyFill="1" applyBorder="1" applyAlignment="1"/>
    <xf numFmtId="0" fontId="42" fillId="0" borderId="47" xfId="0" applyFont="1" applyFill="1" applyBorder="1" applyAlignment="1">
      <alignment horizontal="center"/>
    </xf>
    <xf numFmtId="0" fontId="40" fillId="0" borderId="47" xfId="0" applyNumberFormat="1" applyFont="1" applyFill="1" applyBorder="1" applyAlignment="1"/>
    <xf numFmtId="0" fontId="42" fillId="0" borderId="47" xfId="0" applyFont="1" applyFill="1" applyBorder="1"/>
    <xf numFmtId="0" fontId="40" fillId="0" borderId="47" xfId="0" applyFont="1" applyFill="1" applyBorder="1"/>
    <xf numFmtId="0" fontId="40" fillId="0" borderId="47" xfId="0" applyFont="1" applyFill="1" applyBorder="1" applyAlignment="1"/>
    <xf numFmtId="0" fontId="40" fillId="0" borderId="47" xfId="0" applyNumberFormat="1" applyFont="1" applyFill="1" applyBorder="1" applyAlignment="1">
      <alignment horizontal="center"/>
    </xf>
    <xf numFmtId="43" fontId="42" fillId="0" borderId="47" xfId="0" applyNumberFormat="1" applyFont="1" applyFill="1" applyBorder="1" applyAlignment="1"/>
    <xf numFmtId="3" fontId="40" fillId="0" borderId="38" xfId="0" applyNumberFormat="1" applyFont="1" applyFill="1" applyBorder="1" applyAlignment="1"/>
    <xf numFmtId="169" fontId="107" fillId="0" borderId="0" xfId="37694" applyFont="1" applyAlignment="1"/>
    <xf numFmtId="164" fontId="107" fillId="0" borderId="0" xfId="382" applyNumberFormat="1" applyFont="1" applyAlignment="1"/>
    <xf numFmtId="0" fontId="107" fillId="0" borderId="0" xfId="37695" applyFont="1"/>
    <xf numFmtId="0" fontId="107" fillId="0" borderId="0" xfId="37695" applyFont="1" applyAlignment="1">
      <alignment horizontal="right"/>
    </xf>
    <xf numFmtId="169" fontId="107" fillId="0" borderId="0" xfId="37696" applyFont="1" applyAlignment="1"/>
    <xf numFmtId="0" fontId="107" fillId="0" borderId="0" xfId="37696" applyNumberFormat="1" applyFont="1" applyAlignment="1" applyProtection="1">
      <protection locked="0"/>
    </xf>
    <xf numFmtId="0" fontId="107" fillId="0" borderId="0" xfId="37696" applyNumberFormat="1" applyFont="1" applyAlignment="1" applyProtection="1">
      <alignment horizontal="center"/>
      <protection locked="0"/>
    </xf>
    <xf numFmtId="0" fontId="107" fillId="0" borderId="0" xfId="37696" applyNumberFormat="1" applyFont="1" applyFill="1" applyAlignment="1" applyProtection="1">
      <protection locked="0"/>
    </xf>
    <xf numFmtId="0" fontId="107" fillId="0" borderId="0" xfId="37696" applyNumberFormat="1" applyFont="1" applyFill="1" applyProtection="1">
      <protection locked="0"/>
    </xf>
    <xf numFmtId="3" fontId="107" fillId="0" borderId="0" xfId="37696" applyNumberFormat="1" applyFont="1" applyAlignment="1">
      <alignment horizontal="center"/>
    </xf>
    <xf numFmtId="3" fontId="107" fillId="0" borderId="0" xfId="37696" applyNumberFormat="1" applyFont="1" applyAlignment="1"/>
    <xf numFmtId="0" fontId="107" fillId="0" borderId="0" xfId="37696" applyNumberFormat="1" applyFont="1" applyProtection="1">
      <protection locked="0"/>
    </xf>
    <xf numFmtId="0" fontId="107" fillId="0" borderId="0" xfId="37696" applyNumberFormat="1" applyFont="1"/>
    <xf numFmtId="0" fontId="127" fillId="0" borderId="0" xfId="37696" applyNumberFormat="1" applyFont="1"/>
    <xf numFmtId="0" fontId="107" fillId="0" borderId="0" xfId="37696" applyNumberFormat="1" applyFont="1" applyFill="1"/>
    <xf numFmtId="49" fontId="107" fillId="0" borderId="0" xfId="37696" applyNumberFormat="1" applyFont="1" applyAlignment="1"/>
    <xf numFmtId="49" fontId="107" fillId="0" borderId="0" xfId="37696" applyNumberFormat="1" applyFont="1" applyAlignment="1">
      <alignment horizontal="center"/>
    </xf>
    <xf numFmtId="164" fontId="107" fillId="0" borderId="0" xfId="382" applyNumberFormat="1" applyFont="1" applyAlignment="1">
      <alignment horizontal="left"/>
    </xf>
    <xf numFmtId="0" fontId="107" fillId="0" borderId="0" xfId="37696" applyNumberFormat="1" applyFont="1" applyAlignment="1">
      <alignment horizontal="center"/>
    </xf>
    <xf numFmtId="49" fontId="107" fillId="0" borderId="0" xfId="37696" applyNumberFormat="1" applyFont="1"/>
    <xf numFmtId="0" fontId="107" fillId="0" borderId="7" xfId="37696" applyNumberFormat="1" applyFont="1" applyBorder="1" applyAlignment="1" applyProtection="1">
      <alignment horizontal="center"/>
      <protection locked="0"/>
    </xf>
    <xf numFmtId="3" fontId="107" fillId="0" borderId="0" xfId="37696" applyNumberFormat="1" applyFont="1"/>
    <xf numFmtId="164" fontId="107" fillId="0" borderId="0" xfId="382" applyNumberFormat="1" applyFont="1" applyFill="1" applyAlignment="1"/>
    <xf numFmtId="0" fontId="107" fillId="0" borderId="0" xfId="37696" applyNumberFormat="1" applyFont="1" applyFill="1" applyAlignment="1"/>
    <xf numFmtId="3" fontId="107" fillId="0" borderId="0" xfId="37696" applyNumberFormat="1" applyFont="1" applyFill="1" applyAlignment="1"/>
    <xf numFmtId="0" fontId="107" fillId="0" borderId="7" xfId="37696" applyNumberFormat="1" applyFont="1" applyFill="1" applyBorder="1" applyAlignment="1" applyProtection="1">
      <alignment horizontal="center"/>
      <protection locked="0"/>
    </xf>
    <xf numFmtId="0" fontId="107" fillId="0" borderId="7" xfId="37696" applyNumberFormat="1" applyFont="1" applyFill="1" applyBorder="1" applyAlignment="1" applyProtection="1">
      <alignment horizontal="centerContinuous"/>
      <protection locked="0"/>
    </xf>
    <xf numFmtId="3" fontId="107" fillId="0" borderId="0" xfId="37696" applyNumberFormat="1" applyFont="1" applyFill="1"/>
    <xf numFmtId="170" fontId="107" fillId="0" borderId="0" xfId="382" applyNumberFormat="1" applyFont="1" applyFill="1" applyAlignment="1"/>
    <xf numFmtId="3" fontId="107" fillId="0" borderId="0" xfId="37695" applyNumberFormat="1" applyFont="1" applyFill="1" applyAlignment="1"/>
    <xf numFmtId="43" fontId="107" fillId="0" borderId="0" xfId="382" applyFont="1" applyFill="1" applyAlignment="1"/>
    <xf numFmtId="3" fontId="107" fillId="0" borderId="0" xfId="37696" applyNumberFormat="1" applyFont="1" applyFill="1" applyAlignment="1">
      <alignment horizontal="left"/>
    </xf>
    <xf numFmtId="43" fontId="107" fillId="0" borderId="7" xfId="382" applyFont="1" applyFill="1" applyBorder="1" applyAlignment="1"/>
    <xf numFmtId="43" fontId="107" fillId="0" borderId="0" xfId="382" applyFont="1" applyFill="1" applyAlignment="1">
      <alignment horizontal="fill"/>
    </xf>
    <xf numFmtId="189" fontId="107" fillId="0" borderId="0" xfId="37695" applyNumberFormat="1" applyFont="1" applyFill="1" applyAlignment="1"/>
    <xf numFmtId="169" fontId="107" fillId="0" borderId="0" xfId="37696" applyFont="1" applyFill="1" applyAlignment="1"/>
    <xf numFmtId="189" fontId="107" fillId="0" borderId="0" xfId="37696" applyNumberFormat="1" applyFont="1" applyFill="1" applyAlignment="1"/>
    <xf numFmtId="0" fontId="107" fillId="0" borderId="0" xfId="37698" applyNumberFormat="1" applyFont="1" applyFill="1" applyAlignment="1"/>
    <xf numFmtId="0" fontId="107" fillId="0" borderId="0" xfId="37698" applyNumberFormat="1" applyFont="1" applyFill="1"/>
    <xf numFmtId="0" fontId="107" fillId="0" borderId="0" xfId="37698" applyNumberFormat="1" applyFont="1" applyFill="1" applyBorder="1" applyAlignment="1"/>
    <xf numFmtId="189" fontId="107" fillId="0" borderId="0" xfId="37698" applyNumberFormat="1" applyFont="1" applyFill="1" applyAlignment="1"/>
    <xf numFmtId="169" fontId="107" fillId="0" borderId="0" xfId="37694" applyFont="1" applyFill="1" applyAlignment="1"/>
    <xf numFmtId="0" fontId="107" fillId="0" borderId="0" xfId="37696" applyNumberFormat="1" applyFont="1" applyFill="1" applyBorder="1"/>
    <xf numFmtId="0" fontId="107" fillId="0" borderId="0" xfId="37698" applyFont="1" applyFill="1" applyAlignment="1"/>
    <xf numFmtId="3" fontId="107" fillId="0" borderId="0" xfId="37698" applyNumberFormat="1" applyFont="1" applyFill="1" applyAlignment="1"/>
    <xf numFmtId="0" fontId="107" fillId="0" borderId="0" xfId="37696" applyNumberFormat="1" applyFont="1" applyFill="1" applyBorder="1" applyAlignment="1" applyProtection="1">
      <alignment horizontal="center"/>
      <protection locked="0"/>
    </xf>
    <xf numFmtId="3" fontId="107" fillId="0" borderId="0" xfId="37696" applyNumberFormat="1" applyFont="1" applyFill="1" applyBorder="1"/>
    <xf numFmtId="169" fontId="107" fillId="0" borderId="0" xfId="37696" applyFont="1" applyFill="1" applyBorder="1" applyAlignment="1"/>
    <xf numFmtId="0" fontId="107" fillId="0" borderId="0" xfId="37696" applyNumberFormat="1" applyFont="1" applyFill="1" applyBorder="1" applyProtection="1">
      <protection locked="0"/>
    </xf>
    <xf numFmtId="0" fontId="107" fillId="0" borderId="0" xfId="37696" applyNumberFormat="1" applyFont="1" applyFill="1" applyBorder="1" applyAlignment="1"/>
    <xf numFmtId="0" fontId="107" fillId="0" borderId="0" xfId="37694" applyNumberFormat="1" applyFont="1" applyFill="1" applyAlignment="1"/>
    <xf numFmtId="0" fontId="107" fillId="0" borderId="0" xfId="37694" applyNumberFormat="1" applyFont="1" applyFill="1"/>
    <xf numFmtId="3" fontId="107" fillId="0" borderId="0" xfId="37694" applyNumberFormat="1" applyFont="1" applyFill="1"/>
    <xf numFmtId="43" fontId="107" fillId="0" borderId="0" xfId="382" applyFont="1" applyFill="1"/>
    <xf numFmtId="0" fontId="107" fillId="0" borderId="0" xfId="37694" applyNumberFormat="1" applyFont="1" applyFill="1" applyProtection="1">
      <protection locked="0"/>
    </xf>
    <xf numFmtId="164" fontId="107" fillId="0" borderId="0" xfId="382" applyNumberFormat="1" applyFont="1" applyFill="1"/>
    <xf numFmtId="3" fontId="107" fillId="0" borderId="0" xfId="37694" applyNumberFormat="1" applyFont="1" applyFill="1" applyAlignment="1"/>
    <xf numFmtId="43" fontId="107" fillId="0" borderId="0" xfId="382" applyFont="1" applyFill="1" applyBorder="1"/>
    <xf numFmtId="43" fontId="107" fillId="0" borderId="7" xfId="382" applyFont="1" applyFill="1" applyBorder="1"/>
    <xf numFmtId="0" fontId="107" fillId="0" borderId="0" xfId="37694" applyNumberFormat="1" applyFont="1" applyFill="1" applyAlignment="1" applyProtection="1">
      <protection locked="0"/>
    </xf>
    <xf numFmtId="43" fontId="107" fillId="0" borderId="0" xfId="382" applyFont="1" applyFill="1" applyAlignment="1">
      <alignment horizontal="center"/>
    </xf>
    <xf numFmtId="0" fontId="107" fillId="0" borderId="0" xfId="37694" applyNumberFormat="1" applyFont="1" applyFill="1" applyAlignment="1">
      <alignment horizontal="left"/>
    </xf>
    <xf numFmtId="0" fontId="107" fillId="0" borderId="0" xfId="37694" applyNumberFormat="1" applyFont="1" applyAlignment="1"/>
    <xf numFmtId="43" fontId="107" fillId="0" borderId="0" xfId="382" applyFont="1" applyProtection="1">
      <protection locked="0"/>
    </xf>
    <xf numFmtId="190" fontId="107" fillId="0" borderId="0" xfId="37694" applyNumberFormat="1" applyFont="1" applyProtection="1">
      <protection locked="0"/>
    </xf>
    <xf numFmtId="0" fontId="107" fillId="0" borderId="0" xfId="37694" applyNumberFormat="1" applyFont="1" applyFill="1" applyAlignment="1" applyProtection="1">
      <alignment horizontal="center"/>
      <protection locked="0"/>
    </xf>
    <xf numFmtId="190" fontId="107" fillId="0" borderId="0" xfId="37694" applyNumberFormat="1" applyFont="1" applyFill="1" applyProtection="1">
      <protection locked="0"/>
    </xf>
    <xf numFmtId="0" fontId="107" fillId="0" borderId="0" xfId="37696" applyNumberFormat="1" applyFont="1" applyAlignment="1"/>
    <xf numFmtId="190" fontId="107" fillId="0" borderId="0" xfId="37696" applyNumberFormat="1" applyFont="1" applyFill="1" applyProtection="1">
      <protection locked="0"/>
    </xf>
    <xf numFmtId="190" fontId="107" fillId="0" borderId="0" xfId="37696" applyNumberFormat="1" applyFont="1" applyProtection="1">
      <protection locked="0"/>
    </xf>
    <xf numFmtId="0" fontId="107" fillId="0" borderId="0" xfId="37695" applyFont="1" applyFill="1" applyAlignment="1">
      <alignment horizontal="right"/>
    </xf>
    <xf numFmtId="166" fontId="107" fillId="0" borderId="0" xfId="37696" applyNumberFormat="1" applyFont="1"/>
    <xf numFmtId="0" fontId="107" fillId="0" borderId="0" xfId="37696" applyNumberFormat="1" applyFont="1" applyAlignment="1">
      <alignment horizontal="right"/>
    </xf>
    <xf numFmtId="0" fontId="130" fillId="0" borderId="0" xfId="37696" applyNumberFormat="1" applyFont="1" applyAlignment="1"/>
    <xf numFmtId="0" fontId="94" fillId="0" borderId="0" xfId="37696" applyNumberFormat="1" applyFont="1" applyAlignment="1" applyProtection="1">
      <alignment horizontal="center"/>
      <protection locked="0"/>
    </xf>
    <xf numFmtId="3" fontId="94" fillId="0" borderId="0" xfId="37696" applyNumberFormat="1" applyFont="1" applyAlignment="1"/>
    <xf numFmtId="0" fontId="94" fillId="0" borderId="0" xfId="37696" applyNumberFormat="1" applyFont="1" applyAlignment="1"/>
    <xf numFmtId="0" fontId="107" fillId="0" borderId="0" xfId="37696" applyNumberFormat="1" applyFont="1" applyFill="1" applyAlignment="1" applyProtection="1">
      <alignment horizontal="center"/>
      <protection locked="0"/>
    </xf>
    <xf numFmtId="191" fontId="107" fillId="0" borderId="0" xfId="37696" applyNumberFormat="1" applyFont="1" applyFill="1" applyAlignment="1"/>
    <xf numFmtId="10" fontId="107" fillId="0" borderId="0" xfId="674" applyNumberFormat="1" applyFont="1" applyAlignment="1"/>
    <xf numFmtId="164" fontId="107" fillId="0" borderId="7" xfId="382" applyNumberFormat="1" applyFont="1" applyFill="1" applyBorder="1" applyAlignment="1"/>
    <xf numFmtId="170" fontId="107" fillId="0" borderId="0" xfId="382" applyNumberFormat="1" applyFont="1" applyFill="1" applyAlignment="1">
      <alignment horizontal="center"/>
    </xf>
    <xf numFmtId="170" fontId="107" fillId="0" borderId="0" xfId="37696" applyNumberFormat="1" applyFont="1" applyFill="1" applyAlignment="1">
      <alignment horizontal="center"/>
    </xf>
    <xf numFmtId="170" fontId="107" fillId="0" borderId="0" xfId="37696" applyNumberFormat="1" applyFont="1" applyFill="1" applyAlignment="1"/>
    <xf numFmtId="3" fontId="107" fillId="0" borderId="0" xfId="37698" applyNumberFormat="1" applyFont="1" applyFill="1" applyBorder="1" applyAlignment="1"/>
    <xf numFmtId="164" fontId="107" fillId="0" borderId="0" xfId="382" applyNumberFormat="1" applyFont="1" applyFill="1" applyBorder="1" applyAlignment="1"/>
    <xf numFmtId="3" fontId="130" fillId="0" borderId="0" xfId="37696" applyNumberFormat="1" applyFont="1" applyFill="1" applyAlignment="1"/>
    <xf numFmtId="169" fontId="130" fillId="0" borderId="0" xfId="37694" applyFont="1" applyFill="1" applyAlignment="1"/>
    <xf numFmtId="169" fontId="130" fillId="0" borderId="0" xfId="37694" applyFont="1" applyAlignment="1"/>
    <xf numFmtId="191" fontId="107" fillId="0" borderId="0" xfId="37695" applyNumberFormat="1" applyFont="1" applyFill="1" applyAlignment="1">
      <alignment horizontal="right"/>
    </xf>
    <xf numFmtId="168" fontId="107" fillId="0" borderId="0" xfId="37696" applyNumberFormat="1" applyFont="1" applyFill="1" applyAlignment="1">
      <alignment horizontal="center"/>
    </xf>
    <xf numFmtId="170" fontId="107" fillId="0" borderId="0" xfId="382" applyNumberFormat="1" applyFont="1" applyFill="1" applyAlignment="1">
      <alignment horizontal="right"/>
    </xf>
    <xf numFmtId="0" fontId="107" fillId="0" borderId="0" xfId="37695" applyNumberFormat="1" applyFont="1" applyFill="1"/>
    <xf numFmtId="164" fontId="107" fillId="0" borderId="40" xfId="382" applyNumberFormat="1" applyFont="1" applyFill="1" applyBorder="1" applyAlignment="1"/>
    <xf numFmtId="168" fontId="107" fillId="0" borderId="0" xfId="37695" applyNumberFormat="1" applyFont="1" applyFill="1" applyAlignment="1">
      <alignment horizontal="center"/>
    </xf>
    <xf numFmtId="3" fontId="107" fillId="0" borderId="0" xfId="37695" applyNumberFormat="1" applyFont="1" applyFill="1" applyBorder="1" applyAlignment="1"/>
    <xf numFmtId="3" fontId="107" fillId="0" borderId="0" xfId="37696" applyNumberFormat="1" applyFont="1" applyFill="1" applyAlignment="1">
      <alignment horizontal="right"/>
    </xf>
    <xf numFmtId="3" fontId="107" fillId="0" borderId="0" xfId="37696" applyNumberFormat="1" applyFont="1" applyFill="1" applyAlignment="1">
      <alignment horizontal="center"/>
    </xf>
    <xf numFmtId="0" fontId="107" fillId="0" borderId="0" xfId="37695" applyFont="1" applyFill="1"/>
    <xf numFmtId="0" fontId="107" fillId="0" borderId="0" xfId="37696" applyNumberFormat="1" applyFont="1" applyFill="1" applyAlignment="1">
      <alignment horizontal="center"/>
    </xf>
    <xf numFmtId="49" fontId="107" fillId="0" borderId="0" xfId="37696" applyNumberFormat="1" applyFont="1" applyFill="1" applyAlignment="1">
      <alignment horizontal="center"/>
    </xf>
    <xf numFmtId="3" fontId="94" fillId="0" borderId="0" xfId="37696" applyNumberFormat="1" applyFont="1" applyFill="1" applyAlignment="1">
      <alignment horizontal="center"/>
    </xf>
    <xf numFmtId="0" fontId="94" fillId="0" borderId="0" xfId="37696" applyNumberFormat="1" applyFont="1" applyFill="1" applyAlignment="1" applyProtection="1">
      <alignment horizontal="center"/>
      <protection locked="0"/>
    </xf>
    <xf numFmtId="169" fontId="94" fillId="0" borderId="0" xfId="37696" applyFont="1" applyFill="1" applyAlignment="1">
      <alignment horizontal="center"/>
    </xf>
    <xf numFmtId="3" fontId="94" fillId="0" borderId="0" xfId="37696" applyNumberFormat="1" applyFont="1" applyFill="1" applyAlignment="1"/>
    <xf numFmtId="193" fontId="107" fillId="0" borderId="0" xfId="37694" applyNumberFormat="1" applyFont="1" applyAlignment="1"/>
    <xf numFmtId="0" fontId="107" fillId="0" borderId="0" xfId="37696" quotePrefix="1" applyNumberFormat="1" applyFont="1" applyFill="1"/>
    <xf numFmtId="0" fontId="107" fillId="0" borderId="0" xfId="37698" applyNumberFormat="1" applyFont="1" applyFill="1" applyAlignment="1" applyProtection="1">
      <alignment horizontal="center"/>
      <protection locked="0"/>
    </xf>
    <xf numFmtId="169" fontId="107" fillId="0" borderId="0" xfId="37694" quotePrefix="1" applyFont="1" applyFill="1" applyAlignment="1"/>
    <xf numFmtId="10" fontId="107" fillId="0" borderId="0" xfId="674" applyNumberFormat="1" applyFont="1" applyFill="1" applyAlignment="1"/>
    <xf numFmtId="3" fontId="131" fillId="0" borderId="0" xfId="37695" applyNumberFormat="1" applyFont="1" applyFill="1" applyAlignment="1"/>
    <xf numFmtId="3" fontId="131" fillId="0" borderId="0" xfId="37696" applyNumberFormat="1" applyFont="1" applyFill="1" applyAlignment="1"/>
    <xf numFmtId="169" fontId="131" fillId="0" borderId="0" xfId="37694" applyFont="1" applyFill="1" applyAlignment="1"/>
    <xf numFmtId="164" fontId="131" fillId="0" borderId="0" xfId="382" applyNumberFormat="1" applyFont="1" applyAlignment="1"/>
    <xf numFmtId="169" fontId="131" fillId="0" borderId="0" xfId="37694" applyFont="1" applyAlignment="1"/>
    <xf numFmtId="189" fontId="107" fillId="0" borderId="0" xfId="37696" applyNumberFormat="1" applyFont="1" applyFill="1" applyAlignment="1">
      <alignment horizontal="center"/>
    </xf>
    <xf numFmtId="194" fontId="107" fillId="0" borderId="0" xfId="37696" applyNumberFormat="1" applyFont="1" applyFill="1" applyAlignment="1"/>
    <xf numFmtId="189" fontId="107" fillId="0" borderId="0" xfId="37695" applyNumberFormat="1" applyFont="1" applyFill="1" applyAlignment="1">
      <alignment horizontal="center"/>
    </xf>
    <xf numFmtId="164" fontId="107" fillId="0" borderId="17" xfId="382" applyNumberFormat="1" applyFont="1" applyFill="1" applyBorder="1" applyAlignment="1"/>
    <xf numFmtId="164" fontId="107" fillId="0" borderId="53" xfId="382" applyNumberFormat="1" applyFont="1" applyFill="1" applyBorder="1" applyAlignment="1"/>
    <xf numFmtId="0" fontId="107" fillId="0" borderId="0" xfId="37695" applyNumberFormat="1" applyFont="1" applyFill="1" applyAlignment="1"/>
    <xf numFmtId="169" fontId="107" fillId="0" borderId="0" xfId="37696" applyFont="1" applyFill="1" applyAlignment="1">
      <alignment horizontal="center"/>
    </xf>
    <xf numFmtId="169" fontId="107" fillId="0" borderId="0" xfId="37696" applyFont="1" applyFill="1" applyAlignment="1">
      <alignment horizontal="right"/>
    </xf>
    <xf numFmtId="0" fontId="131" fillId="0" borderId="0" xfId="37696" applyNumberFormat="1" applyFont="1" applyFill="1" applyAlignment="1" applyProtection="1">
      <alignment horizontal="center"/>
      <protection locked="0"/>
    </xf>
    <xf numFmtId="0" fontId="94" fillId="0" borderId="0" xfId="37696" applyNumberFormat="1" applyFont="1" applyFill="1" applyAlignment="1"/>
    <xf numFmtId="0" fontId="107" fillId="0" borderId="7" xfId="37696" applyNumberFormat="1" applyFont="1" applyFill="1" applyBorder="1"/>
    <xf numFmtId="49" fontId="107" fillId="0" borderId="0" xfId="37696" applyNumberFormat="1" applyFont="1" applyFill="1" applyAlignment="1"/>
    <xf numFmtId="3" fontId="107" fillId="0" borderId="7" xfId="37696" applyNumberFormat="1" applyFont="1" applyFill="1" applyBorder="1" applyAlignment="1"/>
    <xf numFmtId="3" fontId="107" fillId="0" borderId="7" xfId="37696" applyNumberFormat="1" applyFont="1" applyFill="1" applyBorder="1" applyAlignment="1">
      <alignment horizontal="center"/>
    </xf>
    <xf numFmtId="43" fontId="107" fillId="0" borderId="0" xfId="382" applyNumberFormat="1" applyFont="1" applyFill="1" applyAlignment="1"/>
    <xf numFmtId="3" fontId="107" fillId="0" borderId="0" xfId="37695" applyNumberFormat="1" applyFont="1" applyFill="1" applyBorder="1" applyAlignment="1">
      <alignment horizontal="center"/>
    </xf>
    <xf numFmtId="0" fontId="107" fillId="0" borderId="7" xfId="37695" applyNumberFormat="1" applyFont="1" applyFill="1" applyBorder="1" applyAlignment="1">
      <alignment horizontal="center"/>
    </xf>
    <xf numFmtId="0" fontId="107" fillId="0" borderId="0" xfId="37695" applyNumberFormat="1" applyFont="1" applyFill="1" applyAlignment="1">
      <alignment horizontal="center"/>
    </xf>
    <xf numFmtId="192" fontId="107" fillId="0" borderId="0" xfId="382" applyNumberFormat="1" applyFont="1" applyFill="1" applyAlignment="1"/>
    <xf numFmtId="189" fontId="107" fillId="0" borderId="0" xfId="37696" applyNumberFormat="1" applyFont="1" applyFill="1" applyAlignment="1" applyProtection="1">
      <alignment horizontal="center"/>
      <protection locked="0"/>
    </xf>
    <xf numFmtId="0" fontId="107" fillId="0" borderId="0" xfId="37696" applyNumberFormat="1" applyFont="1" applyFill="1" applyAlignment="1">
      <alignment horizontal="left"/>
    </xf>
    <xf numFmtId="192" fontId="107" fillId="0" borderId="0" xfId="382" applyNumberFormat="1" applyFont="1" applyFill="1" applyAlignment="1">
      <alignment horizontal="center"/>
    </xf>
    <xf numFmtId="168" fontId="107" fillId="0" borderId="0" xfId="674" applyNumberFormat="1" applyFont="1" applyFill="1" applyAlignment="1"/>
    <xf numFmtId="3" fontId="107" fillId="0" borderId="0" xfId="37696" quotePrefix="1" applyNumberFormat="1" applyFont="1" applyFill="1" applyAlignment="1"/>
    <xf numFmtId="168" fontId="107" fillId="0" borderId="7" xfId="674" applyNumberFormat="1" applyFont="1" applyFill="1" applyBorder="1" applyAlignment="1"/>
    <xf numFmtId="164" fontId="107" fillId="0" borderId="0" xfId="382" applyNumberFormat="1" applyFont="1" applyFill="1" applyAlignment="1">
      <alignment horizontal="center"/>
    </xf>
    <xf numFmtId="0" fontId="132" fillId="0" borderId="0" xfId="37696" applyNumberFormat="1" applyFont="1" applyFill="1" applyProtection="1">
      <protection locked="0"/>
    </xf>
    <xf numFmtId="169" fontId="132" fillId="0" borderId="0" xfId="37696" applyFont="1" applyFill="1" applyAlignment="1"/>
    <xf numFmtId="169" fontId="107" fillId="0" borderId="0" xfId="37696" applyFont="1" applyFill="1" applyAlignment="1" applyProtection="1"/>
    <xf numFmtId="195" fontId="107" fillId="0" borderId="0" xfId="382" applyNumberFormat="1" applyFont="1" applyFill="1" applyBorder="1" applyProtection="1">
      <protection locked="0"/>
    </xf>
    <xf numFmtId="38" fontId="107" fillId="0" borderId="0" xfId="37696" applyNumberFormat="1" applyFont="1" applyFill="1" applyAlignment="1" applyProtection="1"/>
    <xf numFmtId="195" fontId="107" fillId="0" borderId="7" xfId="382" applyNumberFormat="1" applyFont="1" applyFill="1" applyBorder="1" applyProtection="1">
      <protection locked="0"/>
    </xf>
    <xf numFmtId="38" fontId="107" fillId="0" borderId="0" xfId="37696" applyNumberFormat="1" applyFont="1" applyFill="1" applyAlignment="1"/>
    <xf numFmtId="193" fontId="107" fillId="0" borderId="0" xfId="37696" applyNumberFormat="1" applyFont="1" applyFill="1" applyBorder="1" applyProtection="1"/>
    <xf numFmtId="196" fontId="107" fillId="0" borderId="0" xfId="37696" applyNumberFormat="1" applyFont="1" applyFill="1" applyProtection="1">
      <protection locked="0"/>
    </xf>
    <xf numFmtId="1" fontId="107" fillId="0" borderId="0" xfId="37696" applyNumberFormat="1" applyFont="1" applyFill="1" applyProtection="1"/>
    <xf numFmtId="1" fontId="107" fillId="0" borderId="0" xfId="37696" applyNumberFormat="1" applyFont="1" applyFill="1" applyAlignment="1" applyProtection="1"/>
    <xf numFmtId="3" fontId="107" fillId="0" borderId="0" xfId="37696" applyNumberFormat="1" applyFont="1" applyFill="1" applyAlignment="1" applyProtection="1"/>
    <xf numFmtId="164" fontId="107" fillId="0" borderId="0" xfId="382" applyNumberFormat="1" applyFont="1" applyFill="1" applyBorder="1" applyAlignment="1" applyProtection="1"/>
    <xf numFmtId="193" fontId="107" fillId="0" borderId="0" xfId="37696" applyNumberFormat="1" applyFont="1" applyFill="1" applyBorder="1" applyAlignment="1" applyProtection="1"/>
    <xf numFmtId="0" fontId="129" fillId="0" borderId="0" xfId="37698" applyNumberFormat="1" applyFont="1" applyFill="1" applyAlignment="1" applyProtection="1">
      <alignment vertical="top" wrapText="1"/>
      <protection locked="0"/>
    </xf>
    <xf numFmtId="0" fontId="133" fillId="0" borderId="0" xfId="37698" applyNumberFormat="1" applyFont="1" applyFill="1" applyAlignment="1" applyProtection="1">
      <alignment vertical="top" wrapText="1"/>
      <protection locked="0"/>
    </xf>
    <xf numFmtId="164" fontId="133" fillId="0" borderId="0" xfId="382" applyNumberFormat="1" applyFont="1" applyFill="1" applyAlignment="1" applyProtection="1">
      <alignment vertical="top" wrapText="1"/>
      <protection locked="0"/>
    </xf>
    <xf numFmtId="164" fontId="129" fillId="0" borderId="0" xfId="382" applyNumberFormat="1" applyFont="1" applyFill="1" applyAlignment="1" applyProtection="1">
      <alignment vertical="top" wrapText="1"/>
      <protection locked="0"/>
    </xf>
    <xf numFmtId="164" fontId="42" fillId="0" borderId="0" xfId="382" applyNumberFormat="1" applyFont="1"/>
    <xf numFmtId="0" fontId="40" fillId="0" borderId="0" xfId="0" applyFont="1" applyAlignment="1">
      <alignment horizontal="center"/>
    </xf>
    <xf numFmtId="3" fontId="42" fillId="0" borderId="0" xfId="0" applyNumberFormat="1" applyFont="1" applyFill="1" applyBorder="1"/>
    <xf numFmtId="0" fontId="42" fillId="0" borderId="17" xfId="0" applyFont="1" applyFill="1" applyBorder="1"/>
    <xf numFmtId="0" fontId="42" fillId="0" borderId="17" xfId="0" applyFont="1" applyFill="1" applyBorder="1" applyAlignment="1">
      <alignment horizontal="center"/>
    </xf>
    <xf numFmtId="3" fontId="40" fillId="0" borderId="36" xfId="0" applyNumberFormat="1" applyFont="1" applyFill="1" applyBorder="1" applyAlignment="1"/>
    <xf numFmtId="164" fontId="42" fillId="0" borderId="30" xfId="382" applyNumberFormat="1" applyFont="1" applyFill="1" applyBorder="1"/>
    <xf numFmtId="0" fontId="42" fillId="0" borderId="0" xfId="0" quotePrefix="1" applyFont="1" applyFill="1" applyBorder="1" applyAlignment="1">
      <alignment horizontal="center" wrapText="1"/>
    </xf>
    <xf numFmtId="0" fontId="42" fillId="0" borderId="18" xfId="0" applyFont="1" applyFill="1" applyBorder="1"/>
    <xf numFmtId="0" fontId="42" fillId="0" borderId="0" xfId="0" applyFont="1" applyFill="1" applyAlignment="1">
      <alignment horizontal="right"/>
    </xf>
    <xf numFmtId="0" fontId="40" fillId="0" borderId="17" xfId="0" applyFont="1" applyFill="1" applyBorder="1" applyAlignment="1"/>
    <xf numFmtId="3" fontId="40" fillId="0" borderId="47" xfId="0" applyNumberFormat="1" applyFont="1" applyFill="1" applyBorder="1" applyAlignment="1">
      <alignment horizontal="center"/>
    </xf>
    <xf numFmtId="0" fontId="40" fillId="0" borderId="6" xfId="0" applyNumberFormat="1" applyFont="1" applyFill="1" applyBorder="1" applyAlignment="1">
      <alignment horizontal="center"/>
    </xf>
    <xf numFmtId="0" fontId="40" fillId="0" borderId="6" xfId="0" applyFont="1" applyFill="1" applyBorder="1" applyAlignment="1">
      <alignment horizontal="center" wrapText="1"/>
    </xf>
    <xf numFmtId="0" fontId="106" fillId="0" borderId="0" xfId="11279" applyFont="1"/>
    <xf numFmtId="0" fontId="40" fillId="0" borderId="6" xfId="0" applyFont="1" applyFill="1" applyBorder="1" applyAlignment="1">
      <alignment horizontal="center"/>
    </xf>
    <xf numFmtId="43" fontId="40" fillId="0" borderId="0" xfId="382" applyFont="1" applyBorder="1"/>
    <xf numFmtId="0" fontId="40" fillId="35" borderId="46" xfId="0" applyFont="1" applyFill="1" applyBorder="1" applyAlignment="1">
      <alignment horizontal="center" wrapText="1"/>
    </xf>
    <xf numFmtId="0" fontId="42" fillId="50" borderId="32" xfId="0" applyFont="1" applyFill="1" applyBorder="1" applyAlignment="1">
      <alignment horizontal="center" wrapText="1"/>
    </xf>
    <xf numFmtId="0" fontId="42" fillId="50" borderId="42" xfId="0" applyFont="1" applyFill="1" applyBorder="1" applyAlignment="1">
      <alignment horizontal="center" wrapText="1"/>
    </xf>
    <xf numFmtId="0" fontId="54" fillId="35" borderId="31" xfId="0" applyFont="1" applyFill="1" applyBorder="1" applyAlignment="1">
      <alignment horizontal="left"/>
    </xf>
    <xf numFmtId="0" fontId="40" fillId="35" borderId="46" xfId="0" applyFont="1" applyFill="1" applyBorder="1" applyAlignment="1"/>
    <xf numFmtId="0" fontId="40" fillId="35" borderId="46" xfId="0" applyNumberFormat="1" applyFont="1" applyFill="1" applyBorder="1" applyAlignment="1">
      <alignment horizontal="center"/>
    </xf>
    <xf numFmtId="0" fontId="40" fillId="35" borderId="46" xfId="0" applyNumberFormat="1" applyFont="1" applyFill="1" applyBorder="1" applyAlignment="1">
      <alignment horizontal="center" wrapText="1"/>
    </xf>
    <xf numFmtId="3" fontId="42" fillId="0" borderId="41" xfId="0" applyNumberFormat="1" applyFont="1" applyBorder="1" applyAlignment="1"/>
    <xf numFmtId="43" fontId="40" fillId="0" borderId="35" xfId="382" applyFont="1" applyBorder="1"/>
    <xf numFmtId="43" fontId="40" fillId="0" borderId="41" xfId="382" applyFont="1" applyBorder="1"/>
    <xf numFmtId="164" fontId="118" fillId="0" borderId="0" xfId="382" applyNumberFormat="1" applyFont="1" applyFill="1" applyBorder="1"/>
    <xf numFmtId="0" fontId="121" fillId="0" borderId="0" xfId="0" applyFont="1"/>
    <xf numFmtId="0" fontId="38" fillId="0" borderId="0" xfId="0" applyFont="1" applyFill="1" applyBorder="1" applyAlignment="1">
      <alignment horizontal="center"/>
    </xf>
    <xf numFmtId="164" fontId="118" fillId="0" borderId="0" xfId="382" applyNumberFormat="1" applyFont="1" applyFill="1" applyAlignment="1">
      <alignment horizontal="center"/>
    </xf>
    <xf numFmtId="17" fontId="38" fillId="0" borderId="0" xfId="0" applyNumberFormat="1" applyFont="1" applyFill="1" applyBorder="1"/>
    <xf numFmtId="166" fontId="38" fillId="0" borderId="0" xfId="678" applyNumberFormat="1" applyFont="1" applyBorder="1"/>
    <xf numFmtId="43" fontId="38" fillId="0" borderId="0" xfId="0" applyNumberFormat="1" applyFont="1" applyFill="1"/>
    <xf numFmtId="43" fontId="38" fillId="0" borderId="0" xfId="0" applyNumberFormat="1" applyFont="1" applyFill="1" applyBorder="1"/>
    <xf numFmtId="0" fontId="134" fillId="0" borderId="0" xfId="0" applyFont="1" applyAlignment="1">
      <alignment horizontal="center"/>
    </xf>
    <xf numFmtId="43" fontId="126" fillId="0" borderId="0" xfId="382" applyFont="1" applyAlignment="1">
      <alignment horizontal="center"/>
    </xf>
    <xf numFmtId="10" fontId="38" fillId="0" borderId="0" xfId="678" applyNumberFormat="1" applyFont="1" applyFill="1" applyBorder="1"/>
    <xf numFmtId="164" fontId="126" fillId="0" borderId="0" xfId="382" applyNumberFormat="1" applyFont="1"/>
    <xf numFmtId="0" fontId="39" fillId="0" borderId="0" xfId="0" applyFont="1" applyBorder="1"/>
    <xf numFmtId="39" fontId="38" fillId="0" borderId="0" xfId="403" applyNumberFormat="1" applyFont="1" applyFill="1"/>
    <xf numFmtId="10" fontId="38" fillId="0" borderId="0" xfId="674" applyNumberFormat="1" applyFont="1" applyFill="1"/>
    <xf numFmtId="10" fontId="38" fillId="0" borderId="0" xfId="678" applyNumberFormat="1" applyFont="1" applyBorder="1"/>
    <xf numFmtId="43" fontId="38" fillId="0" borderId="0" xfId="0" applyNumberFormat="1" applyFont="1"/>
    <xf numFmtId="43" fontId="38" fillId="0" borderId="0" xfId="0" quotePrefix="1" applyNumberFormat="1" applyFont="1" applyFill="1"/>
    <xf numFmtId="164" fontId="58" fillId="0" borderId="0" xfId="382" applyNumberFormat="1" applyFont="1" applyFill="1"/>
    <xf numFmtId="0" fontId="58" fillId="0" borderId="0" xfId="0" applyFont="1" applyAlignment="1">
      <alignment horizontal="center"/>
    </xf>
    <xf numFmtId="164" fontId="58" fillId="0" borderId="0" xfId="382" applyNumberFormat="1" applyFont="1" applyAlignment="1">
      <alignment horizontal="center"/>
    </xf>
    <xf numFmtId="0" fontId="38" fillId="0" borderId="0" xfId="0" applyFont="1" applyAlignment="1">
      <alignment horizontal="center" wrapText="1"/>
    </xf>
    <xf numFmtId="0" fontId="58" fillId="0" borderId="0" xfId="0" quotePrefix="1" applyFont="1" applyAlignment="1">
      <alignment horizontal="center" wrapText="1"/>
    </xf>
    <xf numFmtId="0" fontId="58" fillId="0" borderId="0" xfId="0" applyFont="1" applyAlignment="1">
      <alignment horizontal="left"/>
    </xf>
    <xf numFmtId="37" fontId="58" fillId="0" borderId="0" xfId="0" applyNumberFormat="1" applyFont="1" applyAlignment="1">
      <alignment horizontal="center"/>
    </xf>
    <xf numFmtId="164" fontId="58" fillId="37" borderId="0" xfId="382" applyNumberFormat="1" applyFont="1" applyFill="1" applyAlignment="1"/>
    <xf numFmtId="0" fontId="120" fillId="0" borderId="0" xfId="0" quotePrefix="1" applyFont="1" applyAlignment="1">
      <alignment horizontal="left" wrapText="1"/>
    </xf>
    <xf numFmtId="0" fontId="87" fillId="0" borderId="0" xfId="0" applyFont="1" applyFill="1" applyBorder="1"/>
    <xf numFmtId="0" fontId="58" fillId="0" borderId="0" xfId="474" quotePrefix="1" applyFont="1" applyAlignment="1"/>
    <xf numFmtId="0" fontId="58" fillId="0" borderId="0" xfId="11272" applyFont="1" applyAlignment="1"/>
    <xf numFmtId="17" fontId="38" fillId="0" borderId="0" xfId="0" applyNumberFormat="1" applyFont="1" applyFill="1" applyBorder="1" applyAlignment="1">
      <alignment horizontal="left" vertical="top"/>
    </xf>
    <xf numFmtId="10" fontId="38" fillId="0" borderId="0" xfId="678" applyNumberFormat="1" applyFont="1" applyBorder="1" applyAlignment="1">
      <alignment horizontal="left" vertical="top"/>
    </xf>
    <xf numFmtId="166" fontId="38" fillId="0" borderId="0" xfId="678" applyNumberFormat="1" applyFont="1" applyBorder="1" applyAlignment="1">
      <alignment horizontal="left" vertical="top"/>
    </xf>
    <xf numFmtId="0" fontId="38" fillId="0" borderId="0" xfId="564" quotePrefix="1" applyFont="1" applyFill="1" applyBorder="1" applyAlignment="1">
      <alignment horizontal="center" vertical="top"/>
    </xf>
    <xf numFmtId="164" fontId="58" fillId="0" borderId="0" xfId="382" applyNumberFormat="1" applyFont="1" applyFill="1" applyBorder="1" applyAlignment="1">
      <alignment horizontal="left"/>
    </xf>
    <xf numFmtId="164" fontId="106" fillId="0" borderId="0" xfId="382" applyNumberFormat="1" applyFont="1"/>
    <xf numFmtId="0" fontId="58" fillId="0" borderId="0" xfId="569" applyFont="1" applyAlignment="1">
      <alignment horizontal="center"/>
    </xf>
    <xf numFmtId="164" fontId="135" fillId="0" borderId="0" xfId="382" applyNumberFormat="1" applyFont="1"/>
    <xf numFmtId="0" fontId="38" fillId="0" borderId="0" xfId="474" applyFont="1"/>
    <xf numFmtId="0" fontId="38" fillId="0" borderId="0" xfId="11267" applyFont="1" applyFill="1" applyAlignment="1">
      <alignment horizontal="left" indent="1"/>
    </xf>
    <xf numFmtId="49" fontId="38" fillId="0" borderId="0" xfId="0" applyNumberFormat="1" applyFont="1"/>
    <xf numFmtId="43" fontId="126" fillId="0" borderId="0" xfId="382" applyFont="1"/>
    <xf numFmtId="0" fontId="38" fillId="0" borderId="0" xfId="474" applyFont="1" applyBorder="1"/>
    <xf numFmtId="164" fontId="38" fillId="0" borderId="0" xfId="382" applyNumberFormat="1" applyFont="1" applyBorder="1"/>
    <xf numFmtId="164" fontId="38" fillId="0" borderId="0" xfId="474" applyNumberFormat="1" applyFont="1" applyBorder="1"/>
    <xf numFmtId="0" fontId="38" fillId="0" borderId="0" xfId="517" applyNumberFormat="1" applyFont="1" applyFill="1" applyBorder="1" applyAlignment="1">
      <alignment horizontal="center"/>
    </xf>
    <xf numFmtId="0" fontId="38" fillId="0" borderId="0" xfId="474" applyFont="1" applyBorder="1" applyAlignment="1">
      <alignment horizontal="center"/>
    </xf>
    <xf numFmtId="164" fontId="38" fillId="0" borderId="0" xfId="474" applyNumberFormat="1" applyFont="1"/>
    <xf numFmtId="0" fontId="39" fillId="0" borderId="0" xfId="474" applyFont="1" applyAlignment="1"/>
    <xf numFmtId="17" fontId="38" fillId="0" borderId="0" xfId="517" applyNumberFormat="1" applyFont="1" applyBorder="1"/>
    <xf numFmtId="0" fontId="39" fillId="0" borderId="0" xfId="474" applyFont="1"/>
    <xf numFmtId="0" fontId="38" fillId="0" borderId="0" xfId="517" applyNumberFormat="1" applyFont="1" applyFill="1" applyBorder="1" applyAlignment="1">
      <alignment horizontal="right"/>
    </xf>
    <xf numFmtId="17" fontId="38" fillId="0" borderId="0" xfId="517" applyNumberFormat="1" applyFont="1" applyBorder="1" applyAlignment="1">
      <alignment horizontal="center"/>
    </xf>
    <xf numFmtId="43" fontId="38" fillId="0" borderId="0" xfId="382" applyFont="1" applyAlignment="1">
      <alignment wrapText="1"/>
    </xf>
    <xf numFmtId="43" fontId="38" fillId="0" borderId="0" xfId="382" applyFont="1" applyAlignment="1">
      <alignment horizontal="left"/>
    </xf>
    <xf numFmtId="43" fontId="40" fillId="0" borderId="26" xfId="382" applyFont="1" applyFill="1" applyBorder="1" applyAlignment="1">
      <alignment horizontal="center"/>
    </xf>
    <xf numFmtId="49" fontId="38" fillId="0" borderId="0" xfId="0" applyNumberFormat="1" applyFont="1" applyBorder="1"/>
    <xf numFmtId="164" fontId="38" fillId="0" borderId="0" xfId="382" applyNumberFormat="1" applyFont="1" applyFill="1" applyBorder="1" applyAlignment="1">
      <alignment horizontal="left"/>
    </xf>
    <xf numFmtId="43" fontId="118" fillId="0" borderId="0" xfId="382" applyFont="1" applyFill="1" applyBorder="1" applyAlignment="1">
      <alignment horizontal="center"/>
    </xf>
    <xf numFmtId="0" fontId="38" fillId="0" borderId="0" xfId="474" applyFont="1" applyBorder="1" applyProtection="1">
      <protection locked="0"/>
    </xf>
    <xf numFmtId="164" fontId="38" fillId="0" borderId="0" xfId="382" applyNumberFormat="1" applyFont="1" applyBorder="1" applyProtection="1">
      <protection locked="0"/>
    </xf>
    <xf numFmtId="43" fontId="58" fillId="0" borderId="0" xfId="382" applyFont="1" applyAlignment="1">
      <alignment horizontal="center"/>
    </xf>
    <xf numFmtId="0" fontId="38" fillId="0" borderId="0" xfId="504" applyFont="1" applyFill="1" applyBorder="1" applyAlignment="1">
      <alignment horizontal="center" wrapText="1"/>
    </xf>
    <xf numFmtId="0" fontId="39" fillId="0" borderId="0" xfId="569" applyFont="1" applyFill="1" applyBorder="1" applyAlignment="1">
      <alignment horizontal="center" vertical="top"/>
    </xf>
    <xf numFmtId="164" fontId="38" fillId="0" borderId="0" xfId="569" applyNumberFormat="1" applyFont="1" applyFill="1" applyBorder="1" applyAlignment="1">
      <alignment horizontal="center" vertical="top"/>
    </xf>
    <xf numFmtId="0" fontId="38" fillId="0" borderId="0" xfId="569" quotePrefix="1" applyFont="1" applyFill="1" applyBorder="1" applyAlignment="1">
      <alignment horizontal="left" vertical="top"/>
    </xf>
    <xf numFmtId="0" fontId="38" fillId="0" borderId="0" xfId="530" applyFont="1" applyAlignment="1"/>
    <xf numFmtId="0" fontId="38" fillId="0" borderId="0" xfId="530" applyFont="1" applyBorder="1" applyAlignment="1"/>
    <xf numFmtId="0" fontId="58" fillId="0" borderId="0" xfId="530" applyFont="1" applyBorder="1" applyAlignment="1"/>
    <xf numFmtId="0" fontId="58" fillId="0" borderId="18" xfId="530" applyFont="1" applyBorder="1" applyAlignment="1"/>
    <xf numFmtId="0" fontId="118" fillId="0" borderId="18" xfId="0" applyFont="1" applyBorder="1"/>
    <xf numFmtId="0" fontId="38" fillId="0" borderId="18" xfId="0" applyFont="1" applyBorder="1"/>
    <xf numFmtId="0" fontId="58" fillId="0" borderId="18" xfId="530" applyFont="1" applyBorder="1" applyAlignment="1">
      <alignment horizontal="center"/>
    </xf>
    <xf numFmtId="164" fontId="58" fillId="37" borderId="54" xfId="382" applyNumberFormat="1" applyFont="1" applyFill="1" applyBorder="1" applyAlignment="1">
      <alignment horizontal="left"/>
    </xf>
    <xf numFmtId="164" fontId="58" fillId="37" borderId="45" xfId="382" applyNumberFormat="1" applyFont="1" applyFill="1" applyBorder="1" applyAlignment="1">
      <alignment horizontal="left"/>
    </xf>
    <xf numFmtId="0" fontId="58" fillId="0" borderId="45" xfId="530" applyFont="1" applyBorder="1" applyAlignment="1">
      <alignment horizontal="center"/>
    </xf>
    <xf numFmtId="0" fontId="38" fillId="0" borderId="0" xfId="533" applyFont="1"/>
    <xf numFmtId="0" fontId="38" fillId="0" borderId="0" xfId="0" applyFont="1" applyFill="1" applyBorder="1" applyAlignment="1">
      <alignment horizontal="center" wrapText="1"/>
    </xf>
    <xf numFmtId="0" fontId="38" fillId="0" borderId="0" xfId="0" applyFont="1" applyFill="1" applyAlignment="1">
      <alignment horizontal="center" vertical="top"/>
    </xf>
    <xf numFmtId="0" fontId="38" fillId="0" borderId="0" xfId="0" applyFont="1" applyFill="1" applyAlignment="1">
      <alignment vertical="top"/>
    </xf>
    <xf numFmtId="164" fontId="38" fillId="0" borderId="18" xfId="382" applyNumberFormat="1" applyFont="1" applyFill="1" applyBorder="1"/>
    <xf numFmtId="164" fontId="38" fillId="0" borderId="18" xfId="382" applyNumberFormat="1" applyFont="1" applyBorder="1"/>
    <xf numFmtId="164" fontId="50" fillId="0" borderId="0" xfId="382" applyNumberFormat="1" applyFont="1" applyFill="1" applyBorder="1" applyAlignment="1">
      <alignment horizontal="center"/>
    </xf>
    <xf numFmtId="164" fontId="39" fillId="0" borderId="0" xfId="403" applyNumberFormat="1" applyFont="1" applyFill="1" applyAlignment="1"/>
    <xf numFmtId="164" fontId="39" fillId="0" borderId="0" xfId="504" applyNumberFormat="1" applyFont="1"/>
    <xf numFmtId="0" fontId="39" fillId="0" borderId="0" xfId="504" applyFont="1" applyBorder="1"/>
    <xf numFmtId="0" fontId="62" fillId="0" borderId="0" xfId="0" applyFont="1" applyFill="1" applyBorder="1"/>
    <xf numFmtId="0" fontId="22" fillId="0" borderId="0" xfId="496" applyFont="1"/>
    <xf numFmtId="0" fontId="38" fillId="0" borderId="0" xfId="504" applyFont="1" applyAlignment="1">
      <alignment vertical="center"/>
    </xf>
    <xf numFmtId="0" fontId="38" fillId="0" borderId="0" xfId="504" applyFont="1" applyAlignment="1">
      <alignment horizontal="center" vertical="center"/>
    </xf>
    <xf numFmtId="0" fontId="38" fillId="0" borderId="0" xfId="0" applyFont="1" applyFill="1" applyAlignment="1">
      <alignment horizontal="left" indent="1"/>
    </xf>
    <xf numFmtId="164" fontId="38" fillId="0" borderId="6" xfId="403" applyNumberFormat="1" applyFont="1" applyFill="1" applyBorder="1" applyAlignment="1"/>
    <xf numFmtId="0" fontId="22" fillId="0" borderId="0" xfId="496" applyFont="1" applyAlignment="1">
      <alignment horizontal="center"/>
    </xf>
    <xf numFmtId="43" fontId="38" fillId="0" borderId="18" xfId="382" applyFont="1" applyFill="1" applyBorder="1" applyAlignment="1">
      <alignment horizontal="center" wrapText="1"/>
    </xf>
    <xf numFmtId="0" fontId="40" fillId="0" borderId="19" xfId="0" applyNumberFormat="1" applyFont="1" applyBorder="1" applyAlignment="1">
      <alignment horizontal="center"/>
    </xf>
    <xf numFmtId="0" fontId="42" fillId="0" borderId="5" xfId="0" applyNumberFormat="1" applyFont="1" applyBorder="1" applyAlignment="1">
      <alignment horizontal="center"/>
    </xf>
    <xf numFmtId="0" fontId="40" fillId="0" borderId="5" xfId="0" applyNumberFormat="1" applyFont="1" applyFill="1" applyBorder="1" applyAlignment="1"/>
    <xf numFmtId="0" fontId="40" fillId="0" borderId="5" xfId="0" applyFont="1" applyFill="1" applyBorder="1" applyAlignment="1"/>
    <xf numFmtId="0" fontId="40" fillId="0" borderId="18" xfId="0" applyFont="1" applyFill="1" applyBorder="1" applyAlignment="1"/>
    <xf numFmtId="3" fontId="40" fillId="0" borderId="0" xfId="0" applyNumberFormat="1" applyFont="1" applyFill="1" applyBorder="1" applyAlignment="1">
      <alignment horizontal="center"/>
    </xf>
    <xf numFmtId="0" fontId="40" fillId="0" borderId="5" xfId="0" applyNumberFormat="1" applyFont="1" applyBorder="1" applyAlignment="1">
      <alignment horizontal="left"/>
    </xf>
    <xf numFmtId="0" fontId="40" fillId="0" borderId="5" xfId="0" applyFont="1" applyFill="1" applyBorder="1"/>
    <xf numFmtId="0" fontId="40" fillId="0" borderId="5" xfId="0" applyFont="1" applyBorder="1" applyAlignment="1">
      <alignment horizontal="center"/>
    </xf>
    <xf numFmtId="0" fontId="45" fillId="0" borderId="0" xfId="0" applyFont="1" applyFill="1" applyBorder="1" applyAlignment="1"/>
    <xf numFmtId="164" fontId="42" fillId="0" borderId="0" xfId="382" applyNumberFormat="1" applyFont="1" applyFill="1"/>
    <xf numFmtId="10" fontId="42" fillId="0" borderId="0" xfId="674" applyNumberFormat="1" applyFont="1" applyFill="1"/>
    <xf numFmtId="164" fontId="39" fillId="0" borderId="0" xfId="382" applyNumberFormat="1" applyFont="1" applyFill="1" applyAlignment="1">
      <alignment horizontal="center"/>
    </xf>
    <xf numFmtId="164" fontId="38" fillId="0" borderId="0" xfId="382" applyNumberFormat="1" applyFont="1" applyFill="1" applyAlignment="1">
      <alignment horizontal="right" wrapText="1"/>
    </xf>
    <xf numFmtId="164" fontId="38" fillId="0" borderId="0" xfId="382" quotePrefix="1" applyNumberFormat="1" applyFont="1" applyFill="1" applyBorder="1" applyAlignment="1">
      <alignment horizontal="center" vertical="top"/>
    </xf>
    <xf numFmtId="164" fontId="39" fillId="0" borderId="0" xfId="382" applyNumberFormat="1" applyFont="1" applyFill="1" applyBorder="1" applyAlignment="1">
      <alignment horizontal="center" vertical="top"/>
    </xf>
    <xf numFmtId="164" fontId="40" fillId="0" borderId="27" xfId="382" applyNumberFormat="1" applyFont="1" applyFill="1" applyBorder="1"/>
    <xf numFmtId="164" fontId="22" fillId="0" borderId="0" xfId="382" applyNumberFormat="1" applyFont="1" applyAlignment="1">
      <alignment horizontal="center"/>
    </xf>
    <xf numFmtId="0" fontId="38" fillId="0" borderId="0" xfId="0" applyFont="1" applyFill="1" applyAlignment="1">
      <alignment horizontal="center" vertical="center"/>
    </xf>
    <xf numFmtId="166" fontId="38" fillId="0" borderId="0" xfId="0" applyNumberFormat="1" applyFont="1" applyAlignment="1">
      <alignment horizontal="center" vertical="center"/>
    </xf>
    <xf numFmtId="39" fontId="38" fillId="0" borderId="0" xfId="403" applyNumberFormat="1" applyFont="1" applyAlignment="1">
      <alignment horizontal="center" vertical="center"/>
    </xf>
    <xf numFmtId="0" fontId="121" fillId="0" borderId="0" xfId="0" applyFont="1" applyAlignment="1"/>
    <xf numFmtId="0" fontId="121" fillId="0" borderId="0" xfId="504" applyFont="1" applyAlignment="1">
      <alignment horizontal="left"/>
    </xf>
    <xf numFmtId="0" fontId="38" fillId="0" borderId="0" xfId="504" applyFont="1" applyFill="1" applyBorder="1" applyAlignment="1"/>
    <xf numFmtId="185" fontId="38" fillId="0" borderId="0" xfId="474" applyNumberFormat="1" applyFont="1" applyAlignment="1" applyProtection="1">
      <alignment horizontal="center"/>
      <protection locked="0"/>
    </xf>
    <xf numFmtId="164" fontId="58" fillId="0" borderId="18" xfId="382" applyNumberFormat="1" applyFont="1" applyFill="1" applyBorder="1"/>
    <xf numFmtId="0" fontId="58" fillId="0" borderId="0" xfId="569" applyFont="1" applyBorder="1"/>
    <xf numFmtId="164" fontId="38" fillId="0" borderId="4" xfId="382" applyNumberFormat="1" applyFont="1" applyFill="1" applyBorder="1" applyAlignment="1">
      <alignment horizontal="center"/>
    </xf>
    <xf numFmtId="43" fontId="58" fillId="0" borderId="21" xfId="382" applyFont="1" applyFill="1" applyBorder="1" applyAlignment="1">
      <alignment horizontal="center"/>
    </xf>
    <xf numFmtId="164" fontId="58" fillId="0" borderId="54" xfId="382" applyNumberFormat="1" applyFont="1" applyFill="1" applyBorder="1" applyAlignment="1">
      <alignment horizontal="left"/>
    </xf>
    <xf numFmtId="164" fontId="58" fillId="0" borderId="35" xfId="382" applyNumberFormat="1" applyFont="1" applyFill="1" applyBorder="1" applyAlignment="1">
      <alignment horizontal="left"/>
    </xf>
    <xf numFmtId="0" fontId="38" fillId="0" borderId="0" xfId="0" applyFont="1" applyAlignment="1">
      <alignment vertical="center" wrapText="1"/>
    </xf>
    <xf numFmtId="0" fontId="39" fillId="0" borderId="0" xfId="569" applyFont="1" applyFill="1" applyBorder="1" applyAlignment="1">
      <alignment vertical="top"/>
    </xf>
    <xf numFmtId="0" fontId="38" fillId="0" borderId="0" xfId="504" applyFont="1" applyBorder="1" applyAlignment="1">
      <alignment horizontal="center" wrapText="1"/>
    </xf>
    <xf numFmtId="0" fontId="38" fillId="0" borderId="0" xfId="504" applyFont="1" applyAlignment="1">
      <alignment horizontal="center" wrapText="1"/>
    </xf>
    <xf numFmtId="0" fontId="58" fillId="0" borderId="0" xfId="511" applyFont="1"/>
    <xf numFmtId="0" fontId="58" fillId="0" borderId="0" xfId="511" applyFont="1" applyAlignment="1">
      <alignment horizontal="center"/>
    </xf>
    <xf numFmtId="0" fontId="58" fillId="0" borderId="0" xfId="0" applyFont="1" applyFill="1" applyAlignment="1"/>
    <xf numFmtId="0" fontId="38" fillId="0" borderId="0" xfId="484" applyFont="1" applyFill="1" applyAlignment="1">
      <alignment horizontal="left" vertical="top" indent="2"/>
    </xf>
    <xf numFmtId="0" fontId="38" fillId="0" borderId="0" xfId="484" applyFont="1" applyFill="1" applyBorder="1" applyAlignment="1">
      <alignment vertical="top"/>
    </xf>
    <xf numFmtId="41" fontId="38" fillId="0" borderId="0" xfId="484" applyNumberFormat="1" applyFont="1" applyBorder="1" applyAlignment="1">
      <alignment vertical="top"/>
    </xf>
    <xf numFmtId="0" fontId="38" fillId="0" borderId="0" xfId="484" applyFont="1" applyFill="1" applyBorder="1" applyAlignment="1">
      <alignment horizontal="center" vertical="top"/>
    </xf>
    <xf numFmtId="0" fontId="38" fillId="0" borderId="0" xfId="504" applyFont="1" applyBorder="1" applyAlignment="1">
      <alignment horizontal="left" indent="1"/>
    </xf>
    <xf numFmtId="0" fontId="38" fillId="0" borderId="0" xfId="504" applyNumberFormat="1" applyFont="1" applyFill="1" applyBorder="1" applyAlignment="1">
      <alignment horizontal="left" indent="1"/>
    </xf>
    <xf numFmtId="0" fontId="39" fillId="0" borderId="0" xfId="0" applyFont="1" applyAlignment="1">
      <alignment horizontal="center"/>
    </xf>
    <xf numFmtId="0" fontId="39" fillId="0" borderId="0" xfId="0" applyNumberFormat="1" applyFont="1" applyFill="1" applyBorder="1" applyAlignment="1"/>
    <xf numFmtId="43" fontId="38" fillId="0" borderId="0" xfId="382" applyFont="1" applyFill="1" applyBorder="1" applyAlignment="1">
      <alignment horizontal="center" wrapText="1"/>
    </xf>
    <xf numFmtId="43" fontId="58" fillId="0" borderId="0" xfId="425" applyFont="1"/>
    <xf numFmtId="0" fontId="39" fillId="50" borderId="6" xfId="0" applyFont="1" applyFill="1" applyBorder="1" applyAlignment="1"/>
    <xf numFmtId="0" fontId="38" fillId="50" borderId="6" xfId="0" applyFont="1" applyFill="1" applyBorder="1" applyAlignment="1"/>
    <xf numFmtId="0" fontId="39" fillId="50" borderId="6" xfId="0" applyNumberFormat="1" applyFont="1" applyFill="1" applyBorder="1" applyAlignment="1">
      <alignment horizontal="center"/>
    </xf>
    <xf numFmtId="0" fontId="39" fillId="50" borderId="4" xfId="0" applyFont="1" applyFill="1" applyBorder="1" applyAlignment="1">
      <alignment horizontal="left"/>
    </xf>
    <xf numFmtId="0" fontId="38" fillId="50" borderId="6" xfId="0" applyFont="1" applyFill="1" applyBorder="1"/>
    <xf numFmtId="0" fontId="38" fillId="50" borderId="6" xfId="0" applyFont="1" applyFill="1" applyBorder="1" applyAlignment="1">
      <alignment horizontal="center" wrapText="1"/>
    </xf>
    <xf numFmtId="0" fontId="38" fillId="0" borderId="0" xfId="504" applyFont="1" applyFill="1" applyAlignment="1">
      <alignment horizontal="left" indent="1"/>
    </xf>
    <xf numFmtId="0" fontId="38" fillId="0" borderId="0" xfId="504" applyNumberFormat="1" applyFont="1" applyFill="1" applyBorder="1" applyAlignment="1">
      <alignment horizontal="left" indent="2"/>
    </xf>
    <xf numFmtId="0" fontId="42" fillId="0" borderId="16" xfId="0" applyNumberFormat="1" applyFont="1" applyFill="1" applyBorder="1" applyAlignment="1">
      <alignment horizontal="left"/>
    </xf>
    <xf numFmtId="164" fontId="42" fillId="0" borderId="26" xfId="382" applyNumberFormat="1" applyFont="1" applyFill="1" applyBorder="1" applyAlignment="1">
      <alignment horizontal="right"/>
    </xf>
    <xf numFmtId="0" fontId="58" fillId="0" borderId="4" xfId="530" applyFont="1" applyBorder="1" applyAlignment="1">
      <alignment horizontal="center"/>
    </xf>
    <xf numFmtId="164" fontId="58" fillId="37" borderId="43" xfId="382" applyNumberFormat="1" applyFont="1" applyFill="1" applyBorder="1" applyAlignment="1">
      <alignment horizontal="left"/>
    </xf>
    <xf numFmtId="0" fontId="118" fillId="0" borderId="45" xfId="0" applyFont="1" applyBorder="1"/>
    <xf numFmtId="0" fontId="58" fillId="0" borderId="6" xfId="530" applyFont="1" applyBorder="1" applyAlignment="1">
      <alignment horizontal="center"/>
    </xf>
    <xf numFmtId="0" fontId="58" fillId="0" borderId="21" xfId="530" applyFont="1" applyBorder="1" applyAlignment="1">
      <alignment horizontal="center"/>
    </xf>
    <xf numFmtId="43" fontId="38" fillId="0" borderId="0" xfId="382" applyFont="1" applyBorder="1" applyAlignment="1">
      <alignment horizontal="center" wrapText="1"/>
    </xf>
    <xf numFmtId="43" fontId="38" fillId="0" borderId="0" xfId="382" applyFont="1" applyAlignment="1">
      <alignment horizontal="center" wrapText="1"/>
    </xf>
    <xf numFmtId="0" fontId="87" fillId="0" borderId="0" xfId="0" applyFont="1" applyAlignment="1">
      <alignment horizontal="left"/>
    </xf>
    <xf numFmtId="43" fontId="38" fillId="0" borderId="0" xfId="382" applyFont="1" applyFill="1" applyBorder="1" applyAlignment="1">
      <alignment horizontal="left"/>
    </xf>
    <xf numFmtId="43" fontId="38" fillId="0" borderId="0" xfId="382" applyFont="1" applyBorder="1" applyAlignment="1">
      <alignment horizontal="left"/>
    </xf>
    <xf numFmtId="0" fontId="38" fillId="0" borderId="0" xfId="484" applyFont="1" applyFill="1" applyAlignment="1">
      <alignment horizontal="left" vertical="top"/>
    </xf>
    <xf numFmtId="41" fontId="38" fillId="0" borderId="17" xfId="484" applyNumberFormat="1" applyFont="1" applyFill="1" applyBorder="1" applyAlignment="1">
      <alignment vertical="top"/>
    </xf>
    <xf numFmtId="0" fontId="58" fillId="0" borderId="0" xfId="0" quotePrefix="1" applyFont="1" applyAlignment="1">
      <alignment horizontal="center"/>
    </xf>
    <xf numFmtId="0" fontId="39" fillId="0" borderId="0" xfId="0" applyFont="1" applyFill="1" applyBorder="1" applyAlignment="1"/>
    <xf numFmtId="0" fontId="39" fillId="0" borderId="0" xfId="0" applyNumberFormat="1" applyFont="1" applyFill="1" applyBorder="1" applyAlignment="1">
      <alignment horizontal="center"/>
    </xf>
    <xf numFmtId="164" fontId="22" fillId="0" borderId="17" xfId="382" applyNumberFormat="1" applyFont="1" applyBorder="1"/>
    <xf numFmtId="0" fontId="58" fillId="0" borderId="18" xfId="0" applyFont="1" applyBorder="1" applyAlignment="1">
      <alignment horizontal="left"/>
    </xf>
    <xf numFmtId="164" fontId="58" fillId="37" borderId="18" xfId="382" applyNumberFormat="1" applyFont="1" applyFill="1" applyBorder="1" applyAlignment="1"/>
    <xf numFmtId="164" fontId="42" fillId="0" borderId="26" xfId="382" applyNumberFormat="1" applyFont="1" applyFill="1" applyBorder="1"/>
    <xf numFmtId="164" fontId="42" fillId="0" borderId="30" xfId="382" applyNumberFormat="1" applyFont="1" applyFill="1" applyBorder="1" applyAlignment="1">
      <alignment horizontal="right"/>
    </xf>
    <xf numFmtId="164" fontId="40" fillId="0" borderId="26" xfId="382" applyNumberFormat="1" applyFont="1" applyFill="1" applyBorder="1"/>
    <xf numFmtId="164" fontId="40" fillId="0" borderId="26" xfId="382" applyNumberFormat="1" applyFont="1" applyFill="1" applyBorder="1" applyAlignment="1">
      <alignment horizontal="right"/>
    </xf>
    <xf numFmtId="164" fontId="42" fillId="0" borderId="26" xfId="382" applyNumberFormat="1" applyFont="1" applyBorder="1"/>
    <xf numFmtId="164" fontId="40" fillId="0" borderId="27" xfId="382" applyNumberFormat="1" applyFont="1" applyBorder="1"/>
    <xf numFmtId="164" fontId="42" fillId="50" borderId="21" xfId="382" applyNumberFormat="1" applyFont="1" applyFill="1" applyBorder="1" applyAlignment="1">
      <alignment horizontal="center" wrapText="1"/>
    </xf>
    <xf numFmtId="164" fontId="42" fillId="0" borderId="26" xfId="382" applyNumberFormat="1" applyFont="1" applyFill="1" applyBorder="1" applyAlignment="1">
      <alignment horizontal="center" wrapText="1"/>
    </xf>
    <xf numFmtId="164" fontId="42" fillId="0" borderId="26" xfId="382" applyNumberFormat="1" applyFont="1" applyBorder="1" applyAlignment="1"/>
    <xf numFmtId="164" fontId="42" fillId="0" borderId="30" xfId="382" applyNumberFormat="1" applyFont="1" applyFill="1" applyBorder="1" applyAlignment="1"/>
    <xf numFmtId="164" fontId="44" fillId="0" borderId="26" xfId="382" applyNumberFormat="1" applyFont="1" applyFill="1" applyBorder="1" applyAlignment="1">
      <alignment horizontal="right"/>
    </xf>
    <xf numFmtId="164" fontId="40" fillId="0" borderId="27" xfId="382" applyNumberFormat="1" applyFont="1" applyFill="1" applyBorder="1" applyAlignment="1"/>
    <xf numFmtId="164" fontId="42" fillId="37" borderId="30" xfId="382" applyNumberFormat="1" applyFont="1" applyFill="1" applyBorder="1" applyAlignment="1">
      <alignment horizontal="right"/>
    </xf>
    <xf numFmtId="164" fontId="40" fillId="0" borderId="26" xfId="382" applyNumberFormat="1" applyFont="1" applyBorder="1" applyAlignment="1"/>
    <xf numFmtId="164" fontId="42" fillId="0" borderId="28" xfId="382" applyNumberFormat="1" applyFont="1" applyFill="1" applyBorder="1" applyAlignment="1">
      <alignment horizontal="right"/>
    </xf>
    <xf numFmtId="164" fontId="42" fillId="0" borderId="26" xfId="382" applyNumberFormat="1" applyFont="1" applyBorder="1" applyAlignment="1">
      <alignment horizontal="right"/>
    </xf>
    <xf numFmtId="164" fontId="40" fillId="0" borderId="28" xfId="382" applyNumberFormat="1" applyFont="1" applyBorder="1"/>
    <xf numFmtId="164" fontId="40" fillId="0" borderId="26" xfId="382" applyNumberFormat="1" applyFont="1" applyBorder="1"/>
    <xf numFmtId="164" fontId="40" fillId="0" borderId="29" xfId="382" applyNumberFormat="1" applyFont="1" applyFill="1" applyBorder="1"/>
    <xf numFmtId="164" fontId="40" fillId="0" borderId="33" xfId="382" applyNumberFormat="1" applyFont="1" applyBorder="1" applyAlignment="1"/>
    <xf numFmtId="164" fontId="42" fillId="0" borderId="35" xfId="382" applyNumberFormat="1" applyFont="1" applyBorder="1"/>
    <xf numFmtId="164" fontId="40" fillId="0" borderId="35" xfId="382" applyNumberFormat="1" applyFont="1" applyBorder="1"/>
    <xf numFmtId="0" fontId="38" fillId="0" borderId="0" xfId="504" quotePrefix="1" applyFont="1" applyFill="1" applyBorder="1"/>
    <xf numFmtId="164" fontId="126" fillId="0" borderId="0" xfId="382" applyNumberFormat="1" applyFont="1" applyFill="1"/>
    <xf numFmtId="3" fontId="42" fillId="0" borderId="37" xfId="0" quotePrefix="1" applyNumberFormat="1" applyFont="1" applyFill="1" applyBorder="1" applyAlignment="1">
      <alignment horizontal="left"/>
    </xf>
    <xf numFmtId="171" fontId="42" fillId="0" borderId="30" xfId="674" applyNumberFormat="1" applyFont="1" applyFill="1" applyBorder="1" applyAlignment="1">
      <alignment horizontal="right"/>
    </xf>
    <xf numFmtId="0" fontId="68" fillId="0" borderId="0" xfId="11272" applyFont="1" applyAlignment="1">
      <alignment horizontal="center"/>
    </xf>
    <xf numFmtId="0" fontId="38" fillId="0" borderId="0" xfId="11272" applyAlignment="1">
      <alignment horizontal="center" vertical="top"/>
    </xf>
    <xf numFmtId="0" fontId="0" fillId="0" borderId="0" xfId="0" applyAlignment="1">
      <alignment vertical="top"/>
    </xf>
    <xf numFmtId="164" fontId="63" fillId="0" borderId="26" xfId="382" applyNumberFormat="1" applyFont="1" applyFill="1" applyBorder="1"/>
    <xf numFmtId="3" fontId="136" fillId="0" borderId="0" xfId="11265" quotePrefix="1" applyNumberFormat="1" applyFont="1" applyFill="1" applyAlignment="1">
      <alignment horizontal="left"/>
    </xf>
    <xf numFmtId="177" fontId="38" fillId="0" borderId="0" xfId="0" applyNumberFormat="1" applyFont="1" applyBorder="1" applyAlignment="1">
      <alignment horizontal="center" wrapText="1"/>
    </xf>
    <xf numFmtId="0" fontId="38" fillId="0" borderId="0" xfId="0" applyNumberFormat="1" applyFont="1" applyBorder="1"/>
    <xf numFmtId="0" fontId="38" fillId="0" borderId="0" xfId="0" applyFont="1" applyBorder="1" applyAlignment="1">
      <alignment horizontal="center"/>
    </xf>
    <xf numFmtId="0" fontId="38" fillId="0" borderId="0" xfId="0" applyFont="1" applyBorder="1" applyAlignment="1">
      <alignment vertical="top"/>
    </xf>
    <xf numFmtId="0" fontId="42" fillId="0" borderId="0" xfId="0" applyNumberFormat="1" applyFont="1" applyFill="1" applyBorder="1" applyAlignment="1">
      <alignment wrapText="1"/>
    </xf>
    <xf numFmtId="0" fontId="38" fillId="0" borderId="0" xfId="0" applyFont="1" applyAlignment="1">
      <alignment horizontal="center" vertical="top"/>
    </xf>
    <xf numFmtId="0" fontId="39" fillId="0" borderId="0" xfId="564" quotePrefix="1" applyFont="1" applyFill="1" applyBorder="1" applyAlignment="1">
      <alignment horizontal="center" vertical="top"/>
    </xf>
    <xf numFmtId="0" fontId="38" fillId="0" borderId="0" xfId="504" applyFont="1" applyAlignment="1">
      <alignment horizontal="left"/>
    </xf>
    <xf numFmtId="0" fontId="38" fillId="50" borderId="21" xfId="0" applyFont="1" applyFill="1" applyBorder="1" applyAlignment="1">
      <alignment horizontal="left" wrapText="1"/>
    </xf>
    <xf numFmtId="0" fontId="38" fillId="0" borderId="18" xfId="504" applyFont="1" applyBorder="1" applyAlignment="1">
      <alignment horizontal="left"/>
    </xf>
    <xf numFmtId="0" fontId="39" fillId="0" borderId="0" xfId="504" applyFont="1" applyAlignment="1">
      <alignment horizontal="left"/>
    </xf>
    <xf numFmtId="0" fontId="47" fillId="0" borderId="0" xfId="0" applyFont="1" applyBorder="1" applyAlignment="1">
      <alignment horizontal="left"/>
    </xf>
    <xf numFmtId="0" fontId="38" fillId="0" borderId="0" xfId="504" applyFont="1" applyBorder="1" applyAlignment="1">
      <alignment horizontal="left" wrapText="1"/>
    </xf>
    <xf numFmtId="0" fontId="38" fillId="50" borderId="6" xfId="0" applyFont="1" applyFill="1" applyBorder="1" applyAlignment="1">
      <alignment horizontal="left" wrapText="1"/>
    </xf>
    <xf numFmtId="0" fontId="38" fillId="0" borderId="0" xfId="0" applyFont="1" applyAlignment="1">
      <alignment horizontal="left"/>
    </xf>
    <xf numFmtId="0" fontId="38" fillId="0" borderId="0" xfId="0" applyFont="1" applyFill="1" applyBorder="1" applyAlignment="1">
      <alignment horizontal="left" wrapText="1"/>
    </xf>
    <xf numFmtId="3" fontId="38" fillId="0" borderId="0" xfId="0" applyNumberFormat="1" applyFont="1" applyFill="1" applyBorder="1" applyAlignment="1">
      <alignment horizontal="left" indent="1"/>
    </xf>
    <xf numFmtId="0" fontId="38" fillId="0" borderId="0" xfId="504" applyFont="1" applyFill="1" applyBorder="1" applyAlignment="1">
      <alignment horizontal="center" vertical="top"/>
    </xf>
    <xf numFmtId="164" fontId="38" fillId="0" borderId="0" xfId="13644" applyNumberFormat="1" applyFont="1"/>
    <xf numFmtId="164" fontId="38" fillId="0" borderId="17" xfId="382" applyNumberFormat="1" applyFont="1" applyBorder="1"/>
    <xf numFmtId="43" fontId="38" fillId="0" borderId="0" xfId="382" applyFont="1" applyFill="1" applyAlignment="1">
      <alignment horizontal="center" wrapText="1"/>
    </xf>
    <xf numFmtId="0" fontId="42" fillId="0" borderId="0" xfId="0" applyFont="1" applyAlignment="1">
      <alignment vertical="top"/>
    </xf>
    <xf numFmtId="164" fontId="136" fillId="0" borderId="0" xfId="382" applyNumberFormat="1" applyFont="1" applyFill="1" applyBorder="1" applyAlignment="1">
      <alignment vertical="top"/>
    </xf>
    <xf numFmtId="43" fontId="38" fillId="0" borderId="0" xfId="382" applyFont="1" applyFill="1" applyBorder="1" applyAlignment="1">
      <alignment horizontal="center"/>
    </xf>
    <xf numFmtId="10" fontId="42" fillId="37" borderId="26" xfId="0" applyNumberFormat="1" applyFont="1" applyFill="1" applyBorder="1" applyAlignment="1"/>
    <xf numFmtId="0" fontId="38" fillId="0" borderId="0" xfId="504" quotePrefix="1" applyFont="1" applyAlignment="1">
      <alignment horizontal="center"/>
    </xf>
    <xf numFmtId="43" fontId="118" fillId="0" borderId="0" xfId="382" applyFont="1" applyFill="1" applyAlignment="1">
      <alignment horizontal="left"/>
    </xf>
    <xf numFmtId="176" fontId="38" fillId="0" borderId="18" xfId="0" applyNumberFormat="1" applyFont="1" applyBorder="1" applyAlignment="1">
      <alignment horizontal="center" wrapText="1"/>
    </xf>
    <xf numFmtId="0" fontId="121" fillId="0" borderId="0" xfId="504" applyFont="1"/>
    <xf numFmtId="164" fontId="38" fillId="37" borderId="0" xfId="404" applyNumberFormat="1" applyFont="1" applyFill="1" applyBorder="1"/>
    <xf numFmtId="164" fontId="38" fillId="37" borderId="0" xfId="382" applyNumberFormat="1" applyFont="1" applyFill="1" applyBorder="1" applyAlignment="1">
      <alignment horizontal="right"/>
    </xf>
    <xf numFmtId="164" fontId="42" fillId="37" borderId="30" xfId="382" applyNumberFormat="1" applyFont="1" applyFill="1" applyBorder="1" applyAlignment="1"/>
    <xf numFmtId="0" fontId="39" fillId="0" borderId="0" xfId="504" applyFont="1" applyBorder="1" applyAlignment="1">
      <alignment horizontal="left" indent="2"/>
    </xf>
    <xf numFmtId="0" fontId="39" fillId="0" borderId="0" xfId="0" applyNumberFormat="1" applyFont="1" applyFill="1" applyBorder="1" applyAlignment="1">
      <alignment horizontal="left"/>
    </xf>
    <xf numFmtId="0" fontId="38" fillId="0" borderId="0" xfId="517" applyFont="1" applyBorder="1" applyAlignment="1">
      <alignment horizontal="center" vertical="center"/>
    </xf>
    <xf numFmtId="0" fontId="38" fillId="0" borderId="0" xfId="474" applyFont="1" applyAlignment="1">
      <alignment vertical="center"/>
    </xf>
    <xf numFmtId="0" fontId="106" fillId="0" borderId="0" xfId="35689" applyFont="1" applyFill="1"/>
    <xf numFmtId="0" fontId="106" fillId="0" borderId="0" xfId="496" applyFont="1" applyFill="1"/>
    <xf numFmtId="0" fontId="38" fillId="0" borderId="0" xfId="530" applyFont="1" applyAlignment="1">
      <alignment horizontal="left"/>
    </xf>
    <xf numFmtId="0" fontId="58" fillId="0" borderId="0" xfId="11275" applyFont="1" applyAlignment="1">
      <alignment horizontal="left"/>
    </xf>
    <xf numFmtId="43" fontId="58" fillId="0" borderId="0" xfId="0" applyNumberFormat="1" applyFont="1" applyFill="1" applyAlignment="1">
      <alignment horizontal="left"/>
    </xf>
    <xf numFmtId="43" fontId="58" fillId="0" borderId="0" xfId="511" applyNumberFormat="1" applyFont="1" applyAlignment="1">
      <alignment horizontal="left"/>
    </xf>
    <xf numFmtId="43" fontId="38" fillId="0" borderId="0" xfId="484" applyNumberFormat="1" applyFont="1" applyAlignment="1">
      <alignment horizontal="left" vertical="top"/>
    </xf>
    <xf numFmtId="43" fontId="58" fillId="0" borderId="0" xfId="425" applyNumberFormat="1" applyFont="1" applyAlignment="1">
      <alignment horizontal="left"/>
    </xf>
    <xf numFmtId="43" fontId="58" fillId="0" borderId="0" xfId="511" quotePrefix="1" applyNumberFormat="1" applyFont="1" applyAlignment="1">
      <alignment horizontal="left" vertical="top"/>
    </xf>
    <xf numFmtId="164" fontId="42" fillId="0" borderId="37" xfId="382" applyNumberFormat="1" applyFont="1" applyFill="1" applyBorder="1"/>
    <xf numFmtId="164" fontId="42" fillId="0" borderId="35" xfId="382" applyNumberFormat="1" applyFont="1" applyFill="1" applyBorder="1" applyAlignment="1"/>
    <xf numFmtId="0" fontId="139" fillId="0" borderId="0" xfId="0" applyFont="1"/>
    <xf numFmtId="0" fontId="39" fillId="0" borderId="16" xfId="0" applyFont="1" applyBorder="1" applyAlignment="1">
      <alignment horizontal="left" indent="1"/>
    </xf>
    <xf numFmtId="0" fontId="125" fillId="0" borderId="0" xfId="0" applyFont="1" applyAlignment="1">
      <alignment horizontal="left"/>
    </xf>
    <xf numFmtId="0" fontId="125" fillId="0" borderId="0" xfId="0" applyFont="1"/>
    <xf numFmtId="164" fontId="125" fillId="0" borderId="0" xfId="382" applyNumberFormat="1" applyFont="1"/>
    <xf numFmtId="164" fontId="125" fillId="0" borderId="0" xfId="382" applyNumberFormat="1" applyFont="1" applyFill="1"/>
    <xf numFmtId="0" fontId="38" fillId="0" borderId="0" xfId="0" applyFont="1" applyAlignment="1">
      <alignment horizontal="left" vertical="top"/>
    </xf>
    <xf numFmtId="164" fontId="38" fillId="37" borderId="0" xfId="382" applyNumberFormat="1" applyFont="1" applyFill="1" applyAlignment="1">
      <alignment vertical="top"/>
    </xf>
    <xf numFmtId="0" fontId="38" fillId="0" borderId="0" xfId="0" applyFont="1" applyAlignment="1">
      <alignment vertical="top" wrapText="1"/>
    </xf>
    <xf numFmtId="164" fontId="58" fillId="0" borderId="0" xfId="401" applyNumberFormat="1" applyFont="1" applyFill="1" applyBorder="1"/>
    <xf numFmtId="164" fontId="107" fillId="0" borderId="0" xfId="382" applyNumberFormat="1" applyFont="1" applyFill="1" applyBorder="1" applyAlignment="1">
      <alignment vertical="top"/>
    </xf>
    <xf numFmtId="164" fontId="107" fillId="0" borderId="0" xfId="382" applyNumberFormat="1" applyFont="1" applyFill="1" applyAlignment="1">
      <alignment vertical="top"/>
    </xf>
    <xf numFmtId="0" fontId="107" fillId="0" borderId="0" xfId="37694" applyNumberFormat="1" applyFont="1" applyFill="1" applyAlignment="1">
      <alignment vertical="top" wrapText="1"/>
    </xf>
    <xf numFmtId="3" fontId="107" fillId="0" borderId="0" xfId="37694" applyNumberFormat="1" applyFont="1" applyFill="1" applyAlignment="1">
      <alignment vertical="top" wrapText="1"/>
    </xf>
    <xf numFmtId="164" fontId="107" fillId="0" borderId="0" xfId="382" applyNumberFormat="1" applyFont="1" applyFill="1" applyBorder="1" applyAlignment="1">
      <alignment vertical="top" wrapText="1"/>
    </xf>
    <xf numFmtId="164" fontId="107" fillId="0" borderId="0" xfId="382" applyNumberFormat="1" applyFont="1" applyFill="1" applyAlignment="1">
      <alignment vertical="top" wrapText="1"/>
    </xf>
    <xf numFmtId="169" fontId="107" fillId="0" borderId="0" xfId="37694" applyFont="1" applyFill="1" applyAlignment="1">
      <alignment vertical="top"/>
    </xf>
    <xf numFmtId="164" fontId="107" fillId="0" borderId="0" xfId="382" applyNumberFormat="1" applyFont="1" applyAlignment="1">
      <alignment vertical="top"/>
    </xf>
    <xf numFmtId="169" fontId="107" fillId="0" borderId="0" xfId="37694" applyFont="1" applyAlignment="1">
      <alignment vertical="top"/>
    </xf>
    <xf numFmtId="0" fontId="107" fillId="0" borderId="0" xfId="37696" applyNumberFormat="1" applyFont="1" applyFill="1" applyAlignment="1" applyProtection="1">
      <alignment horizontal="left" indent="1"/>
      <protection locked="0"/>
    </xf>
    <xf numFmtId="0" fontId="107" fillId="0" borderId="0" xfId="37696" applyNumberFormat="1" applyFont="1" applyFill="1" applyAlignment="1">
      <alignment horizontal="left" indent="1"/>
    </xf>
    <xf numFmtId="168" fontId="107" fillId="0" borderId="0" xfId="37696" applyNumberFormat="1" applyFont="1" applyFill="1" applyAlignment="1" applyProtection="1">
      <alignment horizontal="left" indent="1"/>
      <protection locked="0"/>
    </xf>
    <xf numFmtId="0" fontId="107" fillId="0" borderId="0" xfId="37696" quotePrefix="1" applyNumberFormat="1" applyFont="1" applyFill="1" applyAlignment="1">
      <alignment horizontal="left" indent="1"/>
    </xf>
    <xf numFmtId="0" fontId="107" fillId="0" borderId="0" xfId="37694" applyNumberFormat="1" applyFont="1" applyFill="1" applyAlignment="1">
      <alignment horizontal="left" indent="1"/>
    </xf>
    <xf numFmtId="0" fontId="107" fillId="0" borderId="7" xfId="37696" applyNumberFormat="1" applyFont="1" applyFill="1" applyBorder="1" applyAlignment="1">
      <alignment horizontal="left" indent="1"/>
    </xf>
    <xf numFmtId="0" fontId="129" fillId="0" borderId="0" xfId="37698" applyNumberFormat="1" applyFont="1" applyFill="1" applyAlignment="1" applyProtection="1">
      <alignment horizontal="left" vertical="top" wrapText="1" indent="1"/>
      <protection locked="0"/>
    </xf>
    <xf numFmtId="0" fontId="107" fillId="0" borderId="0" xfId="474" applyFont="1" applyFill="1" applyBorder="1" applyAlignment="1">
      <alignment horizontal="left" indent="1"/>
    </xf>
    <xf numFmtId="0" fontId="39" fillId="0" borderId="0" xfId="0" applyFont="1" applyAlignment="1">
      <alignment horizontal="center"/>
    </xf>
    <xf numFmtId="0" fontId="38" fillId="0" borderId="0" xfId="0" applyFont="1" applyFill="1" applyAlignment="1">
      <alignment horizontal="center"/>
    </xf>
    <xf numFmtId="0" fontId="38" fillId="0" borderId="0" xfId="0" applyFont="1" applyAlignment="1">
      <alignment horizontal="center" vertical="top"/>
    </xf>
    <xf numFmtId="0" fontId="58" fillId="0" borderId="0" xfId="11272" applyFont="1" applyAlignment="1">
      <alignment horizontal="center"/>
    </xf>
    <xf numFmtId="0" fontId="38" fillId="0" borderId="0" xfId="0" applyFont="1" applyAlignment="1">
      <alignment horizontal="center"/>
    </xf>
    <xf numFmtId="3" fontId="38" fillId="0" borderId="0" xfId="11265" quotePrefix="1" applyNumberFormat="1" applyFont="1" applyFill="1" applyAlignment="1">
      <alignment horizontal="center"/>
    </xf>
    <xf numFmtId="0" fontId="38" fillId="0" borderId="0" xfId="569" applyFont="1" applyFill="1" applyBorder="1" applyAlignment="1">
      <alignment horizontal="center" vertical="top"/>
    </xf>
    <xf numFmtId="0" fontId="38" fillId="0" borderId="0" xfId="564" quotePrefix="1" applyFont="1" applyFill="1" applyBorder="1" applyAlignment="1">
      <alignment horizontal="center" vertical="top"/>
    </xf>
    <xf numFmtId="0" fontId="68" fillId="0" borderId="0" xfId="11271" applyFont="1" applyAlignment="1">
      <alignment horizontal="center"/>
    </xf>
    <xf numFmtId="0" fontId="38" fillId="0" borderId="0" xfId="0" applyFont="1" applyAlignment="1">
      <alignment horizontal="center" vertical="center"/>
    </xf>
    <xf numFmtId="0" fontId="38" fillId="0" borderId="0" xfId="0" applyFont="1" applyFill="1" applyAlignment="1">
      <alignment horizontal="left" vertical="top"/>
    </xf>
    <xf numFmtId="0" fontId="38" fillId="0" borderId="0" xfId="484" applyFont="1" applyAlignment="1">
      <alignment horizontal="center" vertical="top"/>
    </xf>
    <xf numFmtId="3" fontId="107" fillId="0" borderId="0" xfId="37696" applyNumberFormat="1" applyFont="1" applyFill="1" applyAlignment="1">
      <alignment vertical="top"/>
    </xf>
    <xf numFmtId="170" fontId="107" fillId="0" borderId="0" xfId="382" applyNumberFormat="1" applyFont="1" applyFill="1" applyAlignment="1">
      <alignment vertical="top"/>
    </xf>
    <xf numFmtId="3" fontId="107" fillId="0" borderId="0" xfId="37695" applyNumberFormat="1" applyFont="1" applyFill="1" applyAlignment="1">
      <alignment vertical="top"/>
    </xf>
    <xf numFmtId="0" fontId="107" fillId="0" borderId="0" xfId="37696" quotePrefix="1" applyNumberFormat="1" applyFont="1" applyFill="1" applyAlignment="1">
      <alignment vertical="top"/>
    </xf>
    <xf numFmtId="10" fontId="107" fillId="0" borderId="0" xfId="674" applyNumberFormat="1" applyFont="1" applyAlignment="1">
      <alignment vertical="top"/>
    </xf>
    <xf numFmtId="193" fontId="107" fillId="0" borderId="0" xfId="37694" applyNumberFormat="1" applyFont="1" applyAlignment="1">
      <alignment vertical="top"/>
    </xf>
    <xf numFmtId="0" fontId="107" fillId="0" borderId="0" xfId="37696" applyNumberFormat="1" applyFont="1" applyFill="1" applyAlignment="1">
      <alignment horizontal="left" vertical="top" wrapText="1" indent="1"/>
    </xf>
    <xf numFmtId="0" fontId="20" fillId="0" borderId="0" xfId="496" applyFont="1"/>
    <xf numFmtId="164" fontId="20" fillId="0" borderId="0" xfId="382" applyNumberFormat="1" applyFont="1"/>
    <xf numFmtId="0" fontId="38" fillId="0" borderId="0" xfId="0" quotePrefix="1" applyFont="1" applyAlignment="1">
      <alignment horizontal="center" vertical="top"/>
    </xf>
    <xf numFmtId="0" fontId="58" fillId="0" borderId="0" xfId="474" applyFont="1"/>
    <xf numFmtId="0" fontId="58" fillId="0" borderId="0" xfId="0" applyFont="1"/>
    <xf numFmtId="0" fontId="58" fillId="0" borderId="0" xfId="0" applyFont="1" applyAlignment="1">
      <alignment horizontal="center" wrapText="1"/>
    </xf>
    <xf numFmtId="0" fontId="38" fillId="37" borderId="0" xfId="0" applyFont="1" applyFill="1"/>
    <xf numFmtId="1" fontId="38" fillId="0" borderId="0" xfId="0" applyNumberFormat="1" applyFont="1" applyFill="1" applyAlignment="1">
      <alignment horizontal="left" vertical="top"/>
    </xf>
    <xf numFmtId="2" fontId="38" fillId="0" borderId="0" xfId="0" applyNumberFormat="1" applyFont="1" applyFill="1" applyAlignment="1">
      <alignment horizontal="left" vertical="top"/>
    </xf>
    <xf numFmtId="0" fontId="38" fillId="0" borderId="0" xfId="0" quotePrefix="1" applyFont="1" applyAlignment="1">
      <alignment horizontal="center"/>
    </xf>
    <xf numFmtId="0" fontId="20" fillId="0" borderId="0" xfId="514" applyFont="1"/>
    <xf numFmtId="0" fontId="20" fillId="0" borderId="0" xfId="514" applyFont="1" applyAlignment="1">
      <alignment horizontal="center"/>
    </xf>
    <xf numFmtId="164" fontId="20" fillId="0" borderId="0" xfId="382" applyNumberFormat="1" applyFont="1" applyAlignment="1">
      <alignment horizontal="center"/>
    </xf>
    <xf numFmtId="0" fontId="20" fillId="0" borderId="0" xfId="514" applyFont="1" applyBorder="1"/>
    <xf numFmtId="164" fontId="20" fillId="0" borderId="0" xfId="382" applyNumberFormat="1" applyFont="1" applyBorder="1"/>
    <xf numFmtId="0" fontId="20" fillId="0" borderId="0" xfId="514" quotePrefix="1" applyFont="1" applyAlignment="1">
      <alignment horizontal="center"/>
    </xf>
    <xf numFmtId="0" fontId="20" fillId="0" borderId="0" xfId="513" applyFont="1"/>
    <xf numFmtId="43" fontId="20" fillId="0" borderId="0" xfId="382" applyFont="1"/>
    <xf numFmtId="0" fontId="58" fillId="0" borderId="0" xfId="513" applyFont="1" applyAlignment="1"/>
    <xf numFmtId="0" fontId="58" fillId="0" borderId="0" xfId="11271" applyFont="1" applyAlignment="1"/>
    <xf numFmtId="0" fontId="58" fillId="0" borderId="0" xfId="11271" applyFont="1" applyAlignment="1">
      <alignment horizontal="center"/>
    </xf>
    <xf numFmtId="0" fontId="41" fillId="0" borderId="0" xfId="0" applyFont="1" applyAlignment="1">
      <alignment horizontal="center"/>
    </xf>
    <xf numFmtId="0" fontId="136" fillId="0" borderId="0" xfId="0" applyFont="1" applyAlignment="1"/>
    <xf numFmtId="0" fontId="136" fillId="0" borderId="0" xfId="496" applyFont="1"/>
    <xf numFmtId="0" fontId="136" fillId="0" borderId="0" xfId="0" applyFont="1"/>
    <xf numFmtId="14" fontId="38" fillId="0" borderId="0" xfId="382" applyNumberFormat="1" applyFont="1" applyBorder="1" applyAlignment="1">
      <alignment horizontal="center"/>
    </xf>
    <xf numFmtId="164" fontId="38" fillId="0" borderId="0" xfId="0" applyNumberFormat="1" applyFont="1"/>
    <xf numFmtId="0" fontId="58" fillId="0" borderId="0" xfId="569" applyFont="1" applyFill="1"/>
    <xf numFmtId="49" fontId="58" fillId="0" borderId="0" xfId="569" applyNumberFormat="1" applyFont="1"/>
    <xf numFmtId="164" fontId="58" fillId="0" borderId="0" xfId="569" applyNumberFormat="1" applyFont="1"/>
    <xf numFmtId="199" fontId="58" fillId="0" borderId="0" xfId="569" applyNumberFormat="1" applyFont="1"/>
    <xf numFmtId="0" fontId="136" fillId="0" borderId="0" xfId="569" applyFont="1"/>
    <xf numFmtId="0" fontId="38" fillId="0" borderId="0" xfId="569" quotePrefix="1" applyFont="1" applyFill="1" applyBorder="1" applyAlignment="1">
      <alignment horizontal="center" vertical="top"/>
    </xf>
    <xf numFmtId="0" fontId="136" fillId="0" borderId="0" xfId="569" applyFont="1" applyFill="1"/>
    <xf numFmtId="0" fontId="38" fillId="0" borderId="0" xfId="11266" quotePrefix="1" applyFont="1" applyFill="1" applyAlignment="1"/>
    <xf numFmtId="0" fontId="38" fillId="0" borderId="0" xfId="474" applyFont="1" applyFill="1" applyAlignment="1">
      <alignment horizontal="left"/>
    </xf>
    <xf numFmtId="0" fontId="38" fillId="0" borderId="0" xfId="474" applyFont="1" applyAlignment="1">
      <alignment horizontal="left" vertical="top"/>
    </xf>
    <xf numFmtId="0" fontId="136" fillId="0" borderId="0" xfId="474" applyFont="1"/>
    <xf numFmtId="0" fontId="20" fillId="0" borderId="0" xfId="11271" applyFont="1"/>
    <xf numFmtId="164" fontId="20" fillId="0" borderId="0" xfId="11271" applyNumberFormat="1" applyFont="1"/>
    <xf numFmtId="43" fontId="20" fillId="0" borderId="0" xfId="11271" applyNumberFormat="1" applyFont="1"/>
    <xf numFmtId="0" fontId="20" fillId="0" borderId="0" xfId="11271" applyFont="1" applyFill="1" applyAlignment="1">
      <alignment horizontal="left"/>
    </xf>
    <xf numFmtId="164" fontId="20" fillId="0" borderId="0" xfId="11271" applyNumberFormat="1" applyFont="1" applyFill="1"/>
    <xf numFmtId="43" fontId="20" fillId="0" borderId="0" xfId="11271" applyNumberFormat="1" applyFont="1" applyFill="1"/>
    <xf numFmtId="0" fontId="20" fillId="0" borderId="0" xfId="11271" applyFont="1" applyFill="1"/>
    <xf numFmtId="0" fontId="20" fillId="0" borderId="0" xfId="11271" applyFont="1" applyAlignment="1">
      <alignment horizontal="center"/>
    </xf>
    <xf numFmtId="0" fontId="20" fillId="0" borderId="0" xfId="11271" quotePrefix="1" applyFont="1" applyAlignment="1">
      <alignment horizontal="center" vertical="top"/>
    </xf>
    <xf numFmtId="0" fontId="20" fillId="0" borderId="0" xfId="0" applyFont="1"/>
    <xf numFmtId="43" fontId="20" fillId="0" borderId="0" xfId="423" applyNumberFormat="1" applyFont="1" applyFill="1" applyAlignment="1">
      <alignment horizontal="left"/>
    </xf>
    <xf numFmtId="0" fontId="20" fillId="0" borderId="0" xfId="0" applyFont="1" applyFill="1" applyAlignment="1">
      <alignment horizontal="center"/>
    </xf>
    <xf numFmtId="43" fontId="20" fillId="0" borderId="0" xfId="423" applyFont="1" applyFill="1" applyAlignment="1">
      <alignment horizontal="center"/>
    </xf>
    <xf numFmtId="0" fontId="20" fillId="0" borderId="0" xfId="0" applyFont="1" applyFill="1"/>
    <xf numFmtId="164" fontId="20" fillId="0" borderId="0" xfId="423" applyNumberFormat="1" applyFont="1" applyFill="1"/>
    <xf numFmtId="0" fontId="20" fillId="0" borderId="0" xfId="0" applyFont="1" applyFill="1" applyAlignment="1">
      <alignment horizontal="left" indent="1"/>
    </xf>
    <xf numFmtId="164" fontId="20" fillId="0" borderId="0" xfId="0" applyNumberFormat="1" applyFont="1" applyFill="1"/>
    <xf numFmtId="164" fontId="20" fillId="0" borderId="0" xfId="0" applyNumberFormat="1" applyFont="1" applyFill="1" applyBorder="1"/>
    <xf numFmtId="164" fontId="20" fillId="0" borderId="18" xfId="0" applyNumberFormat="1" applyFont="1" applyFill="1" applyBorder="1"/>
    <xf numFmtId="164" fontId="20" fillId="0" borderId="17" xfId="0" applyNumberFormat="1" applyFont="1" applyFill="1" applyBorder="1"/>
    <xf numFmtId="43" fontId="20" fillId="0" borderId="0" xfId="423" applyFont="1" applyFill="1"/>
    <xf numFmtId="0" fontId="38" fillId="0" borderId="0" xfId="0" applyFont="1" applyFill="1" applyBorder="1" applyAlignment="1">
      <alignment vertical="top"/>
    </xf>
    <xf numFmtId="0" fontId="136" fillId="0" borderId="0" xfId="511" applyFont="1"/>
    <xf numFmtId="0" fontId="38" fillId="0" borderId="0" xfId="0" quotePrefix="1" applyFont="1" applyFill="1" applyBorder="1" applyAlignment="1">
      <alignment vertical="top"/>
    </xf>
    <xf numFmtId="0" fontId="38" fillId="0" borderId="0" xfId="484" applyFont="1" applyAlignment="1">
      <alignment horizontal="left" vertical="top"/>
    </xf>
    <xf numFmtId="0" fontId="136" fillId="0" borderId="0" xfId="484" applyFont="1" applyAlignment="1">
      <alignment vertical="top"/>
    </xf>
    <xf numFmtId="0" fontId="38" fillId="0" borderId="0" xfId="511" applyFont="1" applyFill="1" applyBorder="1" applyAlignment="1">
      <alignment vertical="top"/>
    </xf>
    <xf numFmtId="0" fontId="58" fillId="0" borderId="0" xfId="0" applyFont="1" applyFill="1" applyAlignment="1" applyProtection="1">
      <alignment horizontal="left"/>
      <protection locked="0"/>
    </xf>
    <xf numFmtId="43" fontId="20" fillId="0" borderId="18" xfId="382" applyFont="1" applyFill="1" applyBorder="1" applyAlignment="1">
      <alignment horizontal="center"/>
    </xf>
    <xf numFmtId="164" fontId="20" fillId="0" borderId="0" xfId="382" applyNumberFormat="1" applyFont="1" applyFill="1"/>
    <xf numFmtId="164" fontId="20" fillId="0" borderId="17" xfId="382" applyNumberFormat="1" applyFont="1" applyFill="1" applyBorder="1"/>
    <xf numFmtId="164" fontId="20" fillId="0" borderId="0" xfId="382" applyNumberFormat="1" applyFont="1" applyFill="1" applyBorder="1"/>
    <xf numFmtId="0" fontId="38" fillId="0" borderId="0" xfId="0" applyFont="1" applyFill="1" applyBorder="1" applyAlignment="1">
      <alignment horizontal="left" wrapText="1"/>
    </xf>
    <xf numFmtId="0" fontId="58" fillId="0" borderId="0" xfId="0" applyFont="1" applyFill="1" applyAlignment="1">
      <alignment horizontal="center"/>
    </xf>
    <xf numFmtId="0" fontId="107" fillId="0" borderId="0" xfId="37698" applyNumberFormat="1" applyFont="1" applyFill="1" applyAlignment="1" applyProtection="1">
      <alignment vertical="top"/>
      <protection locked="0"/>
    </xf>
    <xf numFmtId="0" fontId="22" fillId="0" borderId="0" xfId="496" applyFont="1" applyFill="1" applyAlignment="1">
      <alignment horizontal="left"/>
    </xf>
    <xf numFmtId="2" fontId="38" fillId="0" borderId="0" xfId="512" applyNumberFormat="1" applyFont="1" applyFill="1" applyAlignment="1">
      <alignment horizontal="left"/>
    </xf>
    <xf numFmtId="0" fontId="38" fillId="0" borderId="0" xfId="512" applyNumberFormat="1" applyFont="1" applyFill="1" applyAlignment="1">
      <alignment horizontal="left"/>
    </xf>
    <xf numFmtId="0" fontId="41" fillId="0" borderId="0" xfId="474" applyFont="1" applyFill="1" applyAlignment="1">
      <alignment horizontal="center"/>
    </xf>
    <xf numFmtId="0" fontId="38" fillId="0" borderId="0" xfId="474" quotePrefix="1" applyFont="1" applyFill="1" applyAlignment="1">
      <alignment horizontal="center" vertical="top"/>
    </xf>
    <xf numFmtId="0" fontId="19" fillId="0" borderId="0" xfId="496" applyFont="1" applyFill="1" applyAlignment="1">
      <alignment vertical="top"/>
    </xf>
    <xf numFmtId="0" fontId="22" fillId="0" borderId="0" xfId="496" applyFont="1" applyFill="1" applyAlignment="1">
      <alignment vertical="top"/>
    </xf>
    <xf numFmtId="198" fontId="58" fillId="0" borderId="0" xfId="382" applyNumberFormat="1" applyFont="1" applyFill="1"/>
    <xf numFmtId="164" fontId="38" fillId="0" borderId="0" xfId="0" applyNumberFormat="1" applyFont="1" applyFill="1"/>
    <xf numFmtId="0" fontId="136" fillId="0" borderId="0" xfId="504" applyFont="1"/>
    <xf numFmtId="1" fontId="38" fillId="0" borderId="0" xfId="510" applyNumberFormat="1" applyFont="1" applyFill="1" applyBorder="1" applyAlignment="1">
      <alignment horizontal="left" vertical="center"/>
    </xf>
    <xf numFmtId="1" fontId="38" fillId="0" borderId="0" xfId="0" applyNumberFormat="1" applyFont="1" applyFill="1" applyAlignment="1">
      <alignment horizontal="left" vertical="center"/>
    </xf>
    <xf numFmtId="187" fontId="38" fillId="0" borderId="0" xfId="510" applyNumberFormat="1" applyFont="1" applyFill="1" applyBorder="1" applyAlignment="1">
      <alignment horizontal="left" vertical="center"/>
    </xf>
    <xf numFmtId="0" fontId="38" fillId="0" borderId="0" xfId="504" applyFont="1" applyAlignment="1"/>
    <xf numFmtId="0" fontId="38" fillId="0" borderId="0" xfId="504" applyFont="1" applyBorder="1" applyAlignment="1"/>
    <xf numFmtId="164" fontId="121" fillId="0" borderId="0" xfId="382" applyNumberFormat="1" applyFont="1" applyFill="1"/>
    <xf numFmtId="0" fontId="58" fillId="0" borderId="0" xfId="474" applyFont="1" applyFill="1"/>
    <xf numFmtId="0" fontId="58" fillId="0" borderId="0" xfId="0" quotePrefix="1" applyFont="1" applyFill="1" applyAlignment="1"/>
    <xf numFmtId="0" fontId="58" fillId="0" borderId="0" xfId="0" applyFont="1" applyFill="1" applyAlignment="1">
      <alignment horizontal="center" wrapText="1"/>
    </xf>
    <xf numFmtId="0" fontId="58" fillId="0" borderId="0" xfId="0" quotePrefix="1" applyFont="1" applyFill="1" applyAlignment="1">
      <alignment horizontal="center" wrapText="1"/>
    </xf>
    <xf numFmtId="37" fontId="58" fillId="0" borderId="0" xfId="0" applyNumberFormat="1" applyFont="1" applyFill="1" applyAlignment="1">
      <alignment horizontal="center"/>
    </xf>
    <xf numFmtId="164" fontId="121" fillId="0" borderId="0" xfId="382" applyNumberFormat="1" applyFont="1" applyFill="1" applyBorder="1"/>
    <xf numFmtId="164" fontId="38" fillId="37" borderId="18" xfId="404" applyNumberFormat="1" applyFont="1" applyFill="1" applyBorder="1"/>
    <xf numFmtId="164" fontId="38" fillId="0" borderId="18" xfId="504" applyNumberFormat="1" applyFont="1" applyFill="1" applyBorder="1" applyAlignment="1">
      <alignment wrapText="1"/>
    </xf>
    <xf numFmtId="16" fontId="107" fillId="0" borderId="0" xfId="37696" quotePrefix="1" applyNumberFormat="1" applyFont="1" applyFill="1" applyAlignment="1" applyProtection="1">
      <alignment horizontal="center"/>
      <protection locked="0"/>
    </xf>
    <xf numFmtId="0" fontId="107" fillId="0" borderId="0" xfId="37696" quotePrefix="1" applyNumberFormat="1" applyFont="1" applyFill="1" applyAlignment="1" applyProtection="1">
      <alignment horizontal="center"/>
      <protection locked="0"/>
    </xf>
    <xf numFmtId="0" fontId="107" fillId="0" borderId="0" xfId="37696" applyNumberFormat="1" applyFont="1" applyFill="1" applyAlignment="1">
      <alignment horizontal="right"/>
    </xf>
    <xf numFmtId="169" fontId="107" fillId="0" borderId="0" xfId="37694" applyNumberFormat="1" applyFont="1" applyFill="1" applyAlignment="1" applyProtection="1">
      <protection locked="0"/>
    </xf>
    <xf numFmtId="0" fontId="107" fillId="0" borderId="0" xfId="37698" applyNumberFormat="1" applyFont="1" applyFill="1" applyAlignment="1" applyProtection="1">
      <alignment horizontal="center" vertical="top"/>
      <protection locked="0"/>
    </xf>
    <xf numFmtId="0" fontId="107" fillId="0" borderId="0" xfId="37694" applyNumberFormat="1" applyFont="1" applyFill="1" applyAlignment="1" applyProtection="1">
      <alignment horizontal="center" vertical="top"/>
      <protection locked="0"/>
    </xf>
    <xf numFmtId="0" fontId="107" fillId="0" borderId="0" xfId="37694" applyNumberFormat="1" applyFont="1" applyFill="1" applyAlignment="1" applyProtection="1">
      <alignment horizontal="center" vertical="top" wrapText="1"/>
      <protection locked="0"/>
    </xf>
    <xf numFmtId="3" fontId="107" fillId="0" borderId="0" xfId="37694" applyNumberFormat="1" applyFont="1" applyFill="1" applyAlignment="1">
      <alignment vertical="top"/>
    </xf>
    <xf numFmtId="0" fontId="39" fillId="0" borderId="0" xfId="0" applyFont="1" applyFill="1" applyAlignment="1"/>
    <xf numFmtId="164" fontId="38" fillId="0" borderId="0" xfId="11645" applyNumberFormat="1" applyFont="1" applyFill="1" applyBorder="1"/>
    <xf numFmtId="164" fontId="38" fillId="0" borderId="54" xfId="382" applyNumberFormat="1" applyFont="1" applyFill="1" applyBorder="1"/>
    <xf numFmtId="164" fontId="126" fillId="0" borderId="0" xfId="382" applyNumberFormat="1" applyFont="1" applyFill="1" applyBorder="1"/>
    <xf numFmtId="164" fontId="38" fillId="0" borderId="45" xfId="382" applyNumberFormat="1" applyFont="1" applyFill="1" applyBorder="1"/>
    <xf numFmtId="0" fontId="58" fillId="0" borderId="0" xfId="569" applyFont="1" applyFill="1" applyAlignment="1">
      <alignment horizontal="left"/>
    </xf>
    <xf numFmtId="2" fontId="38" fillId="0" borderId="0" xfId="0" applyNumberFormat="1" applyFont="1" applyFill="1" applyAlignment="1">
      <alignment horizontal="left"/>
    </xf>
    <xf numFmtId="0" fontId="38" fillId="0" borderId="0" xfId="0" quotePrefix="1" applyFont="1" applyFill="1" applyAlignment="1">
      <alignment horizontal="center" vertical="top"/>
    </xf>
    <xf numFmtId="1" fontId="38" fillId="0" borderId="0" xfId="0" applyNumberFormat="1" applyFont="1" applyFill="1" applyAlignment="1">
      <alignment horizontal="left"/>
    </xf>
    <xf numFmtId="1" fontId="20" fillId="0" borderId="0" xfId="11271" applyNumberFormat="1" applyFont="1" applyFill="1" applyAlignment="1">
      <alignment horizontal="left"/>
    </xf>
    <xf numFmtId="2" fontId="20" fillId="0" borderId="0" xfId="11271" applyNumberFormat="1" applyFont="1" applyFill="1" applyAlignment="1">
      <alignment horizontal="left"/>
    </xf>
    <xf numFmtId="0" fontId="44" fillId="0" borderId="18" xfId="0" applyFont="1" applyFill="1" applyBorder="1" applyAlignment="1">
      <alignment horizontal="left"/>
    </xf>
    <xf numFmtId="3" fontId="42" fillId="0" borderId="20" xfId="0" applyNumberFormat="1" applyFont="1" applyFill="1" applyBorder="1" applyAlignment="1"/>
    <xf numFmtId="0" fontId="40" fillId="50" borderId="6" xfId="0" applyNumberFormat="1" applyFont="1" applyFill="1" applyBorder="1" applyAlignment="1">
      <alignment horizontal="left"/>
    </xf>
    <xf numFmtId="0" fontId="42" fillId="0" borderId="17" xfId="0" applyNumberFormat="1" applyFont="1" applyFill="1" applyBorder="1" applyAlignment="1">
      <alignment horizontal="center"/>
    </xf>
    <xf numFmtId="0" fontId="40" fillId="35" borderId="52" xfId="0" applyFont="1" applyFill="1" applyBorder="1" applyAlignment="1">
      <alignment horizontal="center" wrapText="1"/>
    </xf>
    <xf numFmtId="3" fontId="42" fillId="0" borderId="21" xfId="0" applyNumberFormat="1" applyFont="1" applyFill="1" applyBorder="1" applyAlignment="1"/>
    <xf numFmtId="3" fontId="42" fillId="0" borderId="39" xfId="0" applyNumberFormat="1" applyFont="1" applyFill="1" applyBorder="1" applyAlignment="1"/>
    <xf numFmtId="164" fontId="42" fillId="0" borderId="28" xfId="382" applyNumberFormat="1" applyFont="1" applyFill="1" applyBorder="1" applyAlignment="1"/>
    <xf numFmtId="164" fontId="42" fillId="0" borderId="11" xfId="382" applyNumberFormat="1" applyFont="1" applyFill="1" applyBorder="1" applyAlignment="1">
      <alignment horizontal="right"/>
    </xf>
    <xf numFmtId="0" fontId="40" fillId="0" borderId="47" xfId="0" applyNumberFormat="1" applyFont="1" applyFill="1" applyBorder="1" applyAlignment="1">
      <alignment horizontal="left"/>
    </xf>
    <xf numFmtId="0" fontId="40" fillId="0" borderId="47" xfId="0" applyFont="1" applyFill="1" applyBorder="1" applyAlignment="1">
      <alignment horizontal="left"/>
    </xf>
    <xf numFmtId="0" fontId="40" fillId="0" borderId="47" xfId="0" applyFont="1" applyFill="1" applyBorder="1" applyAlignment="1">
      <alignment horizontal="center"/>
    </xf>
    <xf numFmtId="0" fontId="42" fillId="0" borderId="37" xfId="0" applyNumberFormat="1" applyFont="1" applyFill="1" applyBorder="1" applyAlignment="1">
      <alignment horizontal="left"/>
    </xf>
    <xf numFmtId="0" fontId="42" fillId="0" borderId="0" xfId="0" applyFont="1" applyFill="1" applyBorder="1" applyAlignment="1">
      <alignment horizontal="right"/>
    </xf>
    <xf numFmtId="0" fontId="42" fillId="0" borderId="0" xfId="0" applyFont="1" applyFill="1" applyAlignment="1">
      <alignment horizontal="left" indent="1"/>
    </xf>
    <xf numFmtId="164" fontId="42" fillId="0" borderId="0" xfId="0" applyNumberFormat="1" applyFont="1" applyFill="1"/>
    <xf numFmtId="0" fontId="20" fillId="0" borderId="0" xfId="513" applyFont="1" applyFill="1" applyAlignment="1">
      <alignment horizontal="center"/>
    </xf>
    <xf numFmtId="0" fontId="20" fillId="0" borderId="0" xfId="513" applyFont="1" applyFill="1" applyBorder="1"/>
    <xf numFmtId="0" fontId="20" fillId="0" borderId="0" xfId="513" applyFont="1" applyFill="1"/>
    <xf numFmtId="0" fontId="20" fillId="0" borderId="0" xfId="513" quotePrefix="1" applyFont="1" applyFill="1" applyAlignment="1">
      <alignment horizontal="center" vertical="top"/>
    </xf>
    <xf numFmtId="0" fontId="42" fillId="0" borderId="18" xfId="0" applyNumberFormat="1" applyFont="1" applyFill="1" applyBorder="1" applyAlignment="1">
      <alignment horizontal="left" indent="1"/>
    </xf>
    <xf numFmtId="0" fontId="42" fillId="0" borderId="0" xfId="0" applyFont="1" applyFill="1" applyBorder="1" applyAlignment="1">
      <alignment horizontal="left" indent="1"/>
    </xf>
    <xf numFmtId="0" fontId="42" fillId="0" borderId="0" xfId="0" applyFont="1" applyFill="1" applyBorder="1" applyAlignment="1">
      <alignment horizontal="left" indent="2"/>
    </xf>
    <xf numFmtId="0" fontId="42" fillId="0" borderId="0" xfId="0" applyFont="1" applyFill="1" applyAlignment="1">
      <alignment horizontal="center"/>
    </xf>
    <xf numFmtId="37" fontId="42" fillId="0" borderId="30" xfId="382" applyNumberFormat="1" applyFont="1" applyFill="1" applyBorder="1" applyAlignment="1">
      <alignment horizontal="right"/>
    </xf>
    <xf numFmtId="164" fontId="42" fillId="0" borderId="0" xfId="382" applyNumberFormat="1" applyFont="1" applyFill="1" applyBorder="1"/>
    <xf numFmtId="164" fontId="58" fillId="0" borderId="0" xfId="382" applyNumberFormat="1" applyFont="1" applyFill="1" applyAlignment="1">
      <alignment horizontal="left"/>
    </xf>
    <xf numFmtId="164" fontId="40" fillId="0" borderId="0" xfId="0" applyNumberFormat="1" applyFont="1" applyFill="1"/>
    <xf numFmtId="1" fontId="58" fillId="0" borderId="0" xfId="511" applyNumberFormat="1" applyFont="1" applyFill="1" applyAlignment="1">
      <alignment horizontal="left"/>
    </xf>
    <xf numFmtId="0" fontId="38" fillId="0" borderId="0" xfId="504" applyFont="1" applyFill="1" applyBorder="1" applyAlignment="1">
      <alignment horizontal="right"/>
    </xf>
    <xf numFmtId="43" fontId="118" fillId="0" borderId="0" xfId="382" applyFont="1" applyFill="1" applyAlignment="1">
      <alignment horizontal="center"/>
    </xf>
    <xf numFmtId="0" fontId="38" fillId="0" borderId="0" xfId="0" applyFont="1" applyFill="1" applyAlignment="1">
      <alignment horizontal="right"/>
    </xf>
    <xf numFmtId="43" fontId="38" fillId="0" borderId="0" xfId="0" applyNumberFormat="1" applyFont="1" applyFill="1" applyAlignment="1">
      <alignment horizontal="right"/>
    </xf>
    <xf numFmtId="43" fontId="38" fillId="0" borderId="0" xfId="382" applyNumberFormat="1" applyFont="1" applyFill="1" applyBorder="1"/>
    <xf numFmtId="43" fontId="38" fillId="0" borderId="0" xfId="504" applyNumberFormat="1" applyFont="1" applyFill="1" applyBorder="1"/>
    <xf numFmtId="0" fontId="39" fillId="0" borderId="0" xfId="0" applyFont="1" applyFill="1" applyAlignment="1">
      <alignment horizontal="left"/>
    </xf>
    <xf numFmtId="0" fontId="39" fillId="0" borderId="0" xfId="0" applyFont="1" applyFill="1" applyAlignment="1">
      <alignment horizontal="left" indent="2"/>
    </xf>
    <xf numFmtId="0" fontId="39" fillId="0" borderId="0" xfId="504" applyFont="1" applyFill="1" applyBorder="1" applyAlignment="1">
      <alignment horizontal="left" indent="2"/>
    </xf>
    <xf numFmtId="0" fontId="39" fillId="0" borderId="0" xfId="504" applyNumberFormat="1" applyFont="1" applyFill="1" applyBorder="1" applyAlignment="1">
      <alignment horizontal="left" wrapText="1" indent="2"/>
    </xf>
    <xf numFmtId="0" fontId="39" fillId="0" borderId="0" xfId="504" applyFont="1" applyFill="1" applyAlignment="1">
      <alignment horizontal="left" indent="2"/>
    </xf>
    <xf numFmtId="0" fontId="38" fillId="0" borderId="0" xfId="504" applyFont="1" applyFill="1" applyAlignment="1">
      <alignment horizontal="center" wrapText="1"/>
    </xf>
    <xf numFmtId="0" fontId="39" fillId="0" borderId="0" xfId="504" applyFont="1" applyFill="1"/>
    <xf numFmtId="164" fontId="136" fillId="0" borderId="0" xfId="382" applyNumberFormat="1" applyFont="1" applyBorder="1"/>
    <xf numFmtId="0" fontId="136" fillId="0" borderId="0" xfId="474" applyFont="1" applyBorder="1" applyAlignment="1">
      <alignment horizontal="center"/>
    </xf>
    <xf numFmtId="164" fontId="136" fillId="0" borderId="0" xfId="474" applyNumberFormat="1" applyFont="1" applyBorder="1"/>
    <xf numFmtId="43" fontId="126" fillId="0" borderId="0" xfId="382" applyFont="1" applyFill="1"/>
    <xf numFmtId="164" fontId="20" fillId="0" borderId="0" xfId="382" quotePrefix="1" applyNumberFormat="1" applyFont="1" applyBorder="1" applyAlignment="1">
      <alignment horizontal="center"/>
    </xf>
    <xf numFmtId="0" fontId="38" fillId="0" borderId="0" xfId="512" applyNumberFormat="1" applyFont="1" applyFill="1" applyAlignment="1">
      <alignment horizontal="left" vertical="top"/>
    </xf>
    <xf numFmtId="0" fontId="125" fillId="0" borderId="0" xfId="504" applyFont="1"/>
    <xf numFmtId="0" fontId="125" fillId="0" borderId="0" xfId="504" applyFont="1" applyBorder="1"/>
    <xf numFmtId="0" fontId="125" fillId="0" borderId="0" xfId="504" applyFont="1" applyFill="1" applyBorder="1" applyAlignment="1">
      <alignment horizontal="center" wrapText="1"/>
    </xf>
    <xf numFmtId="0" fontId="125" fillId="0" borderId="0" xfId="0" applyFont="1" applyFill="1" applyBorder="1"/>
    <xf numFmtId="164" fontId="125" fillId="0" borderId="0" xfId="382" applyNumberFormat="1" applyFont="1" applyBorder="1"/>
    <xf numFmtId="164" fontId="125" fillId="0" borderId="0" xfId="382" applyNumberFormat="1" applyFont="1" applyFill="1" applyBorder="1"/>
    <xf numFmtId="0" fontId="125" fillId="0" borderId="0" xfId="504" applyFont="1" applyFill="1" applyBorder="1"/>
    <xf numFmtId="0" fontId="138" fillId="0" borderId="0" xfId="0" applyFont="1" applyFill="1" applyBorder="1" applyAlignment="1">
      <alignment horizontal="left"/>
    </xf>
    <xf numFmtId="0" fontId="125" fillId="0" borderId="0" xfId="0" applyFont="1" applyFill="1" applyBorder="1" applyAlignment="1"/>
    <xf numFmtId="0" fontId="138" fillId="0" borderId="0" xfId="0" applyNumberFormat="1" applyFont="1" applyFill="1" applyBorder="1" applyAlignment="1">
      <alignment horizontal="center"/>
    </xf>
    <xf numFmtId="0" fontId="125" fillId="0" borderId="0" xfId="0" applyFont="1" applyFill="1" applyBorder="1" applyAlignment="1">
      <alignment horizontal="center" wrapText="1"/>
    </xf>
    <xf numFmtId="0" fontId="38" fillId="0" borderId="0" xfId="0" applyFont="1" applyFill="1" applyBorder="1" applyAlignment="1">
      <alignment horizontal="left" vertical="top"/>
    </xf>
    <xf numFmtId="0" fontId="38" fillId="0" borderId="16" xfId="0" applyFont="1" applyFill="1" applyBorder="1"/>
    <xf numFmtId="164" fontId="38" fillId="0" borderId="16" xfId="382" applyNumberFormat="1" applyFont="1" applyFill="1" applyBorder="1"/>
    <xf numFmtId="0" fontId="139" fillId="0" borderId="0" xfId="0" applyFont="1" applyFill="1"/>
    <xf numFmtId="164" fontId="38" fillId="0" borderId="0" xfId="382" applyNumberFormat="1" applyFont="1" applyBorder="1" applyAlignment="1">
      <alignment vertical="top"/>
    </xf>
    <xf numFmtId="170" fontId="50" fillId="0" borderId="0" xfId="382" applyNumberFormat="1" applyFont="1" applyFill="1" applyBorder="1" applyAlignment="1">
      <alignment horizontal="center"/>
    </xf>
    <xf numFmtId="164" fontId="38" fillId="0" borderId="0" xfId="382" applyNumberFormat="1" applyFont="1" applyFill="1" applyAlignment="1">
      <alignment vertical="top"/>
    </xf>
    <xf numFmtId="0" fontId="38" fillId="0" borderId="0" xfId="0" quotePrefix="1" applyFont="1" applyFill="1" applyAlignment="1">
      <alignment horizontal="left" vertical="top"/>
    </xf>
    <xf numFmtId="3" fontId="38" fillId="0" borderId="0" xfId="11265" quotePrefix="1" applyNumberFormat="1" applyFont="1" applyFill="1" applyAlignment="1"/>
    <xf numFmtId="43" fontId="58" fillId="0" borderId="0" xfId="511" applyNumberFormat="1" applyFont="1" applyFill="1" applyAlignment="1">
      <alignment horizontal="left"/>
    </xf>
    <xf numFmtId="0" fontId="58" fillId="0" borderId="0" xfId="511" applyFont="1" applyFill="1" applyAlignment="1">
      <alignment horizontal="center"/>
    </xf>
    <xf numFmtId="0" fontId="58" fillId="0" borderId="0" xfId="511" applyFont="1" applyFill="1" applyAlignment="1">
      <alignment horizontal="left"/>
    </xf>
    <xf numFmtId="2" fontId="58" fillId="0" borderId="0" xfId="511" applyNumberFormat="1" applyFont="1" applyFill="1" applyAlignment="1">
      <alignment horizontal="left"/>
    </xf>
    <xf numFmtId="0" fontId="58" fillId="0" borderId="0" xfId="511" applyFont="1" applyFill="1"/>
    <xf numFmtId="0" fontId="124" fillId="0" borderId="0" xfId="0" applyFont="1" applyFill="1"/>
    <xf numFmtId="2" fontId="38" fillId="0" borderId="0" xfId="0" applyNumberFormat="1" applyFont="1" applyFill="1" applyAlignment="1">
      <alignment horizontal="center"/>
    </xf>
    <xf numFmtId="193" fontId="38" fillId="0" borderId="0" xfId="0" applyNumberFormat="1" applyFont="1" applyFill="1" applyBorder="1"/>
    <xf numFmtId="170" fontId="107" fillId="0" borderId="0" xfId="382" applyNumberFormat="1" applyFont="1" applyFill="1" applyBorder="1" applyAlignment="1"/>
    <xf numFmtId="164" fontId="107" fillId="0" borderId="0" xfId="382" applyNumberFormat="1" applyFont="1" applyFill="1" applyBorder="1" applyAlignment="1">
      <alignment horizontal="right"/>
    </xf>
    <xf numFmtId="0" fontId="38" fillId="0" borderId="0" xfId="0" applyNumberFormat="1" applyFont="1" applyFill="1" applyBorder="1" applyAlignment="1"/>
    <xf numFmtId="164" fontId="58" fillId="0" borderId="0" xfId="382" applyNumberFormat="1" applyFont="1" applyFill="1" applyAlignment="1"/>
    <xf numFmtId="0" fontId="38" fillId="0" borderId="0" xfId="0" applyFont="1" applyFill="1" applyBorder="1" applyAlignment="1">
      <alignment horizontal="left" wrapText="1" indent="1"/>
    </xf>
    <xf numFmtId="0" fontId="38" fillId="0" borderId="0" xfId="0" applyFont="1" applyFill="1" applyBorder="1" applyAlignment="1">
      <alignment horizontal="left" wrapText="1"/>
    </xf>
    <xf numFmtId="164" fontId="38" fillId="0" borderId="0" xfId="382" applyNumberFormat="1" applyFont="1" applyFill="1" applyBorder="1" applyAlignment="1">
      <alignment vertical="top"/>
    </xf>
    <xf numFmtId="164" fontId="20" fillId="0" borderId="18" xfId="382" applyNumberFormat="1" applyFont="1" applyFill="1" applyBorder="1"/>
    <xf numFmtId="164" fontId="38" fillId="37" borderId="0" xfId="382" applyNumberFormat="1" applyFont="1" applyFill="1" applyAlignment="1">
      <alignment horizontal="left" vertical="top" indent="2"/>
    </xf>
    <xf numFmtId="164" fontId="38" fillId="37" borderId="18" xfId="382" applyNumberFormat="1" applyFont="1" applyFill="1" applyBorder="1" applyAlignment="1">
      <alignment horizontal="left" vertical="top" indent="2"/>
    </xf>
    <xf numFmtId="0" fontId="38" fillId="0" borderId="0" xfId="474" quotePrefix="1" applyFont="1" applyAlignment="1">
      <alignment horizontal="center" vertical="top"/>
    </xf>
    <xf numFmtId="0" fontId="38" fillId="52" borderId="0" xfId="0" applyFont="1" applyFill="1" applyBorder="1" applyAlignment="1">
      <alignment horizontal="left" wrapText="1"/>
    </xf>
    <xf numFmtId="0" fontId="38" fillId="0" borderId="0" xfId="0" applyFont="1" applyFill="1" applyAlignment="1">
      <alignment horizontal="left" vertical="top" wrapText="1"/>
    </xf>
    <xf numFmtId="0" fontId="38" fillId="0" borderId="0" xfId="0" applyFont="1" applyFill="1" applyAlignment="1">
      <alignment horizontal="center"/>
    </xf>
    <xf numFmtId="0" fontId="38" fillId="0" borderId="0" xfId="0" applyFont="1" applyFill="1" applyBorder="1" applyAlignment="1">
      <alignment horizontal="left" wrapText="1"/>
    </xf>
    <xf numFmtId="0" fontId="38" fillId="0" borderId="0" xfId="0" applyFont="1" applyFill="1" applyAlignment="1">
      <alignment horizontal="left" vertical="top"/>
    </xf>
    <xf numFmtId="0" fontId="141" fillId="0" borderId="0" xfId="0" applyFont="1"/>
    <xf numFmtId="0" fontId="142" fillId="0" borderId="0" xfId="513" applyFont="1"/>
    <xf numFmtId="0" fontId="143" fillId="0" borderId="0" xfId="0" applyFont="1" applyFill="1"/>
    <xf numFmtId="0" fontId="142" fillId="0" borderId="0" xfId="511" applyFont="1" applyFill="1"/>
    <xf numFmtId="43" fontId="58" fillId="0" borderId="0" xfId="425" applyFont="1" applyFill="1"/>
    <xf numFmtId="164" fontId="142" fillId="0" borderId="0" xfId="382" applyNumberFormat="1" applyFont="1" applyFill="1" applyBorder="1"/>
    <xf numFmtId="0" fontId="125" fillId="0" borderId="0" xfId="0" applyFont="1" applyFill="1"/>
    <xf numFmtId="0" fontId="144" fillId="0" borderId="0" xfId="496" applyFont="1"/>
    <xf numFmtId="0" fontId="121" fillId="0" borderId="0" xfId="484" applyFont="1" applyFill="1" applyBorder="1" applyAlignment="1">
      <alignment vertical="top"/>
    </xf>
    <xf numFmtId="0" fontId="58" fillId="0" borderId="0" xfId="511" applyFont="1" applyAlignment="1">
      <alignment horizontal="left" vertical="top"/>
    </xf>
    <xf numFmtId="0" fontId="145" fillId="0" borderId="0" xfId="0" applyFont="1" applyFill="1" applyBorder="1" applyAlignment="1">
      <alignment horizontal="left"/>
    </xf>
    <xf numFmtId="0" fontId="137" fillId="0" borderId="0" xfId="0" applyFont="1" applyFill="1" applyBorder="1" applyAlignment="1">
      <alignment horizontal="center"/>
    </xf>
    <xf numFmtId="169" fontId="107" fillId="0" borderId="0" xfId="37694" applyFont="1" applyAlignment="1">
      <alignment horizontal="center"/>
    </xf>
    <xf numFmtId="49" fontId="107" fillId="0" borderId="0" xfId="37696" applyNumberFormat="1" applyFont="1" applyFill="1" applyAlignment="1" applyProtection="1">
      <protection locked="0"/>
    </xf>
    <xf numFmtId="0" fontId="107" fillId="0" borderId="0" xfId="37696" applyNumberFormat="1" applyFont="1" applyFill="1" applyAlignment="1">
      <alignment wrapText="1"/>
    </xf>
    <xf numFmtId="0" fontId="107" fillId="0" borderId="0" xfId="37696" applyNumberFormat="1" applyFont="1" applyFill="1" applyAlignment="1" applyProtection="1">
      <alignment horizontal="left"/>
      <protection locked="0"/>
    </xf>
    <xf numFmtId="164" fontId="107" fillId="0" borderId="6" xfId="382" applyNumberFormat="1" applyFont="1" applyBorder="1" applyAlignment="1"/>
    <xf numFmtId="0" fontId="40" fillId="0" borderId="5" xfId="0" applyNumberFormat="1" applyFont="1" applyFill="1" applyBorder="1" applyAlignment="1">
      <alignment horizontal="left"/>
    </xf>
    <xf numFmtId="0" fontId="40" fillId="0" borderId="5" xfId="0" applyFont="1" applyFill="1" applyBorder="1" applyAlignment="1">
      <alignment horizontal="center"/>
    </xf>
    <xf numFmtId="0" fontId="55" fillId="0" borderId="0" xfId="0" applyFont="1" applyFill="1" applyBorder="1"/>
    <xf numFmtId="3" fontId="42" fillId="0" borderId="35" xfId="0" quotePrefix="1" applyNumberFormat="1" applyFont="1" applyFill="1" applyBorder="1" applyAlignment="1">
      <alignment horizontal="left"/>
    </xf>
    <xf numFmtId="0" fontId="40" fillId="0" borderId="0" xfId="0" applyFont="1" applyFill="1" applyBorder="1" applyAlignment="1">
      <alignment horizontal="left"/>
    </xf>
    <xf numFmtId="3" fontId="42" fillId="0" borderId="18" xfId="0" applyNumberFormat="1" applyFont="1" applyFill="1" applyBorder="1" applyAlignment="1">
      <alignment horizontal="center"/>
    </xf>
    <xf numFmtId="168" fontId="124" fillId="0" borderId="0" xfId="0" applyNumberFormat="1" applyFont="1" applyFill="1" applyBorder="1" applyAlignment="1">
      <alignment horizontal="left"/>
    </xf>
    <xf numFmtId="3" fontId="40" fillId="0" borderId="38" xfId="0" applyNumberFormat="1" applyFont="1" applyFill="1" applyBorder="1" applyAlignment="1">
      <alignment horizontal="right"/>
    </xf>
    <xf numFmtId="168" fontId="42" fillId="0" borderId="0" xfId="0" applyNumberFormat="1" applyFont="1" applyFill="1" applyBorder="1" applyAlignment="1">
      <alignment horizontal="left" indent="1"/>
    </xf>
    <xf numFmtId="168" fontId="42" fillId="0" borderId="18" xfId="0" applyNumberFormat="1" applyFont="1" applyFill="1" applyBorder="1" applyAlignment="1">
      <alignment horizontal="left" indent="1"/>
    </xf>
    <xf numFmtId="0" fontId="124" fillId="0" borderId="0" xfId="0" applyFont="1"/>
    <xf numFmtId="3" fontId="42" fillId="0" borderId="35" xfId="0" applyNumberFormat="1" applyFont="1" applyFill="1" applyBorder="1"/>
    <xf numFmtId="3" fontId="42" fillId="0" borderId="36" xfId="0" applyNumberFormat="1" applyFont="1" applyFill="1" applyBorder="1" applyAlignment="1">
      <alignment horizontal="right"/>
    </xf>
    <xf numFmtId="0" fontId="42" fillId="50" borderId="0" xfId="0" applyFont="1" applyFill="1" applyBorder="1" applyAlignment="1">
      <alignment horizontal="center"/>
    </xf>
    <xf numFmtId="3" fontId="42" fillId="0" borderId="35" xfId="0" applyNumberFormat="1" applyFont="1" applyFill="1" applyBorder="1" applyAlignment="1">
      <alignment wrapText="1"/>
    </xf>
    <xf numFmtId="37" fontId="42" fillId="0" borderId="35" xfId="0" quotePrefix="1" applyNumberFormat="1" applyFont="1" applyFill="1" applyBorder="1" applyAlignment="1"/>
    <xf numFmtId="169" fontId="107" fillId="0" borderId="7" xfId="37696" applyFont="1" applyFill="1" applyBorder="1" applyAlignment="1"/>
    <xf numFmtId="0" fontId="107" fillId="0" borderId="7" xfId="37696" applyNumberFormat="1" applyFont="1" applyFill="1" applyBorder="1" applyProtection="1">
      <protection locked="0"/>
    </xf>
    <xf numFmtId="0" fontId="107" fillId="51" borderId="0" xfId="37695" applyFont="1" applyFill="1"/>
    <xf numFmtId="0" fontId="107" fillId="51" borderId="0" xfId="37696" applyNumberFormat="1" applyFont="1" applyFill="1"/>
    <xf numFmtId="169" fontId="107" fillId="51" borderId="0" xfId="37694" applyFont="1" applyFill="1" applyAlignment="1"/>
    <xf numFmtId="0" fontId="107" fillId="51" borderId="0" xfId="37695" applyFont="1" applyFill="1" applyAlignment="1">
      <alignment horizontal="right"/>
    </xf>
    <xf numFmtId="169" fontId="128" fillId="51" borderId="0" xfId="37694" applyFont="1" applyFill="1" applyAlignment="1">
      <alignment horizontal="center" vertical="center"/>
    </xf>
    <xf numFmtId="170" fontId="107" fillId="0" borderId="0" xfId="382" applyNumberFormat="1" applyFont="1" applyFill="1" applyAlignment="1">
      <alignment horizontal="center" vertical="top"/>
    </xf>
    <xf numFmtId="0" fontId="107" fillId="0" borderId="0" xfId="37694" applyNumberFormat="1" applyFont="1" applyFill="1" applyAlignment="1">
      <alignment vertical="top"/>
    </xf>
    <xf numFmtId="1" fontId="38" fillId="0" borderId="0" xfId="510" applyNumberFormat="1" applyFont="1" applyFill="1" applyBorder="1" applyAlignment="1">
      <alignment horizontal="left"/>
    </xf>
    <xf numFmtId="0" fontId="38" fillId="0" borderId="6" xfId="0" applyFont="1" applyFill="1" applyBorder="1" applyAlignment="1">
      <alignment horizontal="left" wrapText="1"/>
    </xf>
    <xf numFmtId="0" fontId="38" fillId="0" borderId="0" xfId="504" quotePrefix="1" applyFont="1" applyAlignment="1">
      <alignment horizontal="center" vertical="top"/>
    </xf>
    <xf numFmtId="0" fontId="20" fillId="0" borderId="18" xfId="0" applyFont="1" applyFill="1" applyBorder="1" applyAlignment="1">
      <alignment horizontal="left" indent="1"/>
    </xf>
    <xf numFmtId="164" fontId="18" fillId="0" borderId="18" xfId="382" applyNumberFormat="1" applyFont="1" applyFill="1" applyBorder="1"/>
    <xf numFmtId="0" fontId="20" fillId="0" borderId="0" xfId="0" applyFont="1" applyFill="1" applyAlignment="1">
      <alignment horizontal="left"/>
    </xf>
    <xf numFmtId="164" fontId="38" fillId="0" borderId="17" xfId="382" applyNumberFormat="1" applyFont="1" applyFill="1" applyBorder="1" applyAlignment="1">
      <alignment vertical="top"/>
    </xf>
    <xf numFmtId="164" fontId="38" fillId="0" borderId="0" xfId="382" applyNumberFormat="1" applyFont="1" applyFill="1" applyAlignment="1">
      <alignment horizontal="left" vertical="top" indent="2"/>
    </xf>
    <xf numFmtId="0" fontId="58" fillId="0" borderId="0" xfId="511" quotePrefix="1" applyFont="1" applyFill="1" applyAlignment="1">
      <alignment horizontal="center"/>
    </xf>
    <xf numFmtId="0" fontId="58" fillId="0" borderId="0" xfId="511" quotePrefix="1" applyFont="1" applyFill="1" applyAlignment="1">
      <alignment horizontal="center" vertical="top"/>
    </xf>
    <xf numFmtId="0" fontId="136" fillId="0" borderId="0" xfId="0" applyFont="1" applyFill="1"/>
    <xf numFmtId="0" fontId="136" fillId="0" borderId="0" xfId="511" applyFont="1" applyFill="1"/>
    <xf numFmtId="0" fontId="38" fillId="0" borderId="0" xfId="484" quotePrefix="1" applyFont="1" applyFill="1" applyAlignment="1">
      <alignment vertical="top"/>
    </xf>
    <xf numFmtId="0" fontId="87" fillId="0" borderId="0" xfId="0" applyFont="1" applyFill="1" applyAlignment="1">
      <alignment horizontal="left"/>
    </xf>
    <xf numFmtId="0" fontId="87" fillId="0" borderId="0" xfId="0" applyFont="1" applyFill="1"/>
    <xf numFmtId="0" fontId="39" fillId="0" borderId="16" xfId="0" applyFont="1" applyFill="1" applyBorder="1" applyAlignment="1">
      <alignment horizontal="left" indent="1"/>
    </xf>
    <xf numFmtId="1" fontId="58" fillId="0" borderId="0" xfId="11275" applyNumberFormat="1" applyFont="1" applyFill="1" applyAlignment="1">
      <alignment horizontal="left"/>
    </xf>
    <xf numFmtId="0" fontId="58" fillId="0" borderId="0" xfId="11275" applyFont="1" applyFill="1" applyAlignment="1">
      <alignment horizontal="left"/>
    </xf>
    <xf numFmtId="0" fontId="20" fillId="0" borderId="0" xfId="11271" quotePrefix="1" applyFont="1" applyFill="1" applyAlignment="1">
      <alignment horizontal="center"/>
    </xf>
    <xf numFmtId="0" fontId="17" fillId="0" borderId="0" xfId="0" applyFont="1"/>
    <xf numFmtId="0" fontId="17" fillId="0" borderId="0" xfId="0" applyFont="1" applyFill="1"/>
    <xf numFmtId="164" fontId="17" fillId="0" borderId="0" xfId="382" applyNumberFormat="1" applyFont="1" applyFill="1"/>
    <xf numFmtId="3" fontId="107" fillId="0" borderId="0" xfId="37696" applyNumberFormat="1" applyFont="1" applyFill="1" applyAlignment="1">
      <alignment vertical="top" wrapText="1"/>
    </xf>
    <xf numFmtId="0" fontId="107" fillId="0" borderId="0" xfId="37696" applyNumberFormat="1" applyFont="1" applyFill="1" applyAlignment="1">
      <alignment horizontal="left" vertical="top"/>
    </xf>
    <xf numFmtId="169" fontId="107" fillId="0" borderId="0" xfId="37694" quotePrefix="1" applyFont="1" applyFill="1" applyAlignment="1">
      <alignment vertical="top"/>
    </xf>
    <xf numFmtId="0" fontId="38" fillId="0" borderId="0" xfId="513" applyFont="1"/>
    <xf numFmtId="0" fontId="58" fillId="0" borderId="0" xfId="0" applyFont="1" applyFill="1" applyAlignment="1">
      <alignment horizontal="center"/>
    </xf>
    <xf numFmtId="0" fontId="16" fillId="0" borderId="0" xfId="0" applyFont="1" applyFill="1" applyAlignment="1">
      <alignment horizontal="center"/>
    </xf>
    <xf numFmtId="0" fontId="16" fillId="0" borderId="0" xfId="0" applyFont="1" applyFill="1"/>
    <xf numFmtId="164" fontId="16" fillId="0" borderId="0" xfId="423" applyNumberFormat="1" applyFont="1" applyFill="1"/>
    <xf numFmtId="0" fontId="16" fillId="0" borderId="0" xfId="0" applyFont="1" applyFill="1" applyAlignment="1">
      <alignment horizontal="left" indent="1"/>
    </xf>
    <xf numFmtId="164" fontId="16" fillId="0" borderId="0" xfId="382" applyNumberFormat="1" applyFont="1" applyFill="1"/>
    <xf numFmtId="0" fontId="16" fillId="0" borderId="0" xfId="0" applyFont="1" applyFill="1" applyAlignment="1">
      <alignment horizontal="left"/>
    </xf>
    <xf numFmtId="164" fontId="16" fillId="0" borderId="0" xfId="0" applyNumberFormat="1" applyFont="1" applyFill="1"/>
    <xf numFmtId="164" fontId="16" fillId="0" borderId="0" xfId="0" applyNumberFormat="1" applyFont="1" applyFill="1" applyBorder="1"/>
    <xf numFmtId="164" fontId="16" fillId="0" borderId="17" xfId="0" applyNumberFormat="1" applyFont="1" applyFill="1" applyBorder="1"/>
    <xf numFmtId="43" fontId="16" fillId="0" borderId="0" xfId="423" applyFont="1" applyFill="1"/>
    <xf numFmtId="9" fontId="58" fillId="0" borderId="0" xfId="674" applyFont="1"/>
    <xf numFmtId="0" fontId="40" fillId="0" borderId="55" xfId="0" applyFont="1" applyFill="1" applyBorder="1" applyAlignment="1">
      <alignment horizontal="center"/>
    </xf>
    <xf numFmtId="0" fontId="40" fillId="50" borderId="56" xfId="0" applyFont="1" applyFill="1" applyBorder="1" applyAlignment="1">
      <alignment horizontal="left"/>
    </xf>
    <xf numFmtId="0" fontId="40" fillId="50" borderId="55" xfId="0" applyFont="1" applyFill="1" applyBorder="1" applyAlignment="1">
      <alignment horizontal="left"/>
    </xf>
    <xf numFmtId="0" fontId="40" fillId="50" borderId="55" xfId="0" applyFont="1" applyFill="1" applyBorder="1" applyAlignment="1"/>
    <xf numFmtId="0" fontId="42" fillId="0" borderId="22" xfId="0" applyFont="1" applyBorder="1"/>
    <xf numFmtId="0" fontId="42" fillId="0" borderId="58" xfId="0" applyFont="1" applyFill="1" applyBorder="1" applyAlignment="1">
      <alignment horizontal="center" wrapText="1"/>
    </xf>
    <xf numFmtId="3" fontId="42" fillId="0" borderId="59" xfId="0" applyNumberFormat="1" applyFont="1" applyBorder="1" applyAlignment="1"/>
    <xf numFmtId="164" fontId="42" fillId="0" borderId="59" xfId="382" applyNumberFormat="1" applyFont="1" applyFill="1" applyBorder="1" applyAlignment="1"/>
    <xf numFmtId="164" fontId="42" fillId="0" borderId="60" xfId="382" applyNumberFormat="1" applyFont="1" applyFill="1" applyBorder="1" applyAlignment="1"/>
    <xf numFmtId="164" fontId="42" fillId="0" borderId="61" xfId="382" applyNumberFormat="1" applyFont="1" applyFill="1" applyBorder="1" applyAlignment="1"/>
    <xf numFmtId="171" fontId="40" fillId="0" borderId="59" xfId="674" applyNumberFormat="1" applyFont="1" applyFill="1" applyBorder="1" applyAlignment="1"/>
    <xf numFmtId="0" fontId="42" fillId="0" borderId="59" xfId="0" applyFont="1" applyFill="1" applyBorder="1"/>
    <xf numFmtId="164" fontId="42" fillId="0" borderId="59" xfId="382" applyNumberFormat="1" applyFont="1" applyFill="1" applyBorder="1"/>
    <xf numFmtId="171" fontId="40" fillId="0" borderId="59" xfId="674" applyNumberFormat="1" applyFont="1" applyBorder="1" applyAlignment="1"/>
    <xf numFmtId="0" fontId="42" fillId="50" borderId="63" xfId="0" applyFont="1" applyFill="1" applyBorder="1" applyAlignment="1">
      <alignment horizontal="center" wrapText="1"/>
    </xf>
    <xf numFmtId="0" fontId="42" fillId="0" borderId="59" xfId="0" applyFont="1" applyFill="1" applyBorder="1" applyAlignment="1">
      <alignment horizontal="center" wrapText="1"/>
    </xf>
    <xf numFmtId="3" fontId="42" fillId="0" borderId="59" xfId="0" applyNumberFormat="1" applyFont="1" applyFill="1" applyBorder="1" applyAlignment="1"/>
    <xf numFmtId="164" fontId="40" fillId="0" borderId="59" xfId="382" applyNumberFormat="1" applyFont="1" applyFill="1" applyBorder="1" applyAlignment="1"/>
    <xf numFmtId="171" fontId="42" fillId="0" borderId="60" xfId="674" applyNumberFormat="1" applyFont="1" applyFill="1" applyBorder="1" applyAlignment="1"/>
    <xf numFmtId="164" fontId="40" fillId="0" borderId="62" xfId="382" applyNumberFormat="1" applyFont="1" applyFill="1" applyBorder="1"/>
    <xf numFmtId="164" fontId="63" fillId="0" borderId="59" xfId="382" applyNumberFormat="1" applyFont="1" applyFill="1" applyBorder="1"/>
    <xf numFmtId="3" fontId="42" fillId="0" borderId="59" xfId="0" applyNumberFormat="1" applyFont="1" applyBorder="1"/>
    <xf numFmtId="171" fontId="42" fillId="0" borderId="60" xfId="0" applyNumberFormat="1" applyFont="1" applyFill="1" applyBorder="1" applyAlignment="1">
      <alignment horizontal="right"/>
    </xf>
    <xf numFmtId="164" fontId="42" fillId="0" borderId="59" xfId="382" applyNumberFormat="1" applyFont="1" applyFill="1" applyBorder="1" applyAlignment="1">
      <alignment horizontal="right"/>
    </xf>
    <xf numFmtId="164" fontId="42" fillId="0" borderId="64" xfId="382" applyNumberFormat="1" applyFont="1" applyFill="1" applyBorder="1" applyAlignment="1">
      <alignment horizontal="right"/>
    </xf>
    <xf numFmtId="3" fontId="42" fillId="0" borderId="59" xfId="0" applyNumberFormat="1" applyFont="1" applyFill="1" applyBorder="1" applyAlignment="1">
      <alignment horizontal="right"/>
    </xf>
    <xf numFmtId="164" fontId="42" fillId="37" borderId="59" xfId="382" applyNumberFormat="1" applyFont="1" applyFill="1" applyBorder="1" applyAlignment="1"/>
    <xf numFmtId="3" fontId="40" fillId="0" borderId="59" xfId="0" applyNumberFormat="1" applyFont="1" applyFill="1" applyBorder="1" applyAlignment="1"/>
    <xf numFmtId="171" fontId="42" fillId="0" borderId="59" xfId="0" applyNumberFormat="1" applyFont="1" applyFill="1" applyBorder="1" applyAlignment="1">
      <alignment horizontal="right"/>
    </xf>
    <xf numFmtId="164" fontId="42" fillId="0" borderId="60" xfId="382" applyNumberFormat="1" applyFont="1" applyFill="1" applyBorder="1" applyAlignment="1">
      <alignment horizontal="right"/>
    </xf>
    <xf numFmtId="164" fontId="42" fillId="0" borderId="57" xfId="382" applyNumberFormat="1" applyFont="1" applyFill="1" applyBorder="1" applyAlignment="1">
      <alignment horizontal="right"/>
    </xf>
    <xf numFmtId="164" fontId="40" fillId="0" borderId="59" xfId="382" applyNumberFormat="1" applyFont="1" applyFill="1" applyBorder="1"/>
    <xf numFmtId="0" fontId="42" fillId="0" borderId="59" xfId="0" applyFont="1" applyBorder="1"/>
    <xf numFmtId="164" fontId="40" fillId="0" borderId="59" xfId="382" applyNumberFormat="1" applyFont="1" applyFill="1" applyBorder="1" applyAlignment="1">
      <alignment horizontal="right"/>
    </xf>
    <xf numFmtId="164" fontId="42" fillId="37" borderId="60" xfId="382" applyNumberFormat="1" applyFont="1" applyFill="1" applyBorder="1" applyAlignment="1"/>
    <xf numFmtId="164" fontId="42" fillId="0" borderId="59" xfId="382" applyNumberFormat="1" applyFont="1" applyBorder="1"/>
    <xf numFmtId="164" fontId="40" fillId="0" borderId="62" xfId="382" applyNumberFormat="1" applyFont="1" applyBorder="1"/>
    <xf numFmtId="164" fontId="42" fillId="50" borderId="64" xfId="382" applyNumberFormat="1" applyFont="1" applyFill="1" applyBorder="1" applyAlignment="1">
      <alignment horizontal="center" wrapText="1"/>
    </xf>
    <xf numFmtId="164" fontId="42" fillId="0" borderId="59" xfId="382" applyNumberFormat="1" applyFont="1" applyFill="1" applyBorder="1" applyAlignment="1">
      <alignment horizontal="center" wrapText="1"/>
    </xf>
    <xf numFmtId="164" fontId="42" fillId="0" borderId="59" xfId="382" applyNumberFormat="1" applyFont="1" applyBorder="1" applyAlignment="1"/>
    <xf numFmtId="164" fontId="44" fillId="0" borderId="59" xfId="382" applyNumberFormat="1" applyFont="1" applyFill="1" applyBorder="1" applyAlignment="1">
      <alignment horizontal="right"/>
    </xf>
    <xf numFmtId="164" fontId="40" fillId="0" borderId="62" xfId="382" applyNumberFormat="1" applyFont="1" applyFill="1" applyBorder="1" applyAlignment="1"/>
    <xf numFmtId="171" fontId="44" fillId="0" borderId="59" xfId="0" applyNumberFormat="1" applyFont="1" applyFill="1" applyBorder="1" applyAlignment="1">
      <alignment horizontal="right"/>
    </xf>
    <xf numFmtId="164" fontId="42" fillId="37" borderId="60" xfId="382" applyNumberFormat="1" applyFont="1" applyFill="1" applyBorder="1" applyAlignment="1">
      <alignment horizontal="right"/>
    </xf>
    <xf numFmtId="37" fontId="42" fillId="0" borderId="60" xfId="382" applyNumberFormat="1" applyFont="1" applyFill="1" applyBorder="1" applyAlignment="1">
      <alignment horizontal="right"/>
    </xf>
    <xf numFmtId="164" fontId="40" fillId="0" borderId="62" xfId="382" applyNumberFormat="1" applyFont="1" applyFill="1" applyBorder="1" applyAlignment="1">
      <alignment horizontal="right"/>
    </xf>
    <xf numFmtId="164" fontId="42" fillId="50" borderId="63" xfId="382" applyNumberFormat="1" applyFont="1" applyFill="1" applyBorder="1" applyAlignment="1">
      <alignment horizontal="center" wrapText="1"/>
    </xf>
    <xf numFmtId="164" fontId="40" fillId="0" borderId="59" xfId="382" applyNumberFormat="1" applyFont="1" applyBorder="1" applyAlignment="1"/>
    <xf numFmtId="164" fontId="42" fillId="0" borderId="60" xfId="382" applyNumberFormat="1" applyFont="1" applyFill="1" applyBorder="1"/>
    <xf numFmtId="0" fontId="42" fillId="50" borderId="64" xfId="0" applyFont="1" applyFill="1" applyBorder="1" applyAlignment="1">
      <alignment horizontal="center" wrapText="1"/>
    </xf>
    <xf numFmtId="37" fontId="42" fillId="0" borderId="59" xfId="0" applyNumberFormat="1" applyFont="1" applyFill="1" applyBorder="1"/>
    <xf numFmtId="10" fontId="42" fillId="0" borderId="59" xfId="674" applyNumberFormat="1" applyFont="1" applyFill="1" applyBorder="1" applyAlignment="1"/>
    <xf numFmtId="10" fontId="42" fillId="0" borderId="59" xfId="0" applyNumberFormat="1" applyFont="1" applyFill="1" applyBorder="1" applyAlignment="1"/>
    <xf numFmtId="10" fontId="42" fillId="37" borderId="59" xfId="674" applyNumberFormat="1" applyFont="1" applyFill="1" applyBorder="1" applyAlignment="1"/>
    <xf numFmtId="10" fontId="42" fillId="0" borderId="60" xfId="674" applyNumberFormat="1" applyFont="1" applyFill="1" applyBorder="1" applyAlignment="1"/>
    <xf numFmtId="10" fontId="40" fillId="0" borderId="59" xfId="674" applyNumberFormat="1" applyFont="1" applyFill="1" applyBorder="1" applyAlignment="1"/>
    <xf numFmtId="166" fontId="40" fillId="0" borderId="59" xfId="0" applyNumberFormat="1" applyFont="1" applyBorder="1" applyAlignment="1"/>
    <xf numFmtId="3" fontId="40" fillId="0" borderId="65" xfId="0" applyNumberFormat="1" applyFont="1" applyBorder="1" applyAlignment="1"/>
    <xf numFmtId="166" fontId="42" fillId="0" borderId="59" xfId="0" applyNumberFormat="1" applyFont="1" applyBorder="1" applyAlignment="1"/>
    <xf numFmtId="10" fontId="42" fillId="37" borderId="59" xfId="0" applyNumberFormat="1" applyFont="1" applyFill="1" applyBorder="1" applyAlignment="1"/>
    <xf numFmtId="10" fontId="42" fillId="0" borderId="59" xfId="0" applyNumberFormat="1" applyFont="1" applyFill="1" applyBorder="1"/>
    <xf numFmtId="10" fontId="42" fillId="0" borderId="59" xfId="0" applyNumberFormat="1" applyFont="1" applyFill="1" applyBorder="1" applyAlignment="1">
      <alignment horizontal="right"/>
    </xf>
    <xf numFmtId="10" fontId="42" fillId="0" borderId="59" xfId="674" applyNumberFormat="1" applyFont="1" applyBorder="1" applyAlignment="1"/>
    <xf numFmtId="164" fontId="42" fillId="0" borderId="59" xfId="382" applyNumberFormat="1" applyFont="1" applyBorder="1" applyAlignment="1">
      <alignment horizontal="right"/>
    </xf>
    <xf numFmtId="164" fontId="40" fillId="0" borderId="61" xfId="382" applyNumberFormat="1" applyFont="1" applyBorder="1"/>
    <xf numFmtId="164" fontId="40" fillId="0" borderId="66" xfId="382" applyNumberFormat="1" applyFont="1" applyFill="1" applyBorder="1"/>
    <xf numFmtId="164" fontId="40" fillId="0" borderId="59" xfId="382" applyNumberFormat="1" applyFont="1" applyBorder="1"/>
    <xf numFmtId="164" fontId="40" fillId="0" borderId="68" xfId="382" applyNumberFormat="1" applyFont="1" applyFill="1" applyBorder="1"/>
    <xf numFmtId="43" fontId="40" fillId="0" borderId="68" xfId="382" applyFont="1" applyBorder="1"/>
    <xf numFmtId="43" fontId="38" fillId="37" borderId="0" xfId="382" applyFont="1" applyFill="1" applyBorder="1" applyAlignment="1"/>
    <xf numFmtId="0" fontId="42" fillId="0" borderId="0" xfId="0" applyFont="1" applyFill="1" applyBorder="1" applyAlignment="1">
      <alignment horizontal="left" vertical="top" wrapText="1"/>
    </xf>
    <xf numFmtId="0" fontId="42" fillId="0" borderId="0" xfId="0" applyNumberFormat="1" applyFont="1" applyFill="1" applyAlignment="1">
      <alignment horizontal="left" vertical="top" wrapText="1"/>
    </xf>
    <xf numFmtId="0" fontId="38" fillId="0" borderId="0" xfId="0" applyFont="1" applyFill="1" applyBorder="1" applyAlignment="1">
      <alignment horizontal="left" wrapText="1"/>
    </xf>
    <xf numFmtId="0" fontId="58" fillId="0" borderId="0" xfId="0" applyFont="1" applyFill="1" applyAlignment="1">
      <alignment horizontal="center"/>
    </xf>
    <xf numFmtId="164" fontId="58" fillId="37" borderId="0" xfId="382" applyNumberFormat="1" applyFont="1" applyFill="1" applyBorder="1"/>
    <xf numFmtId="0" fontId="136" fillId="0" borderId="0" xfId="513" applyFont="1" applyFill="1"/>
    <xf numFmtId="164" fontId="58" fillId="37" borderId="18" xfId="382" applyNumberFormat="1" applyFont="1" applyFill="1" applyBorder="1"/>
    <xf numFmtId="43" fontId="38" fillId="0" borderId="0" xfId="382" applyFont="1" applyFill="1" applyBorder="1" applyAlignment="1">
      <alignment horizontal="right"/>
    </xf>
    <xf numFmtId="0" fontId="38" fillId="0" borderId="0" xfId="484" quotePrefix="1" applyFont="1" applyFill="1" applyAlignment="1">
      <alignment horizontal="center" vertical="top"/>
    </xf>
    <xf numFmtId="0" fontId="15" fillId="0" borderId="0" xfId="0" applyFont="1" applyFill="1" applyAlignment="1">
      <alignment horizontal="left"/>
    </xf>
    <xf numFmtId="0" fontId="38" fillId="0" borderId="0" xfId="511" quotePrefix="1" applyFont="1" applyFill="1" applyAlignment="1">
      <alignment horizontal="center"/>
    </xf>
    <xf numFmtId="0" fontId="19" fillId="0" borderId="0" xfId="0" applyFont="1" applyFill="1"/>
    <xf numFmtId="0" fontId="58" fillId="0" borderId="0" xfId="511" applyFont="1" applyFill="1" applyAlignment="1">
      <alignment vertical="top" wrapText="1"/>
    </xf>
    <xf numFmtId="43" fontId="20" fillId="0" borderId="18" xfId="382" applyFont="1" applyFill="1" applyBorder="1" applyAlignment="1">
      <alignment horizontal="center" wrapText="1"/>
    </xf>
    <xf numFmtId="0" fontId="136" fillId="0" borderId="0" xfId="511" applyFont="1" applyFill="1" applyAlignment="1">
      <alignment vertical="top" wrapText="1"/>
    </xf>
    <xf numFmtId="0" fontId="20" fillId="0" borderId="0" xfId="11271" applyFont="1" applyFill="1" applyAlignment="1">
      <alignment horizontal="center"/>
    </xf>
    <xf numFmtId="0" fontId="38" fillId="0" borderId="0" xfId="0" applyFont="1" applyFill="1" applyBorder="1" applyAlignment="1">
      <alignment vertical="top" wrapText="1"/>
    </xf>
    <xf numFmtId="0" fontId="58" fillId="0" borderId="0" xfId="11275" applyFont="1" applyFill="1"/>
    <xf numFmtId="0" fontId="58" fillId="0" borderId="0" xfId="569" applyFont="1" applyFill="1" applyBorder="1"/>
    <xf numFmtId="0" fontId="58" fillId="0" borderId="0" xfId="11275" quotePrefix="1" applyFont="1" applyFill="1" applyAlignment="1">
      <alignment horizontal="center"/>
    </xf>
    <xf numFmtId="0" fontId="58" fillId="0" borderId="0" xfId="11275" quotePrefix="1" applyFont="1" applyFill="1" applyAlignment="1">
      <alignment horizontal="center" vertical="top"/>
    </xf>
    <xf numFmtId="0" fontId="38" fillId="0" borderId="16" xfId="0" applyFont="1" applyFill="1" applyBorder="1" applyAlignment="1"/>
    <xf numFmtId="164" fontId="58" fillId="0" borderId="0" xfId="382" applyNumberFormat="1" applyFont="1" applyFill="1" applyBorder="1"/>
    <xf numFmtId="0" fontId="0" fillId="0" borderId="0" xfId="0" applyFill="1" applyAlignment="1">
      <alignment horizontal="center"/>
    </xf>
    <xf numFmtId="0" fontId="58" fillId="0" borderId="0" xfId="0" applyFont="1" applyFill="1" applyAlignment="1">
      <alignment horizontal="left"/>
    </xf>
    <xf numFmtId="0" fontId="0" fillId="0" borderId="0" xfId="0" quotePrefix="1" applyFill="1" applyAlignment="1">
      <alignment horizontal="center" vertical="top"/>
    </xf>
    <xf numFmtId="0" fontId="38" fillId="0" borderId="0" xfId="504" quotePrefix="1" applyFont="1" applyFill="1" applyAlignment="1">
      <alignment horizontal="center" vertical="top"/>
    </xf>
    <xf numFmtId="0" fontId="38" fillId="0" borderId="0" xfId="504" applyFont="1" applyFill="1" applyBorder="1" applyAlignment="1">
      <alignment horizontal="left" wrapText="1"/>
    </xf>
    <xf numFmtId="43" fontId="38" fillId="0" borderId="18" xfId="382" applyFont="1" applyFill="1" applyBorder="1" applyAlignment="1">
      <alignment horizontal="center"/>
    </xf>
    <xf numFmtId="166" fontId="38" fillId="0" borderId="0" xfId="678" applyNumberFormat="1" applyFont="1" applyFill="1" applyBorder="1"/>
    <xf numFmtId="0" fontId="40" fillId="0" borderId="17" xfId="0" applyNumberFormat="1" applyFont="1" applyFill="1" applyBorder="1" applyAlignment="1">
      <alignment horizontal="left"/>
    </xf>
    <xf numFmtId="37" fontId="42" fillId="0" borderId="0" xfId="0" applyNumberFormat="1" applyFont="1" applyFill="1" applyBorder="1" applyAlignment="1">
      <alignment horizontal="center"/>
    </xf>
    <xf numFmtId="3" fontId="40" fillId="0" borderId="5" xfId="0" applyNumberFormat="1" applyFont="1" applyFill="1" applyBorder="1" applyAlignment="1">
      <alignment horizontal="center"/>
    </xf>
    <xf numFmtId="3" fontId="40" fillId="0" borderId="35" xfId="0" applyNumberFormat="1" applyFont="1" applyFill="1" applyBorder="1" applyAlignment="1"/>
    <xf numFmtId="3" fontId="40" fillId="0" borderId="18" xfId="0" applyNumberFormat="1" applyFont="1" applyFill="1" applyBorder="1" applyAlignment="1">
      <alignment horizontal="center"/>
    </xf>
    <xf numFmtId="0" fontId="42" fillId="0" borderId="0" xfId="0" applyNumberFormat="1" applyFont="1" applyFill="1" applyBorder="1" applyAlignment="1">
      <alignment horizontal="left" indent="2"/>
    </xf>
    <xf numFmtId="164" fontId="42" fillId="0" borderId="35" xfId="382" applyNumberFormat="1" applyFont="1" applyFill="1" applyBorder="1"/>
    <xf numFmtId="164" fontId="42" fillId="0" borderId="57" xfId="382" applyNumberFormat="1" applyFont="1" applyFill="1" applyBorder="1"/>
    <xf numFmtId="164" fontId="42" fillId="0" borderId="67" xfId="382" applyNumberFormat="1" applyFont="1" applyFill="1" applyBorder="1"/>
    <xf numFmtId="3" fontId="146" fillId="0" borderId="0" xfId="0" applyNumberFormat="1" applyFont="1" applyFill="1" applyBorder="1" applyAlignment="1">
      <alignment horizontal="center"/>
    </xf>
    <xf numFmtId="164" fontId="40" fillId="0" borderId="35" xfId="382" applyNumberFormat="1" applyFont="1" applyFill="1" applyBorder="1"/>
    <xf numFmtId="0" fontId="42" fillId="0" borderId="18" xfId="0" applyFont="1" applyFill="1" applyBorder="1" applyAlignment="1">
      <alignment horizontal="left" indent="1"/>
    </xf>
    <xf numFmtId="0" fontId="148" fillId="0" borderId="0" xfId="37698" applyFont="1" applyFill="1" applyAlignment="1"/>
    <xf numFmtId="164" fontId="130" fillId="0" borderId="0" xfId="382" applyNumberFormat="1" applyFont="1" applyFill="1" applyAlignment="1"/>
    <xf numFmtId="3" fontId="130" fillId="0" borderId="0" xfId="37698" applyNumberFormat="1" applyFont="1" applyFill="1" applyBorder="1" applyAlignment="1"/>
    <xf numFmtId="192" fontId="107" fillId="0" borderId="0" xfId="382" applyNumberFormat="1" applyFont="1" applyFill="1" applyBorder="1" applyAlignment="1"/>
    <xf numFmtId="0" fontId="107" fillId="0" borderId="0" xfId="37698" applyFont="1" applyFill="1" applyBorder="1" applyAlignment="1">
      <alignment horizontal="left" indent="1"/>
    </xf>
    <xf numFmtId="0" fontId="107" fillId="0" borderId="0" xfId="0" applyNumberFormat="1" applyFont="1" applyFill="1" applyBorder="1" applyAlignment="1">
      <alignment horizontal="left" indent="1"/>
    </xf>
    <xf numFmtId="3" fontId="107" fillId="0" borderId="0" xfId="37696" applyNumberFormat="1" applyFont="1" applyFill="1" applyBorder="1" applyAlignment="1"/>
    <xf numFmtId="0" fontId="107" fillId="0" borderId="0" xfId="382" applyNumberFormat="1" applyFont="1" applyFill="1" applyAlignment="1"/>
    <xf numFmtId="164" fontId="107" fillId="0" borderId="7" xfId="382" applyNumberFormat="1" applyFont="1" applyFill="1" applyBorder="1" applyAlignment="1">
      <alignment vertical="top"/>
    </xf>
    <xf numFmtId="49" fontId="107" fillId="0" borderId="0" xfId="37696" applyNumberFormat="1" applyFont="1" applyFill="1" applyAlignment="1">
      <alignment horizontal="right"/>
    </xf>
    <xf numFmtId="195" fontId="107" fillId="0" borderId="0" xfId="382" applyNumberFormat="1" applyFont="1" applyFill="1" applyBorder="1" applyProtection="1"/>
    <xf numFmtId="169" fontId="107" fillId="0" borderId="0" xfId="37694" quotePrefix="1" applyFont="1" applyFill="1" applyAlignment="1">
      <alignment horizontal="center"/>
    </xf>
    <xf numFmtId="0" fontId="38" fillId="0" borderId="0" xfId="0" applyFont="1" applyFill="1" applyBorder="1" applyAlignment="1">
      <alignment horizontal="left" wrapText="1"/>
    </xf>
    <xf numFmtId="0" fontId="38" fillId="0" borderId="0" xfId="0" applyFont="1" applyFill="1" applyAlignment="1">
      <alignment horizontal="left"/>
    </xf>
    <xf numFmtId="0" fontId="94"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0" fontId="38" fillId="0" borderId="0" xfId="0" applyFont="1" applyFill="1" applyAlignment="1">
      <alignment horizontal="left"/>
    </xf>
    <xf numFmtId="164" fontId="14" fillId="0" borderId="0" xfId="382" applyNumberFormat="1" applyFont="1" applyFill="1"/>
    <xf numFmtId="164" fontId="58" fillId="0" borderId="0" xfId="674" applyNumberFormat="1" applyFont="1"/>
    <xf numFmtId="0" fontId="38" fillId="0" borderId="0" xfId="0" quotePrefix="1" applyFont="1" applyFill="1" applyAlignment="1">
      <alignment horizontal="left"/>
    </xf>
    <xf numFmtId="164" fontId="38" fillId="0" borderId="0" xfId="11275" applyNumberFormat="1" applyFont="1" applyFill="1" applyBorder="1" applyAlignment="1">
      <alignment horizontal="center" vertical="top"/>
    </xf>
    <xf numFmtId="164" fontId="38" fillId="0" borderId="43" xfId="11275" applyNumberFormat="1" applyFont="1" applyFill="1" applyBorder="1" applyAlignment="1">
      <alignment horizontal="center" vertical="top"/>
    </xf>
    <xf numFmtId="164" fontId="38" fillId="0" borderId="54" xfId="11275" applyNumberFormat="1" applyFont="1" applyFill="1" applyBorder="1" applyAlignment="1">
      <alignment horizontal="center" vertical="top"/>
    </xf>
    <xf numFmtId="40" fontId="58" fillId="0" borderId="0" xfId="11275" quotePrefix="1" applyNumberFormat="1" applyFont="1" applyFill="1" applyBorder="1" applyAlignment="1">
      <alignment horizontal="left" vertical="top"/>
    </xf>
    <xf numFmtId="164" fontId="38" fillId="0" borderId="18" xfId="11275" applyNumberFormat="1" applyFont="1" applyFill="1" applyBorder="1" applyAlignment="1">
      <alignment horizontal="center" vertical="top"/>
    </xf>
    <xf numFmtId="0" fontId="58" fillId="0" borderId="18" xfId="11275" applyFont="1" applyFill="1" applyBorder="1"/>
    <xf numFmtId="164" fontId="38" fillId="0" borderId="6" xfId="382" applyNumberFormat="1" applyFont="1" applyFill="1" applyBorder="1" applyAlignment="1">
      <alignment horizontal="center"/>
    </xf>
    <xf numFmtId="43" fontId="58" fillId="0" borderId="6" xfId="382" applyFont="1" applyFill="1" applyBorder="1" applyAlignment="1">
      <alignment horizontal="center"/>
    </xf>
    <xf numFmtId="164" fontId="38" fillId="0" borderId="54" xfId="403" applyNumberFormat="1" applyFont="1" applyFill="1" applyBorder="1"/>
    <xf numFmtId="0" fontId="58" fillId="0" borderId="35" xfId="11275" applyFont="1" applyBorder="1"/>
    <xf numFmtId="0" fontId="58" fillId="0" borderId="35" xfId="11275" applyFont="1" applyFill="1" applyBorder="1"/>
    <xf numFmtId="164" fontId="58" fillId="0" borderId="35" xfId="11275" applyNumberFormat="1" applyFont="1" applyBorder="1"/>
    <xf numFmtId="164" fontId="58" fillId="0" borderId="0" xfId="11275" applyNumberFormat="1" applyFont="1" applyFill="1"/>
    <xf numFmtId="164" fontId="58" fillId="0" borderId="17" xfId="11275" applyNumberFormat="1" applyFont="1" applyBorder="1" applyAlignment="1">
      <alignment horizontal="left"/>
    </xf>
    <xf numFmtId="164" fontId="14" fillId="0" borderId="0" xfId="382" quotePrefix="1" applyNumberFormat="1" applyFont="1" applyFill="1"/>
    <xf numFmtId="164" fontId="14" fillId="0" borderId="0" xfId="382" applyNumberFormat="1" applyFont="1" applyAlignment="1">
      <alignment horizontal="center"/>
    </xf>
    <xf numFmtId="0" fontId="14" fillId="0" borderId="0" xfId="35689" applyFont="1"/>
    <xf numFmtId="164" fontId="14" fillId="0" borderId="0" xfId="382" applyNumberFormat="1" applyFont="1"/>
    <xf numFmtId="0" fontId="120" fillId="0" borderId="0" xfId="35689" applyFont="1"/>
    <xf numFmtId="164" fontId="14" fillId="0" borderId="0" xfId="382" applyNumberFormat="1" applyFont="1" applyFill="1" applyAlignment="1">
      <alignment horizontal="center"/>
    </xf>
    <xf numFmtId="0" fontId="121" fillId="0" borderId="0" xfId="35689" applyFont="1"/>
    <xf numFmtId="0" fontId="38" fillId="0" borderId="0" xfId="0" applyFont="1" applyFill="1" applyAlignment="1">
      <alignment horizontal="center"/>
    </xf>
    <xf numFmtId="0" fontId="38" fillId="0" borderId="0" xfId="0" applyFont="1" applyAlignment="1">
      <alignment horizontal="center"/>
    </xf>
    <xf numFmtId="0" fontId="39" fillId="0" borderId="0" xfId="0" applyFont="1" applyAlignment="1">
      <alignment horizontal="center"/>
    </xf>
    <xf numFmtId="0" fontId="38" fillId="0" borderId="0" xfId="0" applyFont="1" applyFill="1" applyAlignment="1">
      <alignment horizontal="left"/>
    </xf>
    <xf numFmtId="0" fontId="58" fillId="0" borderId="0" xfId="0" applyFont="1" applyFill="1" applyAlignment="1">
      <alignment horizontal="center"/>
    </xf>
    <xf numFmtId="0" fontId="38" fillId="0" borderId="0" xfId="484" applyFont="1" applyFill="1" applyAlignment="1">
      <alignment horizontal="center" vertical="top"/>
    </xf>
    <xf numFmtId="0" fontId="13" fillId="0" borderId="0" xfId="11271" applyFont="1" applyFill="1"/>
    <xf numFmtId="0" fontId="13" fillId="0" borderId="0" xfId="11271" applyFont="1" applyFill="1" applyAlignment="1">
      <alignment horizontal="left"/>
    </xf>
    <xf numFmtId="0" fontId="13" fillId="0" borderId="0" xfId="11271" applyFont="1"/>
    <xf numFmtId="2" fontId="13" fillId="0" borderId="0" xfId="11271" applyNumberFormat="1" applyFont="1" applyFill="1" applyAlignment="1">
      <alignment horizontal="left"/>
    </xf>
    <xf numFmtId="49" fontId="13" fillId="0" borderId="0" xfId="11271" applyNumberFormat="1" applyFont="1" applyFill="1"/>
    <xf numFmtId="0" fontId="13" fillId="0" borderId="0" xfId="11271" applyFont="1" applyBorder="1"/>
    <xf numFmtId="164" fontId="13" fillId="0" borderId="0" xfId="382" applyNumberFormat="1" applyFont="1" applyFill="1" applyBorder="1"/>
    <xf numFmtId="164" fontId="13" fillId="0" borderId="0" xfId="382" applyNumberFormat="1" applyFont="1" applyBorder="1"/>
    <xf numFmtId="49" fontId="13" fillId="0" borderId="0" xfId="11271" applyNumberFormat="1" applyFont="1" applyBorder="1"/>
    <xf numFmtId="0" fontId="13" fillId="0" borderId="0" xfId="11271" quotePrefix="1" applyFont="1" applyFill="1" applyAlignment="1">
      <alignment horizontal="center"/>
    </xf>
    <xf numFmtId="43" fontId="13" fillId="0" borderId="0" xfId="382" applyFont="1"/>
    <xf numFmtId="167" fontId="13" fillId="0" borderId="0" xfId="11271" applyNumberFormat="1" applyFont="1"/>
    <xf numFmtId="164" fontId="13" fillId="0" borderId="0" xfId="382" applyNumberFormat="1" applyFont="1" applyFill="1"/>
    <xf numFmtId="164" fontId="13" fillId="0" borderId="0" xfId="11271" applyNumberFormat="1" applyFont="1" applyFill="1"/>
    <xf numFmtId="0" fontId="13" fillId="0" borderId="0" xfId="11271" quotePrefix="1" applyFont="1" applyFill="1" applyAlignment="1">
      <alignment horizontal="center" vertical="top"/>
    </xf>
    <xf numFmtId="0" fontId="13" fillId="0" borderId="0" xfId="11271" applyFont="1" applyFill="1" applyAlignment="1">
      <alignment horizontal="center"/>
    </xf>
    <xf numFmtId="0" fontId="13" fillId="0" borderId="0" xfId="11271" applyFont="1" applyAlignment="1">
      <alignment horizontal="center"/>
    </xf>
    <xf numFmtId="0" fontId="13" fillId="0" borderId="0" xfId="496" applyFont="1" applyAlignment="1">
      <alignment horizontal="left" vertical="top"/>
    </xf>
    <xf numFmtId="164" fontId="13" fillId="0" borderId="0" xfId="382" applyNumberFormat="1" applyFont="1" applyAlignment="1">
      <alignment horizontal="left" vertical="top"/>
    </xf>
    <xf numFmtId="164" fontId="13" fillId="0" borderId="0" xfId="382" applyNumberFormat="1" applyFont="1"/>
    <xf numFmtId="0" fontId="13" fillId="0" borderId="0" xfId="496" applyFont="1" applyAlignment="1">
      <alignment horizontal="center"/>
    </xf>
    <xf numFmtId="0" fontId="13" fillId="0" borderId="0" xfId="496" applyFont="1"/>
    <xf numFmtId="164" fontId="13" fillId="0" borderId="18" xfId="11645" applyNumberFormat="1" applyFont="1" applyFill="1" applyBorder="1"/>
    <xf numFmtId="0" fontId="13" fillId="0" borderId="0" xfId="35157" applyFont="1" applyFill="1" applyBorder="1"/>
    <xf numFmtId="0" fontId="58" fillId="0" borderId="0" xfId="11275" applyFont="1" applyFill="1" applyBorder="1" applyAlignment="1">
      <alignment horizontal="left"/>
    </xf>
    <xf numFmtId="43" fontId="126" fillId="0" borderId="0" xfId="382" applyFont="1" applyFill="1" applyAlignment="1">
      <alignment horizontal="center"/>
    </xf>
    <xf numFmtId="0" fontId="38" fillId="0" borderId="0" xfId="484" applyFont="1" applyFill="1" applyAlignment="1">
      <alignment horizontal="center" vertical="top"/>
    </xf>
    <xf numFmtId="0" fontId="142" fillId="0" borderId="0" xfId="35688" applyFont="1" applyFill="1"/>
    <xf numFmtId="0" fontId="58" fillId="0" borderId="0" xfId="35688" applyFont="1" applyAlignment="1">
      <alignment horizontal="center"/>
    </xf>
    <xf numFmtId="1" fontId="58" fillId="0" borderId="0" xfId="35688" applyNumberFormat="1" applyFont="1" applyFill="1" applyAlignment="1">
      <alignment horizontal="left"/>
    </xf>
    <xf numFmtId="2" fontId="58" fillId="0" borderId="0" xfId="35688" applyNumberFormat="1" applyFont="1" applyFill="1" applyAlignment="1">
      <alignment horizontal="left"/>
    </xf>
    <xf numFmtId="164" fontId="0" fillId="0" borderId="0" xfId="382" applyNumberFormat="1" applyFont="1" applyAlignment="1">
      <alignment horizontal="left"/>
    </xf>
    <xf numFmtId="164" fontId="0" fillId="0" borderId="0" xfId="382" applyNumberFormat="1" applyFont="1"/>
    <xf numFmtId="0" fontId="12" fillId="0" borderId="0" xfId="0" applyFont="1" applyFill="1"/>
    <xf numFmtId="164" fontId="12" fillId="0" borderId="0" xfId="11622" applyNumberFormat="1" applyFont="1" applyFill="1"/>
    <xf numFmtId="0" fontId="58" fillId="0" borderId="0" xfId="35688" applyFont="1"/>
    <xf numFmtId="0" fontId="12" fillId="0" borderId="0" xfId="0" applyFont="1" applyFill="1" applyAlignment="1">
      <alignment horizontal="left" indent="1"/>
    </xf>
    <xf numFmtId="164" fontId="12" fillId="0" borderId="0" xfId="382" applyNumberFormat="1" applyFont="1" applyFill="1"/>
    <xf numFmtId="0" fontId="12" fillId="0" borderId="0" xfId="0" applyFont="1" applyFill="1" applyAlignment="1">
      <alignment horizontal="left"/>
    </xf>
    <xf numFmtId="0" fontId="58" fillId="0" borderId="0" xfId="35688" applyFont="1" applyFill="1"/>
    <xf numFmtId="0" fontId="12" fillId="0" borderId="0" xfId="0" applyFont="1"/>
    <xf numFmtId="164" fontId="12" fillId="0" borderId="0" xfId="0" applyNumberFormat="1" applyFont="1" applyFill="1"/>
    <xf numFmtId="164" fontId="12" fillId="0" borderId="0" xfId="0" applyNumberFormat="1" applyFont="1" applyFill="1" applyBorder="1"/>
    <xf numFmtId="164" fontId="12" fillId="0" borderId="17" xfId="0" applyNumberFormat="1" applyFont="1" applyFill="1" applyBorder="1"/>
    <xf numFmtId="0" fontId="58" fillId="0" borderId="0" xfId="35688" applyFont="1" applyFill="1" applyAlignment="1">
      <alignment horizontal="left"/>
    </xf>
    <xf numFmtId="43" fontId="12" fillId="0" borderId="0" xfId="11622" applyFont="1" applyFill="1"/>
    <xf numFmtId="41" fontId="38" fillId="0" borderId="0" xfId="484" applyNumberFormat="1" applyFont="1" applyAlignment="1">
      <alignment vertical="top"/>
    </xf>
    <xf numFmtId="43" fontId="58" fillId="0" borderId="0" xfId="11622" applyFont="1"/>
    <xf numFmtId="164" fontId="38" fillId="37" borderId="18" xfId="382" applyNumberFormat="1" applyFont="1" applyFill="1" applyBorder="1" applyAlignment="1"/>
    <xf numFmtId="187" fontId="38" fillId="0" borderId="0" xfId="0" applyNumberFormat="1" applyFont="1" applyFill="1" applyBorder="1" applyAlignment="1">
      <alignment horizontal="left" vertical="top"/>
    </xf>
    <xf numFmtId="164" fontId="20" fillId="0" borderId="18" xfId="11271" applyNumberFormat="1" applyFont="1" applyBorder="1"/>
    <xf numFmtId="0" fontId="38" fillId="37" borderId="18" xfId="0" applyFont="1" applyFill="1" applyBorder="1"/>
    <xf numFmtId="0" fontId="38" fillId="0" borderId="0" xfId="35688" applyFont="1" applyFill="1" applyAlignment="1">
      <alignment horizontal="left"/>
    </xf>
    <xf numFmtId="169" fontId="38" fillId="0" borderId="0" xfId="512" applyFont="1" applyFill="1" applyAlignment="1">
      <alignment horizontal="left"/>
    </xf>
    <xf numFmtId="169" fontId="38" fillId="0" borderId="0" xfId="512" quotePrefix="1" applyFont="1" applyFill="1" applyAlignment="1">
      <alignment horizontal="left"/>
    </xf>
    <xf numFmtId="0" fontId="11" fillId="0" borderId="0" xfId="0" applyFont="1" applyFill="1" applyAlignment="1">
      <alignment horizontal="left" indent="1"/>
    </xf>
    <xf numFmtId="0" fontId="11" fillId="0" borderId="0" xfId="0" applyFont="1" applyFill="1" applyAlignment="1">
      <alignment horizontal="left"/>
    </xf>
    <xf numFmtId="0" fontId="38" fillId="0" borderId="0" xfId="0" applyFont="1" applyFill="1" applyAlignment="1">
      <alignment horizontal="left"/>
    </xf>
    <xf numFmtId="164" fontId="147" fillId="0" borderId="0" xfId="382" applyNumberFormat="1" applyFont="1" applyFill="1" applyAlignment="1"/>
    <xf numFmtId="164" fontId="107" fillId="0" borderId="17" xfId="382" applyNumberFormat="1" applyFont="1" applyFill="1" applyBorder="1" applyAlignment="1" applyProtection="1">
      <alignment horizontal="right"/>
      <protection locked="0"/>
    </xf>
    <xf numFmtId="2" fontId="38" fillId="37" borderId="0" xfId="0" applyNumberFormat="1" applyFont="1" applyFill="1" applyAlignment="1">
      <alignment horizontal="left"/>
    </xf>
    <xf numFmtId="0" fontId="38" fillId="0" borderId="0" xfId="504" applyFont="1" applyFill="1" applyBorder="1" applyAlignment="1">
      <alignment horizontal="left"/>
    </xf>
    <xf numFmtId="0" fontId="38" fillId="0" borderId="0" xfId="0" applyFont="1" applyFill="1" applyBorder="1" applyAlignment="1">
      <alignment horizontal="left" wrapText="1"/>
    </xf>
    <xf numFmtId="0" fontId="58" fillId="0" borderId="0" xfId="0" applyFont="1" applyFill="1" applyAlignment="1">
      <alignment horizontal="center"/>
    </xf>
    <xf numFmtId="0" fontId="38" fillId="0" borderId="0" xfId="484" applyFont="1" applyFill="1" applyAlignment="1">
      <alignment horizontal="center" vertical="top"/>
    </xf>
    <xf numFmtId="0" fontId="58" fillId="0" borderId="45" xfId="569" applyFont="1" applyBorder="1" applyAlignment="1">
      <alignment horizontal="center"/>
    </xf>
    <xf numFmtId="0" fontId="58" fillId="0" borderId="18" xfId="569" applyFont="1" applyBorder="1" applyAlignment="1">
      <alignment horizontal="center"/>
    </xf>
    <xf numFmtId="0" fontId="38" fillId="0" borderId="0" xfId="484" quotePrefix="1" applyFont="1" applyFill="1" applyAlignment="1">
      <alignment horizontal="left" vertical="top" indent="1"/>
    </xf>
    <xf numFmtId="0" fontId="38" fillId="0" borderId="0" xfId="484" quotePrefix="1" applyFont="1" applyFill="1" applyAlignment="1">
      <alignment horizontal="left" vertical="top" indent="2"/>
    </xf>
    <xf numFmtId="0" fontId="38" fillId="0" borderId="0" xfId="484" applyFont="1" applyFill="1" applyAlignment="1">
      <alignment horizontal="left" vertical="top" indent="1"/>
    </xf>
    <xf numFmtId="0" fontId="38" fillId="0" borderId="0" xfId="0" applyNumberFormat="1" applyFont="1" applyFill="1" applyBorder="1" applyAlignment="1">
      <alignment horizontal="left" indent="1"/>
    </xf>
    <xf numFmtId="164" fontId="38" fillId="0" borderId="0" xfId="382" quotePrefix="1" applyNumberFormat="1" applyFont="1" applyFill="1" applyAlignment="1"/>
    <xf numFmtId="164" fontId="38" fillId="0" borderId="0" xfId="382" applyNumberFormat="1" applyFont="1" applyAlignment="1">
      <alignment horizontal="center"/>
    </xf>
    <xf numFmtId="164" fontId="38" fillId="0" borderId="18" xfId="382" applyNumberFormat="1" applyFont="1" applyBorder="1" applyAlignment="1">
      <alignment horizontal="center" wrapText="1"/>
    </xf>
    <xf numFmtId="0" fontId="38" fillId="37" borderId="0" xfId="504" applyFont="1" applyFill="1" applyBorder="1"/>
    <xf numFmtId="0" fontId="38" fillId="37" borderId="0" xfId="504" applyFont="1" applyFill="1" applyAlignment="1">
      <alignment horizontal="left"/>
    </xf>
    <xf numFmtId="0" fontId="38" fillId="37" borderId="0" xfId="0" applyFont="1" applyFill="1" applyAlignment="1">
      <alignment horizontal="left" indent="1"/>
    </xf>
    <xf numFmtId="187" fontId="38" fillId="37" borderId="0" xfId="510" applyNumberFormat="1" applyFont="1" applyFill="1" applyBorder="1" applyAlignment="1">
      <alignment horizontal="left" vertical="center"/>
    </xf>
    <xf numFmtId="0" fontId="38" fillId="37" borderId="0" xfId="504" applyFont="1" applyFill="1"/>
    <xf numFmtId="0" fontId="38" fillId="37" borderId="18" xfId="504" applyFont="1" applyFill="1" applyBorder="1"/>
    <xf numFmtId="43" fontId="38" fillId="0" borderId="0" xfId="382" applyFont="1" applyFill="1" applyBorder="1" applyAlignment="1">
      <alignment horizontal="left" indent="1"/>
    </xf>
    <xf numFmtId="164" fontId="38" fillId="37" borderId="0" xfId="382" applyNumberFormat="1" applyFont="1" applyFill="1" applyBorder="1" applyAlignment="1"/>
    <xf numFmtId="164" fontId="13" fillId="37" borderId="0" xfId="11271" applyNumberFormat="1" applyFont="1" applyFill="1"/>
    <xf numFmtId="49" fontId="13" fillId="37" borderId="0" xfId="11271" applyNumberFormat="1" applyFont="1" applyFill="1"/>
    <xf numFmtId="0" fontId="13" fillId="37" borderId="0" xfId="11271" applyFont="1" applyFill="1"/>
    <xf numFmtId="164" fontId="13" fillId="37" borderId="0" xfId="382" applyNumberFormat="1" applyFont="1" applyFill="1"/>
    <xf numFmtId="49" fontId="13" fillId="37" borderId="18" xfId="11271" applyNumberFormat="1" applyFont="1" applyFill="1" applyBorder="1"/>
    <xf numFmtId="164" fontId="13" fillId="37" borderId="18" xfId="11271" applyNumberFormat="1" applyFont="1" applyFill="1" applyBorder="1"/>
    <xf numFmtId="43" fontId="13" fillId="37" borderId="18" xfId="382" applyFont="1" applyFill="1" applyBorder="1"/>
    <xf numFmtId="198" fontId="58" fillId="37" borderId="18" xfId="382" applyNumberFormat="1" applyFont="1" applyFill="1" applyBorder="1"/>
    <xf numFmtId="164" fontId="13" fillId="37" borderId="18" xfId="382" applyNumberFormat="1" applyFont="1" applyFill="1" applyBorder="1"/>
    <xf numFmtId="2" fontId="20" fillId="37" borderId="0" xfId="11271" applyNumberFormat="1" applyFont="1" applyFill="1" applyAlignment="1">
      <alignment horizontal="left"/>
    </xf>
    <xf numFmtId="0" fontId="38" fillId="37" borderId="0" xfId="484" applyFont="1" applyFill="1" applyAlignment="1">
      <alignment horizontal="left" vertical="top" indent="2"/>
    </xf>
    <xf numFmtId="0" fontId="38" fillId="37" borderId="18" xfId="484" applyFont="1" applyFill="1" applyBorder="1" applyAlignment="1">
      <alignment horizontal="left" vertical="top" indent="2"/>
    </xf>
    <xf numFmtId="187" fontId="0" fillId="37" borderId="0" xfId="0" applyNumberFormat="1" applyFill="1" applyAlignment="1">
      <alignment horizontal="left"/>
    </xf>
    <xf numFmtId="164" fontId="58" fillId="37" borderId="0" xfId="382" applyNumberFormat="1" applyFont="1" applyFill="1" applyBorder="1" applyAlignment="1">
      <alignment horizontal="center"/>
    </xf>
    <xf numFmtId="164" fontId="58" fillId="37" borderId="18" xfId="382" applyNumberFormat="1" applyFont="1" applyFill="1" applyBorder="1" applyAlignment="1">
      <alignment horizontal="center"/>
    </xf>
    <xf numFmtId="2" fontId="38" fillId="37" borderId="0" xfId="512" applyNumberFormat="1" applyFont="1" applyFill="1" applyAlignment="1">
      <alignment horizontal="left"/>
    </xf>
    <xf numFmtId="169" fontId="38" fillId="37" borderId="0" xfId="512" applyFont="1" applyFill="1" applyAlignment="1">
      <alignment horizontal="left"/>
    </xf>
    <xf numFmtId="164" fontId="0" fillId="37" borderId="0" xfId="0" applyNumberFormat="1" applyFill="1"/>
    <xf numFmtId="164" fontId="14" fillId="37" borderId="0" xfId="382" applyNumberFormat="1" applyFont="1" applyFill="1" applyAlignment="1">
      <alignment horizontal="center"/>
    </xf>
    <xf numFmtId="169" fontId="38" fillId="37" borderId="0" xfId="512" applyFont="1" applyFill="1" applyAlignment="1">
      <alignment horizontal="left" indent="1"/>
    </xf>
    <xf numFmtId="164" fontId="14" fillId="37" borderId="18" xfId="382" quotePrefix="1" applyNumberFormat="1" applyFont="1" applyFill="1" applyBorder="1"/>
    <xf numFmtId="164" fontId="126" fillId="37" borderId="18" xfId="382" applyNumberFormat="1" applyFont="1" applyFill="1" applyBorder="1" applyAlignment="1">
      <alignment horizontal="center"/>
    </xf>
    <xf numFmtId="0" fontId="38" fillId="37" borderId="0" xfId="35688" applyFont="1" applyFill="1" applyAlignment="1">
      <alignment horizontal="left" indent="1"/>
    </xf>
    <xf numFmtId="164" fontId="58" fillId="37" borderId="0" xfId="382" applyNumberFormat="1" applyFont="1" applyFill="1" applyBorder="1" applyAlignment="1">
      <alignment horizontal="left"/>
    </xf>
    <xf numFmtId="164" fontId="58" fillId="37" borderId="18" xfId="382" applyNumberFormat="1" applyFont="1" applyFill="1" applyBorder="1" applyAlignment="1">
      <alignment horizontal="left"/>
    </xf>
    <xf numFmtId="0" fontId="58" fillId="37" borderId="0" xfId="11275" applyFont="1" applyFill="1" applyBorder="1" applyAlignment="1">
      <alignment horizontal="left"/>
    </xf>
    <xf numFmtId="164" fontId="58" fillId="37" borderId="35" xfId="382" applyNumberFormat="1" applyFont="1" applyFill="1" applyBorder="1" applyAlignment="1">
      <alignment horizontal="left"/>
    </xf>
    <xf numFmtId="0" fontId="58" fillId="37" borderId="18" xfId="11275" applyFont="1" applyFill="1" applyBorder="1" applyAlignment="1">
      <alignment horizontal="left"/>
    </xf>
    <xf numFmtId="164" fontId="58" fillId="37" borderId="37" xfId="382" applyNumberFormat="1" applyFont="1" applyFill="1" applyBorder="1" applyAlignment="1">
      <alignment horizontal="left"/>
    </xf>
    <xf numFmtId="43" fontId="11" fillId="0" borderId="18" xfId="382" applyFont="1" applyFill="1" applyBorder="1" applyAlignment="1">
      <alignment horizontal="center" wrapText="1"/>
    </xf>
    <xf numFmtId="0" fontId="58" fillId="0" borderId="18" xfId="511" applyFont="1" applyFill="1" applyBorder="1" applyAlignment="1">
      <alignment horizontal="center" wrapText="1"/>
    </xf>
    <xf numFmtId="164" fontId="20" fillId="37" borderId="0" xfId="382" applyNumberFormat="1" applyFont="1" applyFill="1"/>
    <xf numFmtId="2" fontId="58" fillId="37" borderId="0" xfId="511" applyNumberFormat="1" applyFont="1" applyFill="1" applyAlignment="1">
      <alignment horizontal="left"/>
    </xf>
    <xf numFmtId="164" fontId="58" fillId="37" borderId="0" xfId="382" applyNumberFormat="1" applyFont="1" applyFill="1"/>
    <xf numFmtId="0" fontId="12" fillId="0" borderId="0" xfId="0" applyFont="1" applyFill="1" applyAlignment="1">
      <alignment horizontal="center"/>
    </xf>
    <xf numFmtId="43" fontId="12" fillId="0" borderId="0" xfId="11622" applyFont="1" applyFill="1" applyAlignment="1">
      <alignment horizontal="center"/>
    </xf>
    <xf numFmtId="43" fontId="16" fillId="0" borderId="0" xfId="423" applyFont="1" applyFill="1" applyAlignment="1">
      <alignment horizontal="center"/>
    </xf>
    <xf numFmtId="41" fontId="38" fillId="37" borderId="0" xfId="484" applyNumberFormat="1" applyFont="1" applyFill="1" applyBorder="1" applyAlignment="1">
      <alignment vertical="top"/>
    </xf>
    <xf numFmtId="0" fontId="14" fillId="37" borderId="0" xfId="11271" applyFont="1" applyFill="1" applyAlignment="1">
      <alignment horizontal="left"/>
    </xf>
    <xf numFmtId="164" fontId="14" fillId="37" borderId="0" xfId="11271" applyNumberFormat="1" applyFont="1" applyFill="1"/>
    <xf numFmtId="164" fontId="14" fillId="37" borderId="18" xfId="11271" applyNumberFormat="1" applyFont="1" applyFill="1" applyBorder="1"/>
    <xf numFmtId="187" fontId="38" fillId="37" borderId="0" xfId="0" applyNumberFormat="1" applyFont="1" applyFill="1" applyBorder="1" applyAlignment="1">
      <alignment horizontal="left" vertical="top"/>
    </xf>
    <xf numFmtId="164" fontId="38" fillId="37" borderId="0" xfId="13644" applyNumberFormat="1" applyFont="1" applyFill="1"/>
    <xf numFmtId="164" fontId="118" fillId="37" borderId="18" xfId="13644" applyNumberFormat="1" applyFont="1" applyFill="1" applyBorder="1"/>
    <xf numFmtId="0" fontId="38" fillId="37" borderId="0" xfId="0" applyFont="1" applyFill="1" applyBorder="1" applyAlignment="1">
      <alignment horizontal="left" vertical="top"/>
    </xf>
    <xf numFmtId="0" fontId="13" fillId="37" borderId="0" xfId="35157" applyFont="1" applyFill="1" applyBorder="1"/>
    <xf numFmtId="164" fontId="13" fillId="37" borderId="0" xfId="382" applyNumberFormat="1" applyFont="1" applyFill="1" applyBorder="1"/>
    <xf numFmtId="2" fontId="38" fillId="37" borderId="0" xfId="0" applyNumberFormat="1" applyFont="1" applyFill="1" applyAlignment="1">
      <alignment horizontal="center"/>
    </xf>
    <xf numFmtId="164" fontId="38" fillId="37" borderId="0" xfId="382" applyNumberFormat="1" applyFont="1" applyFill="1" applyBorder="1" applyProtection="1">
      <protection locked="0"/>
    </xf>
    <xf numFmtId="164" fontId="39" fillId="37" borderId="0" xfId="382" applyNumberFormat="1" applyFont="1" applyFill="1" applyBorder="1" applyProtection="1">
      <protection locked="0"/>
    </xf>
    <xf numFmtId="2" fontId="13" fillId="37" borderId="0" xfId="11271" applyNumberFormat="1" applyFont="1" applyFill="1" applyAlignment="1">
      <alignment horizontal="left"/>
    </xf>
    <xf numFmtId="43" fontId="107" fillId="37" borderId="0" xfId="382" applyFont="1" applyFill="1" applyProtection="1">
      <protection locked="0"/>
    </xf>
    <xf numFmtId="0" fontId="38" fillId="0" borderId="0" xfId="0" applyFont="1" applyFill="1" applyAlignment="1">
      <alignment horizontal="center"/>
    </xf>
    <xf numFmtId="0" fontId="38" fillId="0" borderId="0" xfId="0" applyFont="1" applyFill="1" applyAlignment="1">
      <alignment horizontal="left"/>
    </xf>
    <xf numFmtId="164" fontId="42" fillId="0" borderId="11" xfId="382" applyNumberFormat="1" applyFont="1" applyFill="1" applyBorder="1" applyAlignment="1"/>
    <xf numFmtId="164" fontId="42" fillId="0" borderId="64" xfId="382" applyNumberFormat="1" applyFont="1" applyFill="1" applyBorder="1" applyAlignment="1"/>
    <xf numFmtId="0" fontId="42" fillId="0" borderId="6" xfId="0" applyNumberFormat="1" applyFont="1" applyFill="1" applyBorder="1" applyAlignment="1">
      <alignment horizontal="center"/>
    </xf>
    <xf numFmtId="0" fontId="42" fillId="0" borderId="6" xfId="0" applyFont="1" applyFill="1" applyBorder="1"/>
    <xf numFmtId="0" fontId="42" fillId="0" borderId="6" xfId="0" applyFont="1" applyFill="1" applyBorder="1" applyAlignment="1">
      <alignment horizontal="center"/>
    </xf>
    <xf numFmtId="171" fontId="40" fillId="0" borderId="27" xfId="674" applyNumberFormat="1" applyFont="1" applyFill="1" applyBorder="1" applyAlignment="1"/>
    <xf numFmtId="0" fontId="42" fillId="0" borderId="37" xfId="0" applyNumberFormat="1" applyFont="1" applyFill="1" applyBorder="1" applyAlignment="1"/>
    <xf numFmtId="3" fontId="46" fillId="0" borderId="26" xfId="0" applyNumberFormat="1" applyFont="1" applyFill="1" applyBorder="1" applyAlignment="1">
      <alignment horizontal="right"/>
    </xf>
    <xf numFmtId="3" fontId="46" fillId="0" borderId="59" xfId="0" applyNumberFormat="1" applyFont="1" applyFill="1" applyBorder="1" applyAlignment="1">
      <alignment horizontal="right"/>
    </xf>
    <xf numFmtId="10" fontId="42" fillId="0" borderId="30" xfId="674" applyNumberFormat="1" applyFont="1" applyFill="1" applyBorder="1"/>
    <xf numFmtId="39" fontId="40" fillId="0" borderId="59" xfId="0" applyNumberFormat="1" applyFont="1" applyFill="1" applyBorder="1" applyAlignment="1">
      <alignment horizontal="right"/>
    </xf>
    <xf numFmtId="1" fontId="42" fillId="0" borderId="22" xfId="0" applyNumberFormat="1" applyFont="1" applyFill="1" applyBorder="1" applyAlignment="1">
      <alignment horizontal="center"/>
    </xf>
    <xf numFmtId="194" fontId="107" fillId="0" borderId="0" xfId="37695" applyNumberFormat="1" applyFont="1" applyFill="1" applyAlignment="1">
      <alignment horizontal="right"/>
    </xf>
    <xf numFmtId="10" fontId="107" fillId="0" borderId="0" xfId="382" applyNumberFormat="1" applyFont="1" applyFill="1" applyAlignment="1"/>
    <xf numFmtId="17" fontId="38" fillId="0" borderId="0" xfId="517" applyNumberFormat="1" applyFont="1" applyFill="1" applyBorder="1"/>
    <xf numFmtId="164" fontId="38" fillId="0" borderId="0" xfId="382" applyNumberFormat="1" applyFont="1" applyFill="1" applyBorder="1" applyAlignment="1">
      <alignment horizontal="right"/>
    </xf>
    <xf numFmtId="43" fontId="10" fillId="0" borderId="0" xfId="382" applyFont="1" applyFill="1"/>
    <xf numFmtId="43" fontId="10" fillId="0" borderId="0" xfId="382" applyFont="1" applyFill="1" applyAlignment="1">
      <alignment horizontal="center"/>
    </xf>
    <xf numFmtId="0" fontId="38" fillId="0" borderId="0" xfId="35689" applyFont="1"/>
    <xf numFmtId="0" fontId="87" fillId="0" borderId="0" xfId="0" applyFont="1" applyFill="1" applyAlignment="1">
      <alignment horizontal="right"/>
    </xf>
    <xf numFmtId="37" fontId="87" fillId="0" borderId="0" xfId="0" applyNumberFormat="1" applyFont="1" applyFill="1" applyAlignment="1">
      <alignment horizontal="right"/>
    </xf>
    <xf numFmtId="164" fontId="107" fillId="53" borderId="0" xfId="382" applyNumberFormat="1" applyFont="1" applyFill="1" applyAlignment="1"/>
    <xf numFmtId="169" fontId="107" fillId="53" borderId="0" xfId="37694" applyFont="1" applyFill="1" applyAlignment="1"/>
    <xf numFmtId="43" fontId="107" fillId="53" borderId="0" xfId="382" applyNumberFormat="1" applyFont="1" applyFill="1" applyAlignment="1"/>
    <xf numFmtId="164" fontId="129" fillId="53" borderId="0" xfId="382" applyNumberFormat="1" applyFont="1" applyFill="1"/>
    <xf numFmtId="3" fontId="107" fillId="53" borderId="0" xfId="37696" applyNumberFormat="1" applyFont="1" applyFill="1" applyAlignment="1"/>
    <xf numFmtId="168" fontId="107" fillId="53" borderId="0" xfId="37696" applyNumberFormat="1" applyFont="1" applyFill="1" applyAlignment="1">
      <alignment horizontal="center"/>
    </xf>
    <xf numFmtId="171" fontId="107" fillId="53" borderId="0" xfId="674" applyNumberFormat="1" applyFont="1" applyFill="1" applyAlignment="1"/>
    <xf numFmtId="194" fontId="107" fillId="53" borderId="0" xfId="37696" applyNumberFormat="1" applyFont="1" applyFill="1" applyAlignment="1"/>
    <xf numFmtId="168" fontId="107" fillId="53" borderId="0" xfId="37696" applyNumberFormat="1" applyFont="1" applyFill="1" applyAlignment="1">
      <alignment horizontal="right"/>
    </xf>
    <xf numFmtId="10" fontId="107" fillId="53" borderId="0" xfId="674" applyNumberFormat="1" applyFont="1" applyFill="1" applyAlignment="1"/>
    <xf numFmtId="3" fontId="130" fillId="53" borderId="0" xfId="37696" applyNumberFormat="1" applyFont="1" applyFill="1" applyAlignment="1"/>
    <xf numFmtId="164" fontId="130" fillId="53" borderId="0" xfId="382" applyNumberFormat="1" applyFont="1" applyFill="1" applyAlignment="1"/>
    <xf numFmtId="168" fontId="130" fillId="53" borderId="0" xfId="37696" applyNumberFormat="1" applyFont="1" applyFill="1" applyAlignment="1">
      <alignment horizontal="center"/>
    </xf>
    <xf numFmtId="164" fontId="107" fillId="53" borderId="18" xfId="382" applyNumberFormat="1" applyFont="1" applyFill="1" applyBorder="1" applyAlignment="1"/>
    <xf numFmtId="0" fontId="107" fillId="53" borderId="0" xfId="37696" applyNumberFormat="1" applyFont="1" applyFill="1"/>
    <xf numFmtId="164" fontId="107" fillId="53" borderId="40" xfId="382" applyNumberFormat="1" applyFont="1" applyFill="1" applyBorder="1" applyAlignment="1"/>
    <xf numFmtId="0" fontId="94" fillId="53" borderId="0" xfId="37696" applyNumberFormat="1" applyFont="1" applyFill="1" applyAlignment="1" applyProtection="1">
      <alignment horizontal="center"/>
      <protection locked="0"/>
    </xf>
    <xf numFmtId="171" fontId="107" fillId="53" borderId="0" xfId="37696" applyNumberFormat="1" applyFont="1" applyFill="1" applyAlignment="1"/>
    <xf numFmtId="171" fontId="107" fillId="53" borderId="0" xfId="674" applyNumberFormat="1" applyFont="1" applyFill="1" applyAlignment="1">
      <alignment vertical="top"/>
    </xf>
    <xf numFmtId="164" fontId="107" fillId="53" borderId="0" xfId="382" applyNumberFormat="1" applyFont="1" applyFill="1" applyAlignment="1">
      <alignment vertical="top"/>
    </xf>
    <xf numFmtId="171" fontId="107" fillId="53" borderId="0" xfId="37696" applyNumberFormat="1" applyFont="1" applyFill="1" applyAlignment="1">
      <alignment vertical="top"/>
    </xf>
    <xf numFmtId="164" fontId="131" fillId="53" borderId="0" xfId="382" applyNumberFormat="1" applyFont="1" applyFill="1" applyAlignment="1"/>
    <xf numFmtId="169" fontId="94" fillId="53" borderId="0" xfId="37694" applyFont="1" applyFill="1" applyAlignment="1"/>
    <xf numFmtId="169" fontId="107" fillId="53" borderId="0" xfId="37696" applyFont="1" applyFill="1" applyAlignment="1"/>
    <xf numFmtId="164" fontId="107" fillId="53" borderId="17" xfId="382" applyNumberFormat="1" applyFont="1" applyFill="1" applyBorder="1" applyAlignment="1"/>
    <xf numFmtId="0" fontId="107" fillId="53" borderId="0" xfId="37694" applyNumberFormat="1" applyFont="1" applyFill="1" applyAlignment="1">
      <alignment vertical="top"/>
    </xf>
    <xf numFmtId="169" fontId="107" fillId="53" borderId="0" xfId="37694" applyFont="1" applyFill="1" applyAlignment="1">
      <alignment vertical="top"/>
    </xf>
    <xf numFmtId="0" fontId="38" fillId="0" borderId="0" xfId="474" applyFont="1" applyFill="1" applyAlignment="1">
      <alignment horizontal="left" vertical="top" wrapText="1"/>
    </xf>
    <xf numFmtId="0" fontId="58" fillId="0" borderId="0" xfId="569" applyFont="1" applyFill="1" applyAlignment="1">
      <alignment horizontal="left" vertical="top" wrapText="1"/>
    </xf>
    <xf numFmtId="0" fontId="58" fillId="0" borderId="0" xfId="11275" quotePrefix="1" applyFont="1" applyFill="1" applyAlignment="1">
      <alignment horizontal="left"/>
    </xf>
    <xf numFmtId="0" fontId="58" fillId="0" borderId="0" xfId="11275" applyFont="1" applyFill="1" applyAlignment="1">
      <alignment horizontal="left" vertical="top" wrapText="1"/>
    </xf>
    <xf numFmtId="0" fontId="38" fillId="0" borderId="0" xfId="504" quotePrefix="1" applyFont="1" applyFill="1" applyAlignment="1">
      <alignment horizontal="left"/>
    </xf>
    <xf numFmtId="164" fontId="38" fillId="0" borderId="0" xfId="382" applyNumberFormat="1" applyFont="1" applyFill="1" applyBorder="1" applyAlignment="1">
      <alignment horizontal="center"/>
    </xf>
    <xf numFmtId="0" fontId="38" fillId="0" borderId="0" xfId="0" quotePrefix="1" applyFont="1" applyFill="1" applyBorder="1" applyAlignment="1">
      <alignment horizontal="center" vertical="top"/>
    </xf>
    <xf numFmtId="0" fontId="9" fillId="0" borderId="0" xfId="11271" applyFont="1" applyFill="1"/>
    <xf numFmtId="49" fontId="9" fillId="0" borderId="0" xfId="11271" applyNumberFormat="1" applyFont="1" applyFill="1"/>
    <xf numFmtId="164" fontId="9" fillId="0" borderId="0" xfId="382" applyNumberFormat="1" applyFont="1" applyFill="1"/>
    <xf numFmtId="164" fontId="9" fillId="0" borderId="0" xfId="11271" applyNumberFormat="1" applyFont="1" applyFill="1"/>
    <xf numFmtId="0" fontId="9" fillId="0" borderId="0" xfId="11271" applyFont="1"/>
    <xf numFmtId="10" fontId="42" fillId="0" borderId="60" xfId="674" applyNumberFormat="1" applyFont="1" applyFill="1" applyBorder="1"/>
    <xf numFmtId="0" fontId="58" fillId="0" borderId="0" xfId="569" applyFont="1" applyFill="1" applyAlignment="1"/>
    <xf numFmtId="0" fontId="38" fillId="0" borderId="0" xfId="474" applyFont="1" applyAlignment="1"/>
    <xf numFmtId="0" fontId="22" fillId="0" borderId="0" xfId="496" applyFont="1" applyAlignment="1"/>
    <xf numFmtId="0" fontId="39" fillId="0" borderId="0" xfId="0" applyFont="1" applyAlignment="1">
      <alignment horizontal="center" vertical="top"/>
    </xf>
    <xf numFmtId="197" fontId="39" fillId="0" borderId="0" xfId="434" applyNumberFormat="1" applyFont="1" applyFill="1" applyAlignment="1">
      <alignment horizontal="center" vertical="top"/>
    </xf>
    <xf numFmtId="0" fontId="121" fillId="0" borderId="0" xfId="0" applyFont="1" applyAlignment="1">
      <alignment vertical="top"/>
    </xf>
    <xf numFmtId="43" fontId="119" fillId="0" borderId="0" xfId="382" applyFont="1" applyFill="1" applyAlignment="1">
      <alignment horizontal="center" vertical="top"/>
    </xf>
    <xf numFmtId="0" fontId="39" fillId="0" borderId="0" xfId="0" applyFont="1" applyFill="1" applyAlignment="1">
      <alignment horizontal="center" vertical="top"/>
    </xf>
    <xf numFmtId="164" fontId="38" fillId="0" borderId="35" xfId="382" applyNumberFormat="1" applyFont="1" applyFill="1" applyBorder="1" applyAlignment="1">
      <alignment vertical="top"/>
    </xf>
    <xf numFmtId="164" fontId="118" fillId="0" borderId="0" xfId="382" applyNumberFormat="1" applyFont="1" applyFill="1" applyAlignment="1">
      <alignment vertical="top"/>
    </xf>
    <xf numFmtId="164" fontId="118" fillId="0" borderId="35" xfId="382" applyNumberFormat="1" applyFont="1" applyFill="1" applyBorder="1" applyAlignment="1">
      <alignment vertical="top"/>
    </xf>
    <xf numFmtId="37" fontId="38" fillId="0" borderId="0" xfId="0" applyNumberFormat="1" applyFont="1" applyFill="1" applyAlignment="1">
      <alignment vertical="top"/>
    </xf>
    <xf numFmtId="37" fontId="38" fillId="0" borderId="35" xfId="0" applyNumberFormat="1" applyFont="1" applyFill="1" applyBorder="1" applyAlignment="1">
      <alignment vertical="top"/>
    </xf>
    <xf numFmtId="37" fontId="38" fillId="0" borderId="0" xfId="0" applyNumberFormat="1" applyFont="1" applyFill="1" applyBorder="1" applyAlignment="1">
      <alignment vertical="top"/>
    </xf>
    <xf numFmtId="0" fontId="38" fillId="0" borderId="35" xfId="0" applyFont="1" applyBorder="1" applyAlignment="1">
      <alignment vertical="top"/>
    </xf>
    <xf numFmtId="0" fontId="56" fillId="0" borderId="35" xfId="0" applyFont="1" applyFill="1" applyBorder="1" applyAlignment="1">
      <alignment vertical="top"/>
    </xf>
    <xf numFmtId="164" fontId="118" fillId="0" borderId="0" xfId="382" applyNumberFormat="1" applyFont="1" applyFill="1" applyBorder="1" applyAlignment="1">
      <alignment vertical="top"/>
    </xf>
    <xf numFmtId="164" fontId="38" fillId="0" borderId="54" xfId="382" applyNumberFormat="1" applyFont="1" applyFill="1" applyBorder="1" applyAlignment="1">
      <alignment vertical="top"/>
    </xf>
    <xf numFmtId="0" fontId="39" fillId="0" borderId="35" xfId="0" applyFont="1" applyFill="1" applyBorder="1" applyAlignment="1">
      <alignment vertical="top"/>
    </xf>
    <xf numFmtId="0" fontId="38" fillId="0" borderId="0" xfId="0" applyFont="1" applyFill="1" applyAlignment="1">
      <alignment horizontal="center"/>
    </xf>
    <xf numFmtId="0" fontId="38" fillId="0" borderId="0" xfId="0" applyFont="1" applyFill="1" applyAlignment="1">
      <alignment horizontal="left"/>
    </xf>
    <xf numFmtId="164" fontId="107" fillId="0" borderId="0" xfId="382" quotePrefix="1" applyNumberFormat="1" applyFont="1" applyFill="1" applyAlignment="1"/>
    <xf numFmtId="0" fontId="151" fillId="0" borderId="0" xfId="0" applyFont="1" applyFill="1" applyAlignment="1">
      <alignment horizontal="left"/>
    </xf>
    <xf numFmtId="164" fontId="8" fillId="0" borderId="0" xfId="382" applyNumberFormat="1" applyFont="1" applyFill="1"/>
    <xf numFmtId="164" fontId="38" fillId="0" borderId="0" xfId="403" applyNumberFormat="1" applyFont="1" applyFill="1"/>
    <xf numFmtId="164" fontId="38" fillId="0" borderId="0" xfId="382" applyNumberFormat="1" applyFont="1" applyFill="1" applyBorder="1" applyAlignment="1">
      <alignment horizontal="left" indent="1"/>
    </xf>
    <xf numFmtId="164" fontId="21" fillId="0" borderId="0" xfId="382" applyNumberFormat="1" applyFont="1" applyFill="1"/>
    <xf numFmtId="164" fontId="38" fillId="0" borderId="0" xfId="382" quotePrefix="1" applyNumberFormat="1" applyFont="1" applyFill="1" applyBorder="1" applyAlignment="1"/>
    <xf numFmtId="164" fontId="9" fillId="0" borderId="0" xfId="11271" applyNumberFormat="1" applyFont="1" applyFill="1" applyBorder="1"/>
    <xf numFmtId="0" fontId="58" fillId="0" borderId="0" xfId="11275" applyFont="1" applyFill="1" applyAlignment="1">
      <alignment horizontal="center"/>
    </xf>
    <xf numFmtId="164" fontId="7" fillId="37" borderId="0" xfId="382" applyNumberFormat="1" applyFont="1" applyFill="1" applyBorder="1"/>
    <xf numFmtId="164" fontId="7" fillId="37" borderId="18" xfId="382" applyNumberFormat="1" applyFont="1" applyFill="1" applyBorder="1"/>
    <xf numFmtId="0" fontId="38" fillId="37" borderId="0" xfId="0" applyFont="1" applyFill="1" applyAlignment="1">
      <alignment horizontal="left" indent="2"/>
    </xf>
    <xf numFmtId="164" fontId="42" fillId="0" borderId="26" xfId="382" quotePrefix="1" applyNumberFormat="1" applyFont="1" applyFill="1" applyBorder="1" applyAlignment="1"/>
    <xf numFmtId="164" fontId="150" fillId="0" borderId="0" xfId="382" applyNumberFormat="1" applyFont="1" applyFill="1" applyAlignment="1"/>
    <xf numFmtId="169" fontId="130" fillId="0" borderId="0" xfId="37696" applyFont="1" applyFill="1" applyAlignment="1"/>
    <xf numFmtId="17" fontId="38" fillId="0" borderId="18" xfId="382" applyNumberFormat="1" applyFont="1" applyFill="1" applyBorder="1" applyAlignment="1">
      <alignment horizontal="center"/>
    </xf>
    <xf numFmtId="43" fontId="6" fillId="0" borderId="18" xfId="382" applyFont="1" applyFill="1" applyBorder="1"/>
    <xf numFmtId="164" fontId="38" fillId="37" borderId="18" xfId="382" applyNumberFormat="1" applyFont="1" applyFill="1" applyBorder="1" applyProtection="1">
      <protection locked="0"/>
    </xf>
    <xf numFmtId="164" fontId="6" fillId="0" borderId="18" xfId="382" applyNumberFormat="1" applyFont="1" applyFill="1" applyBorder="1"/>
    <xf numFmtId="164" fontId="6" fillId="0" borderId="18" xfId="382" applyNumberFormat="1" applyFont="1" applyBorder="1"/>
    <xf numFmtId="43" fontId="38" fillId="0" borderId="18" xfId="382" applyFont="1" applyBorder="1" applyAlignment="1">
      <alignment horizontal="center" wrapText="1"/>
    </xf>
    <xf numFmtId="164" fontId="58" fillId="0" borderId="18" xfId="382" quotePrefix="1" applyNumberFormat="1" applyFont="1" applyBorder="1" applyAlignment="1">
      <alignment horizontal="center" wrapText="1"/>
    </xf>
    <xf numFmtId="43" fontId="6" fillId="0" borderId="18" xfId="382" applyFont="1" applyFill="1" applyBorder="1" applyAlignment="1">
      <alignment horizontal="center"/>
    </xf>
    <xf numFmtId="43" fontId="38" fillId="0" borderId="18" xfId="382" quotePrefix="1" applyFont="1" applyFill="1" applyBorder="1" applyAlignment="1">
      <alignment horizontal="left"/>
    </xf>
    <xf numFmtId="164" fontId="38" fillId="0" borderId="18" xfId="382" applyNumberFormat="1" applyFont="1" applyFill="1" applyBorder="1" applyAlignment="1">
      <alignment horizontal="center" wrapText="1"/>
    </xf>
    <xf numFmtId="164" fontId="38" fillId="0" borderId="18" xfId="382" applyNumberFormat="1" applyFont="1" applyFill="1" applyBorder="1" applyAlignment="1">
      <alignment horizontal="center"/>
    </xf>
    <xf numFmtId="43" fontId="38" fillId="0" borderId="18" xfId="382" applyFont="1" applyBorder="1" applyAlignment="1">
      <alignment horizontal="center"/>
    </xf>
    <xf numFmtId="0" fontId="6" fillId="0" borderId="18" xfId="11271" applyFont="1" applyBorder="1"/>
    <xf numFmtId="43" fontId="6" fillId="0" borderId="18" xfId="382" applyFont="1" applyBorder="1" applyAlignment="1">
      <alignment horizontal="center"/>
    </xf>
    <xf numFmtId="0" fontId="38" fillId="0" borderId="18" xfId="484" applyFont="1" applyFill="1" applyBorder="1" applyAlignment="1">
      <alignment vertical="top"/>
    </xf>
    <xf numFmtId="0" fontId="107" fillId="0" borderId="0" xfId="37695" applyFont="1" applyFill="1" applyAlignment="1">
      <alignment horizontal="center"/>
    </xf>
    <xf numFmtId="171" fontId="40" fillId="0" borderId="62" xfId="674" applyNumberFormat="1" applyFont="1" applyFill="1" applyBorder="1" applyAlignment="1"/>
    <xf numFmtId="164" fontId="40" fillId="0" borderId="61" xfId="382" applyNumberFormat="1" applyFont="1" applyFill="1" applyBorder="1" applyAlignment="1"/>
    <xf numFmtId="2" fontId="6" fillId="0" borderId="0" xfId="11271" applyNumberFormat="1" applyFont="1" applyFill="1" applyAlignment="1">
      <alignment horizontal="left"/>
    </xf>
    <xf numFmtId="2" fontId="6" fillId="37" borderId="0" xfId="11271" applyNumberFormat="1" applyFont="1" applyFill="1" applyAlignment="1">
      <alignment horizontal="left"/>
    </xf>
    <xf numFmtId="0" fontId="38" fillId="0" borderId="0" xfId="0" applyFont="1" applyAlignment="1">
      <alignment horizontal="center" vertical="top"/>
    </xf>
    <xf numFmtId="0" fontId="38" fillId="0" borderId="0" xfId="0" applyFont="1" applyFill="1" applyAlignment="1">
      <alignment horizontal="left"/>
    </xf>
    <xf numFmtId="43" fontId="38" fillId="0" borderId="18" xfId="382" applyFont="1" applyFill="1" applyBorder="1" applyAlignment="1">
      <alignment horizontal="center" vertical="center" wrapText="1"/>
    </xf>
    <xf numFmtId="0" fontId="125" fillId="0" borderId="0" xfId="0" quotePrefix="1" applyFont="1" applyFill="1" applyAlignment="1">
      <alignment vertical="center"/>
    </xf>
    <xf numFmtId="164" fontId="38" fillId="0" borderId="0" xfId="674" applyNumberFormat="1" applyFont="1" applyFill="1" applyAlignment="1">
      <alignment vertical="center"/>
    </xf>
    <xf numFmtId="164" fontId="38" fillId="0" borderId="3" xfId="0" applyNumberFormat="1" applyFont="1" applyFill="1" applyBorder="1"/>
    <xf numFmtId="0" fontId="38" fillId="0" borderId="0" xfId="0" applyFont="1" applyFill="1" applyAlignment="1">
      <alignment wrapText="1"/>
    </xf>
    <xf numFmtId="0" fontId="5" fillId="37" borderId="0" xfId="35157" applyFont="1" applyFill="1" applyBorder="1"/>
    <xf numFmtId="0" fontId="5" fillId="0" borderId="0" xfId="11271" applyFont="1" applyFill="1"/>
    <xf numFmtId="164" fontId="38" fillId="37" borderId="0" xfId="0" applyNumberFormat="1" applyFont="1" applyFill="1" applyAlignment="1"/>
    <xf numFmtId="0" fontId="38" fillId="0" borderId="0" xfId="504" applyFont="1" applyFill="1" applyAlignment="1">
      <alignment wrapText="1"/>
    </xf>
    <xf numFmtId="164" fontId="38" fillId="37" borderId="35" xfId="0" applyNumberFormat="1" applyFont="1" applyFill="1" applyBorder="1" applyAlignment="1"/>
    <xf numFmtId="164" fontId="5" fillId="0" borderId="0" xfId="382" applyNumberFormat="1" applyFont="1"/>
    <xf numFmtId="0" fontId="58" fillId="0" borderId="0" xfId="11275" quotePrefix="1" applyFont="1" applyAlignment="1">
      <alignment horizontal="center"/>
    </xf>
    <xf numFmtId="0" fontId="40" fillId="0" borderId="63" xfId="0" applyFont="1" applyFill="1" applyBorder="1" applyAlignment="1">
      <alignment horizontal="center" wrapText="1"/>
    </xf>
    <xf numFmtId="43" fontId="119" fillId="0" borderId="0" xfId="382" applyFont="1" applyFill="1" applyAlignment="1">
      <alignment horizontal="center" wrapText="1"/>
    </xf>
    <xf numFmtId="43" fontId="119" fillId="0" borderId="35" xfId="382" applyFont="1" applyFill="1" applyBorder="1" applyAlignment="1">
      <alignment horizontal="center" wrapText="1"/>
    </xf>
    <xf numFmtId="43" fontId="119" fillId="0" borderId="0" xfId="382" applyFont="1" applyFill="1" applyBorder="1" applyAlignment="1">
      <alignment horizontal="center" wrapText="1"/>
    </xf>
    <xf numFmtId="43" fontId="119" fillId="0" borderId="0" xfId="382" applyFont="1" applyFill="1" applyBorder="1" applyAlignment="1">
      <alignment horizontal="center"/>
    </xf>
    <xf numFmtId="0" fontId="38" fillId="37" borderId="0" xfId="504" applyFont="1" applyFill="1" applyAlignment="1">
      <alignment wrapText="1"/>
    </xf>
    <xf numFmtId="164" fontId="38" fillId="0" borderId="54" xfId="382" applyNumberFormat="1" applyFont="1" applyFill="1" applyBorder="1" applyAlignment="1"/>
    <xf numFmtId="43" fontId="119" fillId="0" borderId="54" xfId="382" applyFont="1" applyFill="1" applyBorder="1" applyAlignment="1">
      <alignment horizontal="center" wrapText="1"/>
    </xf>
    <xf numFmtId="164" fontId="118" fillId="0" borderId="54" xfId="382" applyNumberFormat="1" applyFont="1" applyFill="1" applyBorder="1" applyAlignment="1">
      <alignment vertical="top"/>
    </xf>
    <xf numFmtId="37" fontId="38" fillId="0" borderId="54" xfId="0" applyNumberFormat="1" applyFont="1" applyFill="1" applyBorder="1" applyAlignment="1">
      <alignment vertical="top"/>
    </xf>
    <xf numFmtId="0" fontId="38" fillId="0" borderId="35" xfId="0" applyNumberFormat="1" applyFont="1" applyBorder="1"/>
    <xf numFmtId="164" fontId="13" fillId="37" borderId="35" xfId="382" applyNumberFormat="1" applyFont="1" applyFill="1" applyBorder="1"/>
    <xf numFmtId="164" fontId="38" fillId="37" borderId="35" xfId="382" applyNumberFormat="1" applyFont="1" applyFill="1" applyBorder="1"/>
    <xf numFmtId="164" fontId="38" fillId="37" borderId="37" xfId="382" applyNumberFormat="1" applyFont="1" applyFill="1" applyBorder="1"/>
    <xf numFmtId="14" fontId="39" fillId="0" borderId="18" xfId="0" applyNumberFormat="1" applyFont="1" applyFill="1" applyBorder="1" applyAlignment="1">
      <alignment horizontal="center" wrapText="1"/>
    </xf>
    <xf numFmtId="14" fontId="39" fillId="0" borderId="18" xfId="0" applyNumberFormat="1" applyFont="1" applyFill="1" applyBorder="1" applyAlignment="1">
      <alignment horizontal="center"/>
    </xf>
    <xf numFmtId="0" fontId="39" fillId="0" borderId="45" xfId="0" applyFont="1" applyFill="1" applyBorder="1" applyAlignment="1">
      <alignment horizontal="center"/>
    </xf>
    <xf numFmtId="43" fontId="135" fillId="0" borderId="18" xfId="382" applyFont="1" applyFill="1" applyBorder="1"/>
    <xf numFmtId="14" fontId="39" fillId="0" borderId="18" xfId="0" applyNumberFormat="1" applyFont="1" applyBorder="1" applyAlignment="1">
      <alignment horizontal="center" wrapText="1"/>
    </xf>
    <xf numFmtId="14" fontId="39" fillId="0" borderId="37" xfId="0" applyNumberFormat="1" applyFont="1" applyBorder="1" applyAlignment="1">
      <alignment horizontal="center" wrapText="1"/>
    </xf>
    <xf numFmtId="43" fontId="39" fillId="0" borderId="18" xfId="382" applyFont="1" applyFill="1" applyBorder="1" applyAlignment="1">
      <alignment horizontal="center"/>
    </xf>
    <xf numFmtId="0" fontId="6" fillId="0" borderId="18" xfId="11271" applyFont="1" applyBorder="1" applyAlignment="1">
      <alignment horizontal="center"/>
    </xf>
    <xf numFmtId="0" fontId="145" fillId="0" borderId="0" xfId="0" applyFont="1"/>
    <xf numFmtId="0" fontId="154" fillId="0" borderId="0" xfId="0" applyFont="1" applyAlignment="1"/>
    <xf numFmtId="0" fontId="38" fillId="0" borderId="0" xfId="0" applyFont="1" applyFill="1" applyAlignment="1">
      <alignment horizontal="left"/>
    </xf>
    <xf numFmtId="0" fontId="38" fillId="0" borderId="0" xfId="504" applyFont="1" applyFill="1" applyAlignment="1"/>
    <xf numFmtId="49" fontId="38" fillId="0" borderId="0" xfId="0" applyNumberFormat="1" applyFont="1" applyFill="1" applyAlignment="1"/>
    <xf numFmtId="0" fontId="38" fillId="37" borderId="0" xfId="0" applyFont="1" applyFill="1" applyBorder="1" applyAlignment="1"/>
    <xf numFmtId="164" fontId="38" fillId="37" borderId="0" xfId="0" applyNumberFormat="1" applyFont="1" applyFill="1" applyBorder="1" applyAlignment="1"/>
    <xf numFmtId="0" fontId="38" fillId="37" borderId="0" xfId="0" applyFont="1" applyFill="1" applyBorder="1" applyAlignment="1">
      <alignment wrapText="1"/>
    </xf>
    <xf numFmtId="164" fontId="38" fillId="37" borderId="18" xfId="0" applyNumberFormat="1" applyFont="1" applyFill="1" applyBorder="1" applyAlignment="1"/>
    <xf numFmtId="0" fontId="38" fillId="0" borderId="0" xfId="0" applyFont="1" applyFill="1" applyBorder="1" applyAlignment="1">
      <alignment horizontal="left"/>
    </xf>
    <xf numFmtId="37" fontId="38" fillId="0" borderId="0" xfId="0" applyNumberFormat="1" applyFont="1" applyFill="1" applyBorder="1" applyAlignment="1"/>
    <xf numFmtId="0" fontId="38" fillId="0" borderId="0" xfId="0" applyFont="1" applyFill="1" applyBorder="1" applyAlignment="1">
      <alignment wrapText="1"/>
    </xf>
    <xf numFmtId="0" fontId="39" fillId="0" borderId="19" xfId="0" applyFont="1" applyFill="1" applyBorder="1" applyAlignment="1"/>
    <xf numFmtId="0" fontId="57" fillId="0" borderId="5" xfId="0" applyFont="1" applyFill="1" applyBorder="1" applyAlignment="1"/>
    <xf numFmtId="164" fontId="38" fillId="0" borderId="5" xfId="382" applyNumberFormat="1" applyFont="1" applyFill="1" applyBorder="1" applyAlignment="1"/>
    <xf numFmtId="164" fontId="38" fillId="0" borderId="44" xfId="382" applyNumberFormat="1" applyFont="1" applyFill="1" applyBorder="1" applyAlignment="1"/>
    <xf numFmtId="164" fontId="38" fillId="0" borderId="35" xfId="382" applyNumberFormat="1" applyFont="1" applyFill="1" applyBorder="1" applyAlignment="1"/>
    <xf numFmtId="164" fontId="118" fillId="0" borderId="0" xfId="382" applyNumberFormat="1" applyFont="1" applyFill="1" applyBorder="1" applyAlignment="1"/>
    <xf numFmtId="164" fontId="118" fillId="0" borderId="44" xfId="382" applyNumberFormat="1" applyFont="1" applyFill="1" applyBorder="1" applyAlignment="1"/>
    <xf numFmtId="164" fontId="118" fillId="0" borderId="35" xfId="382" applyNumberFormat="1" applyFont="1" applyFill="1" applyBorder="1" applyAlignment="1"/>
    <xf numFmtId="0" fontId="57" fillId="0" borderId="0" xfId="0" applyFont="1" applyFill="1" applyBorder="1" applyAlignment="1"/>
    <xf numFmtId="0" fontId="38" fillId="0" borderId="0" xfId="0" applyFont="1" applyBorder="1" applyAlignment="1">
      <alignment horizontal="left"/>
    </xf>
    <xf numFmtId="0" fontId="88" fillId="0" borderId="0" xfId="0" applyFont="1" applyFill="1" applyBorder="1" applyAlignment="1"/>
    <xf numFmtId="0" fontId="56" fillId="0" borderId="0" xfId="0" applyFont="1" applyFill="1" applyAlignment="1"/>
    <xf numFmtId="43" fontId="119" fillId="0" borderId="0" xfId="382" applyFont="1" applyFill="1" applyAlignment="1">
      <alignment horizontal="center"/>
    </xf>
    <xf numFmtId="0" fontId="38" fillId="37" borderId="0" xfId="0" applyFont="1" applyFill="1" applyAlignment="1">
      <alignment wrapText="1"/>
    </xf>
    <xf numFmtId="2" fontId="38" fillId="37" borderId="0" xfId="0" quotePrefix="1" applyNumberFormat="1" applyFont="1" applyFill="1" applyAlignment="1">
      <alignment horizontal="left"/>
    </xf>
    <xf numFmtId="0" fontId="38" fillId="37" borderId="0" xfId="504" applyFont="1" applyFill="1" applyAlignment="1"/>
    <xf numFmtId="0" fontId="39" fillId="37" borderId="0" xfId="0" applyFont="1" applyFill="1" applyAlignment="1"/>
    <xf numFmtId="164" fontId="39" fillId="37" borderId="54" xfId="382" applyNumberFormat="1" applyFont="1" applyFill="1" applyBorder="1" applyAlignment="1"/>
    <xf numFmtId="0" fontId="39" fillId="37" borderId="0" xfId="0" applyFont="1" applyFill="1" applyAlignment="1">
      <alignment wrapText="1"/>
    </xf>
    <xf numFmtId="164" fontId="38" fillId="37" borderId="54" xfId="382" applyNumberFormat="1" applyFont="1" applyFill="1" applyBorder="1" applyAlignment="1"/>
    <xf numFmtId="37" fontId="38" fillId="0" borderId="0" xfId="0" applyNumberFormat="1" applyFont="1" applyFill="1" applyBorder="1" applyAlignment="1">
      <alignment wrapText="1"/>
    </xf>
    <xf numFmtId="164" fontId="38" fillId="37" borderId="35" xfId="382" applyNumberFormat="1" applyFont="1" applyFill="1" applyBorder="1" applyAlignment="1"/>
    <xf numFmtId="164" fontId="38" fillId="37" borderId="45" xfId="382" applyNumberFormat="1" applyFont="1" applyFill="1" applyBorder="1" applyAlignment="1"/>
    <xf numFmtId="164" fontId="38" fillId="37" borderId="37" xfId="382" applyNumberFormat="1" applyFont="1" applyFill="1" applyBorder="1" applyAlignment="1"/>
    <xf numFmtId="164" fontId="38" fillId="0" borderId="43" xfId="382" applyNumberFormat="1" applyFont="1" applyFill="1" applyBorder="1" applyAlignment="1"/>
    <xf numFmtId="164" fontId="38" fillId="0" borderId="16" xfId="382" applyNumberFormat="1" applyFont="1" applyFill="1" applyBorder="1" applyAlignment="1"/>
    <xf numFmtId="164" fontId="38" fillId="0" borderId="20" xfId="382" applyNumberFormat="1" applyFont="1" applyFill="1" applyBorder="1" applyAlignment="1"/>
    <xf numFmtId="164" fontId="153" fillId="0" borderId="0" xfId="382" applyNumberFormat="1" applyFont="1" applyFill="1" applyAlignment="1"/>
    <xf numFmtId="164" fontId="38" fillId="0" borderId="54" xfId="382" applyNumberFormat="1" applyFont="1" applyBorder="1" applyAlignment="1"/>
    <xf numFmtId="164" fontId="39" fillId="0" borderId="0" xfId="382" applyNumberFormat="1" applyFont="1" applyFill="1" applyBorder="1" applyAlignment="1"/>
    <xf numFmtId="164" fontId="39" fillId="0" borderId="35" xfId="382" applyNumberFormat="1" applyFont="1" applyFill="1" applyBorder="1" applyAlignment="1"/>
    <xf numFmtId="164" fontId="39" fillId="37" borderId="0" xfId="382" applyNumberFormat="1" applyFont="1" applyFill="1" applyBorder="1" applyAlignment="1"/>
    <xf numFmtId="164" fontId="39" fillId="37" borderId="35" xfId="382" applyNumberFormat="1" applyFont="1" applyFill="1" applyBorder="1" applyAlignment="1"/>
    <xf numFmtId="0" fontId="155" fillId="0" borderId="0" xfId="0" applyFont="1" applyFill="1" applyAlignment="1"/>
    <xf numFmtId="0" fontId="155" fillId="0" borderId="0" xfId="0" applyFont="1" applyAlignment="1"/>
    <xf numFmtId="49" fontId="38" fillId="0" borderId="0" xfId="0" applyNumberFormat="1" applyFont="1" applyFill="1" applyAlignment="1">
      <alignment vertical="top"/>
    </xf>
    <xf numFmtId="164" fontId="58" fillId="0" borderId="37" xfId="382" applyNumberFormat="1" applyFont="1" applyFill="1" applyBorder="1" applyAlignment="1">
      <alignment horizontal="left"/>
    </xf>
    <xf numFmtId="0" fontId="38" fillId="0" borderId="0" xfId="11275" quotePrefix="1" applyFont="1" applyFill="1" applyBorder="1" applyAlignment="1">
      <alignment horizontal="left" vertical="top"/>
    </xf>
    <xf numFmtId="0" fontId="58" fillId="0" borderId="0" xfId="11275" applyFont="1" applyFill="1" applyAlignment="1"/>
    <xf numFmtId="0" fontId="58" fillId="0" borderId="0" xfId="11275" applyFont="1" applyFill="1" applyBorder="1" applyAlignment="1"/>
    <xf numFmtId="0" fontId="5" fillId="0" borderId="0" xfId="11271" applyFont="1" applyFill="1" applyAlignment="1">
      <alignment horizontal="left"/>
    </xf>
    <xf numFmtId="0" fontId="5" fillId="0" borderId="0" xfId="11271" applyFont="1" applyFill="1" applyAlignment="1"/>
    <xf numFmtId="164" fontId="5" fillId="37" borderId="0" xfId="11271" applyNumberFormat="1" applyFont="1" applyFill="1"/>
    <xf numFmtId="0" fontId="38" fillId="0" borderId="0" xfId="0" applyFont="1" applyAlignment="1">
      <alignment horizontal="left" indent="2"/>
    </xf>
    <xf numFmtId="3" fontId="38" fillId="0" borderId="0" xfId="11265" quotePrefix="1" applyNumberFormat="1" applyFont="1" applyFill="1" applyAlignment="1">
      <alignment horizontal="center"/>
    </xf>
    <xf numFmtId="0" fontId="38" fillId="0" borderId="0" xfId="0" applyFont="1" applyFill="1" applyAlignment="1">
      <alignment horizontal="left"/>
    </xf>
    <xf numFmtId="0" fontId="38" fillId="0" borderId="0" xfId="474" applyFont="1" applyFill="1" applyAlignment="1">
      <alignment horizontal="left" vertical="top"/>
    </xf>
    <xf numFmtId="0" fontId="38" fillId="37" borderId="0" xfId="0" applyFont="1" applyFill="1" applyAlignment="1">
      <alignment horizontal="left"/>
    </xf>
    <xf numFmtId="0" fontId="38" fillId="0" borderId="11" xfId="0" applyFont="1" applyBorder="1"/>
    <xf numFmtId="0" fontId="38" fillId="0" borderId="11" xfId="0" applyFont="1" applyFill="1" applyBorder="1" applyAlignment="1">
      <alignment horizontal="center"/>
    </xf>
    <xf numFmtId="0" fontId="38" fillId="37" borderId="11" xfId="0" applyFont="1" applyFill="1" applyBorder="1"/>
    <xf numFmtId="0" fontId="38" fillId="0" borderId="11" xfId="0" applyFont="1" applyFill="1" applyBorder="1"/>
    <xf numFmtId="2" fontId="38" fillId="37" borderId="0" xfId="474" applyNumberFormat="1" applyFont="1" applyFill="1" applyAlignment="1">
      <alignment horizontal="left" vertical="top"/>
    </xf>
    <xf numFmtId="200" fontId="38" fillId="37" borderId="11" xfId="382" applyNumberFormat="1" applyFont="1" applyFill="1" applyBorder="1"/>
    <xf numFmtId="200" fontId="38" fillId="37" borderId="11" xfId="382" applyNumberFormat="1" applyFont="1" applyFill="1" applyBorder="1" applyAlignment="1">
      <alignment horizontal="right"/>
    </xf>
    <xf numFmtId="200" fontId="38" fillId="0" borderId="11" xfId="382" applyNumberFormat="1" applyFont="1" applyFill="1" applyBorder="1" applyAlignment="1">
      <alignment horizontal="right"/>
    </xf>
    <xf numFmtId="200" fontId="38" fillId="37" borderId="30" xfId="382" applyNumberFormat="1" applyFont="1" applyFill="1" applyBorder="1"/>
    <xf numFmtId="0" fontId="38" fillId="37" borderId="27" xfId="0" applyFont="1" applyFill="1" applyBorder="1"/>
    <xf numFmtId="200" fontId="38" fillId="37" borderId="27" xfId="382" applyNumberFormat="1" applyFont="1" applyFill="1" applyBorder="1"/>
    <xf numFmtId="200" fontId="38" fillId="37" borderId="27" xfId="382" applyNumberFormat="1" applyFont="1" applyFill="1" applyBorder="1" applyAlignment="1">
      <alignment horizontal="right"/>
    </xf>
    <xf numFmtId="200" fontId="38" fillId="0" borderId="27" xfId="382" applyNumberFormat="1" applyFont="1" applyFill="1" applyBorder="1" applyAlignment="1">
      <alignment horizontal="right"/>
    </xf>
    <xf numFmtId="0" fontId="38" fillId="0" borderId="30" xfId="0" applyFont="1" applyFill="1" applyBorder="1"/>
    <xf numFmtId="200" fontId="38" fillId="0" borderId="30" xfId="382" applyNumberFormat="1" applyFont="1" applyFill="1" applyBorder="1"/>
    <xf numFmtId="0" fontId="38" fillId="0" borderId="30" xfId="0" applyFont="1" applyBorder="1"/>
    <xf numFmtId="200" fontId="38" fillId="0" borderId="11" xfId="382" applyNumberFormat="1" applyFont="1" applyFill="1" applyBorder="1"/>
    <xf numFmtId="0" fontId="38" fillId="37" borderId="0" xfId="474" applyFont="1" applyFill="1" applyAlignment="1">
      <alignment horizontal="left" vertical="top"/>
    </xf>
    <xf numFmtId="200" fontId="38" fillId="0" borderId="69" xfId="382" applyNumberFormat="1" applyFont="1" applyFill="1" applyBorder="1"/>
    <xf numFmtId="200" fontId="38" fillId="0" borderId="30" xfId="382" applyNumberFormat="1" applyFont="1" applyFill="1" applyBorder="1" applyAlignment="1">
      <alignment horizontal="right"/>
    </xf>
    <xf numFmtId="200" fontId="38" fillId="0" borderId="11" xfId="382" applyNumberFormat="1" applyFont="1" applyBorder="1"/>
    <xf numFmtId="200" fontId="38" fillId="0" borderId="11" xfId="382" applyNumberFormat="1" applyFont="1" applyBorder="1" applyAlignment="1">
      <alignment horizontal="right"/>
    </xf>
    <xf numFmtId="3" fontId="38" fillId="0" borderId="0" xfId="474" applyNumberFormat="1" applyFont="1" applyFill="1" applyAlignment="1">
      <alignment horizontal="left"/>
    </xf>
    <xf numFmtId="0" fontId="38" fillId="37" borderId="0" xfId="0" applyFont="1" applyFill="1" applyAlignment="1">
      <alignment vertical="top" wrapText="1"/>
    </xf>
    <xf numFmtId="0" fontId="38" fillId="37" borderId="54" xfId="0" applyFont="1" applyFill="1" applyBorder="1" applyAlignment="1">
      <alignment vertical="top" wrapText="1"/>
    </xf>
    <xf numFmtId="0" fontId="38" fillId="37" borderId="54" xfId="0" applyFont="1" applyFill="1" applyBorder="1" applyAlignment="1">
      <alignment wrapText="1"/>
    </xf>
    <xf numFmtId="164" fontId="38" fillId="37" borderId="54" xfId="0" applyNumberFormat="1" applyFont="1" applyFill="1" applyBorder="1" applyAlignment="1"/>
    <xf numFmtId="164" fontId="38" fillId="37" borderId="0" xfId="382" applyNumberFormat="1" applyFont="1" applyFill="1" applyAlignment="1"/>
    <xf numFmtId="10" fontId="38" fillId="0" borderId="0" xfId="674" applyNumberFormat="1" applyFont="1"/>
    <xf numFmtId="0" fontId="38" fillId="0" borderId="0" xfId="0" applyFont="1" applyAlignment="1">
      <alignment vertical="center"/>
    </xf>
    <xf numFmtId="0" fontId="38" fillId="0" borderId="18" xfId="0" applyFont="1" applyFill="1" applyBorder="1"/>
    <xf numFmtId="0" fontId="39" fillId="0" borderId="24" xfId="0" applyFont="1" applyFill="1" applyBorder="1"/>
    <xf numFmtId="0" fontId="57" fillId="0" borderId="0" xfId="0" applyFont="1" applyFill="1" applyBorder="1" applyAlignment="1">
      <alignment vertical="center"/>
    </xf>
    <xf numFmtId="0" fontId="125" fillId="0" borderId="0" xfId="504" applyFont="1" applyFill="1"/>
    <xf numFmtId="0" fontId="39" fillId="0" borderId="18" xfId="0" quotePrefix="1" applyFont="1" applyBorder="1"/>
    <xf numFmtId="0" fontId="0" fillId="0" borderId="18" xfId="0" applyBorder="1"/>
    <xf numFmtId="0" fontId="0" fillId="0" borderId="18" xfId="0" applyBorder="1" applyAlignment="1">
      <alignment horizontal="center"/>
    </xf>
    <xf numFmtId="43" fontId="119" fillId="0" borderId="0" xfId="382" applyFont="1" applyAlignment="1"/>
    <xf numFmtId="43" fontId="119" fillId="0" borderId="0" xfId="382" applyFont="1" applyAlignment="1">
      <alignment horizontal="center"/>
    </xf>
    <xf numFmtId="43" fontId="119" fillId="0" borderId="0" xfId="382" applyFont="1"/>
    <xf numFmtId="9" fontId="0" fillId="0" borderId="0" xfId="0" applyNumberFormat="1"/>
    <xf numFmtId="0" fontId="38" fillId="0" borderId="0" xfId="11275" applyFont="1" applyFill="1" applyBorder="1" applyAlignment="1">
      <alignment vertical="top"/>
    </xf>
    <xf numFmtId="0" fontId="38" fillId="0" borderId="0" xfId="11275" quotePrefix="1" applyFont="1" applyFill="1" applyBorder="1" applyAlignment="1">
      <alignment vertical="top"/>
    </xf>
    <xf numFmtId="0" fontId="136" fillId="0" borderId="0" xfId="11275" applyFont="1"/>
    <xf numFmtId="164" fontId="0" fillId="0" borderId="0" xfId="382" applyNumberFormat="1" applyFont="1" applyAlignment="1">
      <alignment horizontal="center"/>
    </xf>
    <xf numFmtId="0" fontId="0" fillId="0" borderId="0" xfId="0" applyAlignment="1">
      <alignment horizontal="left" indent="1"/>
    </xf>
    <xf numFmtId="164" fontId="0" fillId="0" borderId="0" xfId="0" applyNumberFormat="1" applyBorder="1"/>
    <xf numFmtId="43" fontId="0" fillId="0" borderId="0" xfId="0" applyNumberFormat="1" applyBorder="1"/>
    <xf numFmtId="164" fontId="0" fillId="0" borderId="18" xfId="0" applyNumberFormat="1" applyBorder="1"/>
    <xf numFmtId="0" fontId="0" fillId="0" borderId="0" xfId="0" applyBorder="1"/>
    <xf numFmtId="164" fontId="0" fillId="0" borderId="18" xfId="382" applyNumberFormat="1" applyFont="1" applyBorder="1"/>
    <xf numFmtId="0" fontId="0" fillId="0" borderId="0" xfId="0" quotePrefix="1" applyAlignment="1">
      <alignment horizontal="center"/>
    </xf>
    <xf numFmtId="164" fontId="58" fillId="0" borderId="0" xfId="382" applyNumberFormat="1" applyFont="1"/>
    <xf numFmtId="169" fontId="147" fillId="0" borderId="0" xfId="37694" applyFont="1" applyAlignment="1"/>
    <xf numFmtId="0" fontId="38" fillId="0" borderId="0" xfId="0" applyFont="1" applyFill="1" applyAlignment="1">
      <alignment horizontal="center"/>
    </xf>
    <xf numFmtId="0" fontId="38" fillId="0" borderId="0" xfId="0" applyFont="1" applyAlignment="1">
      <alignment horizontal="center"/>
    </xf>
    <xf numFmtId="0" fontId="38" fillId="0" borderId="0" xfId="0" quotePrefix="1" applyFont="1" applyFill="1" applyBorder="1" applyAlignment="1">
      <alignment horizontal="center" vertical="top"/>
    </xf>
    <xf numFmtId="0" fontId="38" fillId="0" borderId="0" xfId="0" applyFont="1" applyFill="1" applyAlignment="1">
      <alignment horizontal="left"/>
    </xf>
    <xf numFmtId="10" fontId="0" fillId="0" borderId="0" xfId="0" applyNumberFormat="1"/>
    <xf numFmtId="10" fontId="0" fillId="0" borderId="0" xfId="674" applyNumberFormat="1" applyFont="1"/>
    <xf numFmtId="0" fontId="0" fillId="0" borderId="16" xfId="0" applyBorder="1" applyAlignment="1">
      <alignment horizontal="center"/>
    </xf>
    <xf numFmtId="0" fontId="0" fillId="0" borderId="16" xfId="0" applyBorder="1"/>
    <xf numFmtId="10" fontId="0" fillId="0" borderId="16" xfId="0" applyNumberFormat="1" applyBorder="1"/>
    <xf numFmtId="164" fontId="38" fillId="0" borderId="0" xfId="382" applyNumberFormat="1" applyFont="1" applyAlignment="1">
      <alignment horizontal="left"/>
    </xf>
    <xf numFmtId="0" fontId="38" fillId="0" borderId="0" xfId="35688" applyFont="1"/>
    <xf numFmtId="43" fontId="38" fillId="0" borderId="0" xfId="11622" applyFont="1"/>
    <xf numFmtId="0" fontId="38" fillId="0" borderId="0" xfId="35688" applyFont="1" applyAlignment="1">
      <alignment horizontal="center"/>
    </xf>
    <xf numFmtId="43" fontId="38" fillId="0" borderId="0" xfId="11622" applyFont="1" applyFill="1" applyAlignment="1">
      <alignment horizontal="center"/>
    </xf>
    <xf numFmtId="43" fontId="38" fillId="0" borderId="0" xfId="382" applyFont="1" applyFill="1" applyAlignment="1">
      <alignment horizontal="center"/>
    </xf>
    <xf numFmtId="1" fontId="38" fillId="0" borderId="0" xfId="35688" applyNumberFormat="1" applyFont="1" applyFill="1" applyAlignment="1">
      <alignment horizontal="left"/>
    </xf>
    <xf numFmtId="2" fontId="38" fillId="0" borderId="0" xfId="35688" applyNumberFormat="1" applyFont="1" applyFill="1" applyAlignment="1">
      <alignment horizontal="left"/>
    </xf>
    <xf numFmtId="164" fontId="38" fillId="0" borderId="0" xfId="382" applyNumberFormat="1" applyFont="1" applyFill="1" applyAlignment="1">
      <alignment horizontal="center" vertical="top"/>
    </xf>
    <xf numFmtId="164" fontId="38" fillId="0" borderId="0" xfId="0" applyNumberFormat="1" applyFont="1" applyFill="1" applyBorder="1"/>
    <xf numFmtId="0" fontId="38" fillId="0" borderId="0" xfId="484" quotePrefix="1" applyFont="1" applyAlignment="1">
      <alignment horizontal="center" vertical="top"/>
    </xf>
    <xf numFmtId="164" fontId="38" fillId="51" borderId="0" xfId="382" applyNumberFormat="1" applyFont="1" applyFill="1" applyAlignment="1">
      <alignment horizontal="center" vertical="top"/>
    </xf>
    <xf numFmtId="43" fontId="38" fillId="0" borderId="0" xfId="382" applyFont="1" applyAlignment="1">
      <alignment horizontal="center"/>
    </xf>
    <xf numFmtId="10" fontId="38" fillId="0" borderId="0" xfId="674" applyNumberFormat="1" applyFont="1" applyFill="1" applyAlignment="1">
      <alignment horizontal="center" wrapText="1"/>
    </xf>
    <xf numFmtId="0" fontId="38" fillId="0" borderId="0" xfId="0" applyFont="1" applyFill="1" applyAlignment="1">
      <alignment horizontal="left" vertical="center"/>
    </xf>
    <xf numFmtId="0" fontId="38" fillId="0" borderId="0" xfId="0" applyFont="1" applyFill="1" applyAlignment="1">
      <alignment vertical="center"/>
    </xf>
    <xf numFmtId="164" fontId="38" fillId="0" borderId="0" xfId="0" applyNumberFormat="1" applyFont="1" applyFill="1" applyAlignment="1"/>
    <xf numFmtId="164" fontId="38" fillId="0" borderId="35" xfId="382" applyNumberFormat="1" applyFont="1" applyFill="1" applyBorder="1"/>
    <xf numFmtId="0" fontId="38" fillId="0" borderId="0" xfId="0" applyFont="1" applyFill="1" applyAlignment="1">
      <alignment vertical="center" wrapText="1"/>
    </xf>
    <xf numFmtId="0" fontId="87" fillId="0" borderId="24" xfId="0" applyFont="1" applyFill="1" applyBorder="1"/>
    <xf numFmtId="0" fontId="39" fillId="0" borderId="0" xfId="0" applyFont="1" applyFill="1" applyBorder="1" applyAlignment="1">
      <alignment vertical="center"/>
    </xf>
    <xf numFmtId="0" fontId="38" fillId="0" borderId="0" xfId="0" quotePrefix="1" applyFont="1" applyBorder="1"/>
    <xf numFmtId="43" fontId="118" fillId="0" borderId="0" xfId="382" applyFont="1"/>
    <xf numFmtId="43" fontId="118" fillId="0" borderId="0" xfId="382" applyFont="1" applyAlignment="1">
      <alignment horizontal="center"/>
    </xf>
    <xf numFmtId="164" fontId="0" fillId="51" borderId="0" xfId="382" applyNumberFormat="1" applyFont="1" applyFill="1"/>
    <xf numFmtId="164" fontId="0" fillId="0" borderId="18" xfId="382" applyNumberFormat="1" applyFont="1" applyFill="1" applyBorder="1"/>
    <xf numFmtId="0" fontId="0" fillId="0" borderId="0" xfId="0" quotePrefix="1" applyAlignment="1">
      <alignment vertical="top"/>
    </xf>
    <xf numFmtId="0" fontId="0" fillId="0" borderId="0" xfId="0" quotePrefix="1"/>
    <xf numFmtId="164" fontId="0" fillId="0" borderId="16" xfId="382" applyNumberFormat="1" applyFont="1" applyBorder="1"/>
    <xf numFmtId="0" fontId="38" fillId="0" borderId="0" xfId="0" applyFont="1" applyAlignment="1">
      <alignment horizontal="center"/>
    </xf>
    <xf numFmtId="0" fontId="38" fillId="0" borderId="0" xfId="0" applyFont="1" applyFill="1" applyAlignment="1">
      <alignment horizontal="center"/>
    </xf>
    <xf numFmtId="0" fontId="38" fillId="0" borderId="0" xfId="0" applyFont="1" applyAlignment="1">
      <alignment horizontal="center" vertical="top"/>
    </xf>
    <xf numFmtId="0" fontId="38" fillId="0" borderId="0" xfId="0" applyFont="1" applyAlignment="1">
      <alignment horizontal="center" vertical="center"/>
    </xf>
    <xf numFmtId="0" fontId="38" fillId="0" borderId="0" xfId="0" applyFont="1" applyFill="1" applyAlignment="1">
      <alignment horizontal="left"/>
    </xf>
    <xf numFmtId="164" fontId="38" fillId="0" borderId="0" xfId="382" quotePrefix="1" applyNumberFormat="1" applyFont="1" applyFill="1" applyBorder="1"/>
    <xf numFmtId="164" fontId="42" fillId="0" borderId="30" xfId="382" quotePrefix="1" applyNumberFormat="1" applyFont="1" applyFill="1" applyBorder="1" applyAlignment="1">
      <alignment horizontal="right" vertical="center"/>
    </xf>
    <xf numFmtId="164" fontId="42" fillId="0" borderId="60" xfId="382" quotePrefix="1" applyNumberFormat="1" applyFont="1" applyFill="1" applyBorder="1" applyAlignment="1">
      <alignment horizontal="right" vertical="center"/>
    </xf>
    <xf numFmtId="164" fontId="42" fillId="0" borderId="26" xfId="382" quotePrefix="1" applyNumberFormat="1" applyFont="1" applyFill="1" applyBorder="1" applyAlignment="1">
      <alignment horizontal="right"/>
    </xf>
    <xf numFmtId="164" fontId="42" fillId="0" borderId="59" xfId="382" quotePrefix="1" applyNumberFormat="1" applyFont="1" applyFill="1" applyBorder="1" applyAlignment="1">
      <alignment horizontal="right"/>
    </xf>
    <xf numFmtId="164" fontId="42" fillId="0" borderId="26" xfId="382" quotePrefix="1" applyNumberFormat="1" applyFont="1" applyFill="1" applyBorder="1" applyAlignment="1">
      <alignment horizontal="right" vertical="center"/>
    </xf>
    <xf numFmtId="164" fontId="42" fillId="0" borderId="59" xfId="382" quotePrefix="1" applyNumberFormat="1" applyFont="1" applyFill="1" applyBorder="1" applyAlignment="1">
      <alignment horizontal="right" vertical="center"/>
    </xf>
    <xf numFmtId="0" fontId="38" fillId="0" borderId="0" xfId="0" applyFont="1" applyFill="1" applyBorder="1" applyAlignment="1">
      <alignment vertical="center"/>
    </xf>
    <xf numFmtId="14" fontId="87" fillId="0" borderId="0" xfId="0" quotePrefix="1" applyNumberFormat="1" applyFont="1" applyFill="1"/>
    <xf numFmtId="0" fontId="38" fillId="0" borderId="0" xfId="474" applyFont="1" applyFill="1" applyAlignment="1"/>
    <xf numFmtId="0" fontId="38" fillId="0" borderId="0" xfId="474" applyFont="1" applyAlignment="1">
      <alignment horizontal="center"/>
    </xf>
    <xf numFmtId="0" fontId="156" fillId="0" borderId="0" xfId="474" applyFont="1" applyFill="1"/>
    <xf numFmtId="39" fontId="38" fillId="0" borderId="0" xfId="474" applyNumberFormat="1" applyFont="1" applyFill="1" applyBorder="1"/>
    <xf numFmtId="0" fontId="38" fillId="0" borderId="0" xfId="474" applyFont="1" applyFill="1" applyBorder="1"/>
    <xf numFmtId="0" fontId="156" fillId="0" borderId="0" xfId="474" applyFont="1" applyAlignment="1">
      <alignment horizontal="left"/>
    </xf>
    <xf numFmtId="39" fontId="38" fillId="0" borderId="0" xfId="474" quotePrefix="1" applyNumberFormat="1" applyFont="1" applyAlignment="1">
      <alignment horizontal="center"/>
    </xf>
    <xf numFmtId="39" fontId="38" fillId="0" borderId="0" xfId="474" applyNumberFormat="1" applyFont="1"/>
    <xf numFmtId="39" fontId="38" fillId="0" borderId="0" xfId="474" applyNumberFormat="1" applyFont="1" applyBorder="1"/>
    <xf numFmtId="164" fontId="38" fillId="0" borderId="0" xfId="382" quotePrefix="1" applyNumberFormat="1" applyFont="1" applyAlignment="1">
      <alignment horizontal="center"/>
    </xf>
    <xf numFmtId="0" fontId="38" fillId="0" borderId="0" xfId="0" quotePrefix="1" applyFont="1"/>
    <xf numFmtId="0" fontId="38" fillId="0" borderId="0" xfId="504" quotePrefix="1" applyFont="1" applyAlignment="1">
      <alignment horizontal="left"/>
    </xf>
    <xf numFmtId="164" fontId="121" fillId="37" borderId="0" xfId="382" applyNumberFormat="1" applyFont="1" applyFill="1"/>
    <xf numFmtId="164" fontId="121" fillId="37" borderId="18" xfId="382" applyNumberFormat="1" applyFont="1" applyFill="1" applyBorder="1"/>
    <xf numFmtId="164" fontId="4" fillId="0" borderId="0" xfId="382" applyNumberFormat="1" applyFont="1" applyFill="1"/>
    <xf numFmtId="164" fontId="121" fillId="0" borderId="0" xfId="382" quotePrefix="1" applyNumberFormat="1" applyFont="1" applyFill="1" applyAlignment="1">
      <alignment horizontal="center"/>
    </xf>
    <xf numFmtId="17" fontId="38" fillId="37" borderId="0" xfId="0" applyNumberFormat="1" applyFont="1" applyFill="1" applyBorder="1" applyAlignment="1">
      <alignment horizontal="center"/>
    </xf>
    <xf numFmtId="10" fontId="38" fillId="37" borderId="0" xfId="678" applyNumberFormat="1" applyFont="1" applyFill="1" applyBorder="1"/>
    <xf numFmtId="10" fontId="121" fillId="37" borderId="0" xfId="678" applyNumberFormat="1" applyFont="1" applyFill="1" applyBorder="1"/>
    <xf numFmtId="164" fontId="38" fillId="54" borderId="70" xfId="382" applyNumberFormat="1" applyFont="1" applyFill="1" applyBorder="1" applyAlignment="1"/>
    <xf numFmtId="164" fontId="38" fillId="54" borderId="71" xfId="0" applyNumberFormat="1" applyFont="1" applyFill="1" applyBorder="1"/>
    <xf numFmtId="164" fontId="38" fillId="54" borderId="72" xfId="0" applyNumberFormat="1" applyFont="1" applyFill="1" applyBorder="1"/>
    <xf numFmtId="164" fontId="118" fillId="0" borderId="0" xfId="0" applyNumberFormat="1" applyFont="1" applyFill="1"/>
    <xf numFmtId="164" fontId="38" fillId="54" borderId="19" xfId="0" applyNumberFormat="1" applyFont="1" applyFill="1" applyBorder="1"/>
    <xf numFmtId="0" fontId="38" fillId="54" borderId="5" xfId="0" applyFont="1" applyFill="1" applyBorder="1"/>
    <xf numFmtId="0" fontId="38" fillId="54" borderId="73" xfId="0" applyFont="1" applyFill="1" applyBorder="1"/>
    <xf numFmtId="0" fontId="121" fillId="0" borderId="0" xfId="0" applyFont="1" applyFill="1" applyAlignment="1">
      <alignment horizontal="left" vertical="top"/>
    </xf>
    <xf numFmtId="0" fontId="121" fillId="0" borderId="0" xfId="0" applyFont="1" applyFill="1" applyAlignment="1">
      <alignment horizontal="center" vertical="top"/>
    </xf>
    <xf numFmtId="0" fontId="121" fillId="0" borderId="0" xfId="0" applyFont="1" applyFill="1"/>
    <xf numFmtId="164" fontId="38" fillId="0" borderId="0" xfId="382" applyNumberFormat="1" applyFont="1" applyFill="1" applyAlignment="1">
      <alignment horizontal="left"/>
    </xf>
    <xf numFmtId="41" fontId="38" fillId="0" borderId="0" xfId="484" applyNumberFormat="1" applyFont="1" applyFill="1" applyAlignment="1">
      <alignment horizontal="left" vertical="top"/>
    </xf>
    <xf numFmtId="41" fontId="38" fillId="37" borderId="16" xfId="484" applyNumberFormat="1" applyFont="1" applyFill="1" applyBorder="1" applyAlignment="1">
      <alignment vertical="top"/>
    </xf>
    <xf numFmtId="41" fontId="38" fillId="0" borderId="16" xfId="484" applyNumberFormat="1" applyFont="1" applyBorder="1" applyAlignment="1">
      <alignment vertical="top"/>
    </xf>
    <xf numFmtId="41" fontId="38" fillId="0" borderId="40" xfId="484" applyNumberFormat="1" applyFont="1" applyFill="1" applyBorder="1" applyAlignment="1">
      <alignment vertical="top"/>
    </xf>
    <xf numFmtId="0" fontId="121" fillId="0" borderId="0" xfId="484" applyFont="1" applyFill="1" applyAlignment="1">
      <alignment vertical="top"/>
    </xf>
    <xf numFmtId="164" fontId="58" fillId="0" borderId="0" xfId="382" applyNumberFormat="1" applyFont="1" applyBorder="1"/>
    <xf numFmtId="164" fontId="9" fillId="37" borderId="0" xfId="11271" applyNumberFormat="1" applyFont="1" applyFill="1" applyBorder="1"/>
    <xf numFmtId="164" fontId="9" fillId="37" borderId="18" xfId="11271" applyNumberFormat="1" applyFont="1" applyFill="1" applyBorder="1"/>
    <xf numFmtId="37" fontId="58" fillId="0" borderId="0" xfId="0" applyNumberFormat="1" applyFont="1" applyBorder="1" applyAlignment="1">
      <alignment horizontal="left"/>
    </xf>
    <xf numFmtId="164" fontId="142" fillId="0" borderId="0" xfId="382" applyNumberFormat="1" applyFont="1" applyFill="1" applyAlignment="1">
      <alignment vertical="top"/>
    </xf>
    <xf numFmtId="164" fontId="141" fillId="0" borderId="0" xfId="382" applyNumberFormat="1" applyFont="1" applyFill="1" applyAlignment="1">
      <alignment vertical="top"/>
    </xf>
    <xf numFmtId="164" fontId="158" fillId="0" borderId="0" xfId="382" applyNumberFormat="1" applyFont="1" applyFill="1" applyAlignment="1">
      <alignment vertical="top"/>
    </xf>
    <xf numFmtId="164" fontId="40" fillId="0" borderId="0" xfId="382" applyNumberFormat="1" applyFont="1" applyFill="1" applyAlignment="1">
      <alignment vertical="top"/>
    </xf>
    <xf numFmtId="164" fontId="42" fillId="0" borderId="0" xfId="382" applyNumberFormat="1" applyFont="1" applyFill="1" applyAlignment="1">
      <alignment vertical="top"/>
    </xf>
    <xf numFmtId="164" fontId="143" fillId="0" borderId="0" xfId="382" applyNumberFormat="1" applyFont="1" applyFill="1" applyAlignment="1">
      <alignment vertical="top"/>
    </xf>
    <xf numFmtId="164" fontId="42" fillId="0" borderId="0" xfId="382" applyNumberFormat="1" applyFont="1" applyAlignment="1"/>
    <xf numFmtId="164" fontId="129" fillId="0" borderId="0" xfId="382" applyNumberFormat="1" applyFont="1" applyFill="1" applyAlignment="1">
      <alignment horizontal="justify" vertical="center"/>
    </xf>
    <xf numFmtId="164" fontId="42" fillId="0" borderId="0" xfId="382" applyNumberFormat="1" applyFont="1" applyAlignment="1">
      <alignment vertical="top"/>
    </xf>
    <xf numFmtId="9" fontId="38" fillId="0" borderId="0" xfId="674" applyFont="1"/>
    <xf numFmtId="0" fontId="0" fillId="0" borderId="0" xfId="0" applyFill="1"/>
    <xf numFmtId="164" fontId="0" fillId="0" borderId="0" xfId="37701" applyNumberFormat="1" applyFont="1" applyFill="1"/>
    <xf numFmtId="0" fontId="107" fillId="51" borderId="0" xfId="37697" applyNumberFormat="1" applyFont="1" applyFill="1" applyAlignment="1">
      <alignment horizontal="right"/>
    </xf>
    <xf numFmtId="0" fontId="38" fillId="0" borderId="0" xfId="0" applyFont="1" applyFill="1" applyAlignment="1">
      <alignment horizontal="center"/>
    </xf>
    <xf numFmtId="0" fontId="38" fillId="0" borderId="0" xfId="0" applyFont="1" applyFill="1" applyAlignment="1">
      <alignment horizontal="left"/>
    </xf>
    <xf numFmtId="0" fontId="39" fillId="0" borderId="18" xfId="0" applyFont="1" applyBorder="1" applyAlignment="1">
      <alignment horizontal="center" vertical="top" wrapText="1"/>
    </xf>
    <xf numFmtId="0" fontId="39" fillId="0" borderId="0" xfId="0" applyFont="1" applyAlignment="1">
      <alignment horizontal="center" vertical="top" wrapText="1"/>
    </xf>
    <xf numFmtId="0" fontId="0" fillId="0" borderId="0" xfId="0" applyAlignment="1">
      <alignment vertical="top" wrapText="1"/>
    </xf>
    <xf numFmtId="0" fontId="38" fillId="0" borderId="0" xfId="0" applyFont="1" applyFill="1" applyAlignment="1">
      <alignment vertical="top" wrapText="1"/>
    </xf>
    <xf numFmtId="0" fontId="0" fillId="0" borderId="0" xfId="0" applyFill="1" applyAlignment="1">
      <alignment vertical="top"/>
    </xf>
    <xf numFmtId="43" fontId="118" fillId="0" borderId="0" xfId="403" applyFont="1" applyFill="1" applyAlignment="1">
      <alignment horizontal="left" vertical="top"/>
    </xf>
    <xf numFmtId="0" fontId="160" fillId="0" borderId="0" xfId="0" applyFont="1" applyFill="1" applyAlignment="1">
      <alignment vertical="top"/>
    </xf>
    <xf numFmtId="43" fontId="118" fillId="0" borderId="0" xfId="382" applyFont="1" applyFill="1" applyAlignment="1">
      <alignment horizontal="center" vertical="top"/>
    </xf>
    <xf numFmtId="43" fontId="118" fillId="0" borderId="0" xfId="382" applyFont="1" applyAlignment="1">
      <alignment horizontal="center" vertical="top"/>
    </xf>
    <xf numFmtId="164" fontId="38" fillId="0" borderId="0" xfId="382" applyNumberFormat="1" applyFont="1" applyFill="1" applyAlignment="1">
      <alignment horizontal="center"/>
    </xf>
    <xf numFmtId="164" fontId="118" fillId="0" borderId="0" xfId="382" applyNumberFormat="1" applyFont="1" applyFill="1" applyAlignment="1">
      <alignment horizontal="left"/>
    </xf>
    <xf numFmtId="0" fontId="136" fillId="54" borderId="0" xfId="504" applyFont="1" applyFill="1"/>
    <xf numFmtId="0" fontId="125" fillId="54" borderId="0" xfId="504" applyFont="1" applyFill="1" applyBorder="1"/>
    <xf numFmtId="0" fontId="125" fillId="54" borderId="0" xfId="504" applyFont="1" applyFill="1"/>
    <xf numFmtId="0" fontId="38" fillId="54" borderId="0" xfId="504" applyFont="1" applyFill="1"/>
    <xf numFmtId="0" fontId="38" fillId="54" borderId="0" xfId="0" applyFont="1" applyFill="1" applyBorder="1"/>
    <xf numFmtId="164" fontId="42" fillId="54" borderId="0" xfId="382" applyNumberFormat="1" applyFont="1" applyFill="1" applyAlignment="1">
      <alignment vertical="top"/>
    </xf>
    <xf numFmtId="0" fontId="42" fillId="54" borderId="0" xfId="0" applyFont="1" applyFill="1"/>
    <xf numFmtId="0" fontId="121" fillId="0" borderId="0" xfId="11271" applyFont="1"/>
    <xf numFmtId="0" fontId="3" fillId="0" borderId="0" xfId="11271" applyFont="1"/>
    <xf numFmtId="0" fontId="3" fillId="54" borderId="0" xfId="11271" applyFont="1" applyFill="1"/>
    <xf numFmtId="0" fontId="38" fillId="0" borderId="0" xfId="0" applyFont="1" applyAlignment="1">
      <alignment horizontal="center"/>
    </xf>
    <xf numFmtId="0" fontId="38" fillId="0" borderId="0" xfId="0" applyFont="1" applyFill="1" applyAlignment="1">
      <alignment horizontal="center"/>
    </xf>
    <xf numFmtId="43" fontId="38" fillId="0" borderId="0" xfId="382" applyFont="1"/>
    <xf numFmtId="10" fontId="38" fillId="0" borderId="0" xfId="674" applyNumberFormat="1" applyFont="1" applyAlignment="1">
      <alignment horizontal="center"/>
    </xf>
    <xf numFmtId="10" fontId="38" fillId="0" borderId="0" xfId="674" applyNumberFormat="1" applyFont="1" applyFill="1" applyAlignment="1">
      <alignment horizontal="center"/>
    </xf>
    <xf numFmtId="10" fontId="38" fillId="0" borderId="0" xfId="0" applyNumberFormat="1" applyFont="1" applyFill="1" applyAlignment="1">
      <alignment horizontal="center"/>
    </xf>
    <xf numFmtId="10" fontId="38" fillId="0" borderId="0" xfId="0" applyNumberFormat="1" applyFont="1" applyFill="1" applyAlignment="1">
      <alignment horizontal="center" vertical="center"/>
    </xf>
    <xf numFmtId="10" fontId="38" fillId="0" borderId="0" xfId="674" applyNumberFormat="1" applyFont="1" applyFill="1" applyAlignment="1">
      <alignment horizontal="center" vertical="center"/>
    </xf>
    <xf numFmtId="0" fontId="38" fillId="0" borderId="0" xfId="533" applyFont="1" applyFill="1" applyAlignment="1">
      <alignment horizontal="center"/>
    </xf>
    <xf numFmtId="0" fontId="87" fillId="0" borderId="0" xfId="0" applyFont="1" applyBorder="1" applyAlignment="1">
      <alignment horizontal="center"/>
    </xf>
    <xf numFmtId="43" fontId="118" fillId="0" borderId="0" xfId="382" applyFont="1" applyAlignment="1"/>
    <xf numFmtId="0" fontId="38" fillId="55" borderId="0" xfId="0" applyFont="1" applyFill="1" applyAlignment="1"/>
    <xf numFmtId="10" fontId="0" fillId="0" borderId="0" xfId="674" applyNumberFormat="1" applyFont="1" applyFill="1" applyBorder="1"/>
    <xf numFmtId="0" fontId="0" fillId="0" borderId="0" xfId="0" quotePrefix="1" applyAlignment="1">
      <alignment horizontal="left" wrapText="1" indent="1"/>
    </xf>
    <xf numFmtId="0" fontId="0" fillId="0" borderId="0" xfId="0" applyAlignment="1">
      <alignment horizontal="center" wrapText="1"/>
    </xf>
    <xf numFmtId="0" fontId="0" fillId="0" borderId="0" xfId="0" applyAlignment="1">
      <alignment horizontal="left" wrapText="1" indent="1"/>
    </xf>
    <xf numFmtId="43" fontId="118" fillId="0" borderId="0" xfId="382" applyFont="1" applyAlignment="1">
      <alignment horizontal="left" wrapText="1" indent="1"/>
    </xf>
    <xf numFmtId="0" fontId="0" fillId="0" borderId="0" xfId="0" applyAlignment="1">
      <alignment horizontal="left" vertical="top" wrapText="1" indent="1"/>
    </xf>
    <xf numFmtId="0" fontId="0" fillId="0" borderId="0" xfId="0" applyAlignment="1">
      <alignment horizontal="center" vertical="top"/>
    </xf>
    <xf numFmtId="164" fontId="0" fillId="0" borderId="0" xfId="382" applyNumberFormat="1" applyFont="1" applyAlignment="1">
      <alignment vertical="top"/>
    </xf>
    <xf numFmtId="0" fontId="0" fillId="0" borderId="0" xfId="0" applyFill="1" applyAlignment="1">
      <alignment horizontal="center" vertical="top"/>
    </xf>
    <xf numFmtId="164" fontId="0" fillId="0" borderId="0" xfId="37701" applyNumberFormat="1" applyFont="1" applyFill="1" applyAlignment="1">
      <alignment vertical="top"/>
    </xf>
    <xf numFmtId="164" fontId="0" fillId="0" borderId="18" xfId="37701" applyNumberFormat="1" applyFont="1" applyFill="1" applyBorder="1" applyAlignment="1">
      <alignment vertical="top"/>
    </xf>
    <xf numFmtId="164" fontId="0" fillId="0" borderId="0" xfId="382" applyNumberFormat="1" applyFont="1" applyFill="1" applyAlignment="1">
      <alignment vertical="top"/>
    </xf>
    <xf numFmtId="0" fontId="0" fillId="0" borderId="0" xfId="0" quotePrefix="1" applyAlignment="1">
      <alignment horizontal="center" vertical="top"/>
    </xf>
    <xf numFmtId="0" fontId="38" fillId="0" borderId="0" xfId="0" applyFont="1" applyFill="1" applyAlignment="1">
      <alignment horizontal="left"/>
    </xf>
    <xf numFmtId="0" fontId="121" fillId="55" borderId="0" xfId="0" quotePrefix="1" applyFont="1" applyFill="1" applyAlignment="1">
      <alignment horizontal="center"/>
    </xf>
    <xf numFmtId="164" fontId="136" fillId="0" borderId="0" xfId="0" applyNumberFormat="1" applyFont="1" applyFill="1"/>
    <xf numFmtId="0" fontId="121" fillId="55" borderId="0" xfId="0" applyFont="1" applyFill="1" applyAlignment="1">
      <alignment horizontal="center" vertical="top"/>
    </xf>
    <xf numFmtId="0" fontId="121" fillId="55" borderId="0" xfId="0" quotePrefix="1" applyFont="1" applyFill="1"/>
    <xf numFmtId="0" fontId="0" fillId="54" borderId="0" xfId="0" applyFill="1" applyAlignment="1">
      <alignment vertical="top"/>
    </xf>
    <xf numFmtId="10" fontId="0" fillId="51" borderId="18" xfId="674" applyNumberFormat="1" applyFont="1" applyFill="1" applyBorder="1"/>
    <xf numFmtId="0" fontId="0" fillId="0" borderId="0" xfId="0" applyAlignment="1">
      <alignment horizontal="left" vertical="top"/>
    </xf>
    <xf numFmtId="0" fontId="38" fillId="0" borderId="0" xfId="474" applyFont="1" applyAlignment="1">
      <alignment horizontal="center" vertical="top"/>
    </xf>
    <xf numFmtId="3" fontId="38" fillId="0" borderId="0" xfId="11265" quotePrefix="1" applyNumberFormat="1" applyFont="1" applyFill="1" applyAlignment="1">
      <alignment horizontal="center" vertical="top"/>
    </xf>
    <xf numFmtId="0" fontId="38" fillId="0" borderId="0" xfId="474" applyFont="1" applyAlignment="1">
      <alignment vertical="top"/>
    </xf>
    <xf numFmtId="0" fontId="139" fillId="0" borderId="0" xfId="0" applyFont="1" applyAlignment="1">
      <alignment horizontal="center" vertical="top"/>
    </xf>
    <xf numFmtId="0" fontId="159" fillId="0" borderId="0" xfId="0" applyFont="1" applyAlignment="1">
      <alignment horizontal="center" vertical="top" wrapText="1"/>
    </xf>
    <xf numFmtId="0" fontId="87" fillId="0" borderId="0" xfId="0" applyFont="1" applyAlignment="1">
      <alignment horizontal="center" vertical="top"/>
    </xf>
    <xf numFmtId="0" fontId="38" fillId="0" borderId="0" xfId="0" applyFont="1" applyAlignment="1">
      <alignment horizontal="center"/>
    </xf>
    <xf numFmtId="0" fontId="38" fillId="0" borderId="0" xfId="0" applyFont="1" applyFill="1" applyAlignment="1">
      <alignment horizontal="center"/>
    </xf>
    <xf numFmtId="0" fontId="38" fillId="0" borderId="0" xfId="474" applyFont="1" applyFill="1" applyAlignment="1">
      <alignment horizontal="center"/>
    </xf>
    <xf numFmtId="3" fontId="38" fillId="0" borderId="0" xfId="11265" quotePrefix="1" applyNumberFormat="1" applyFont="1" applyFill="1" applyAlignment="1">
      <alignment horizontal="center"/>
    </xf>
    <xf numFmtId="0" fontId="38" fillId="0" borderId="0" xfId="474" quotePrefix="1" applyFont="1" applyFill="1" applyAlignment="1">
      <alignment horizontal="center"/>
    </xf>
    <xf numFmtId="0" fontId="38" fillId="0" borderId="0" xfId="0" applyFont="1" applyFill="1" applyAlignment="1">
      <alignment horizontal="left"/>
    </xf>
    <xf numFmtId="164" fontId="0" fillId="53" borderId="11" xfId="37701" applyNumberFormat="1" applyFont="1" applyFill="1" applyBorder="1" applyAlignment="1">
      <alignment horizontal="centerContinuous" vertical="top"/>
    </xf>
    <xf numFmtId="164" fontId="0" fillId="0" borderId="0" xfId="37701" applyNumberFormat="1" applyFont="1" applyFill="1" applyBorder="1" applyAlignment="1">
      <alignment horizontal="centerContinuous" vertical="top"/>
    </xf>
    <xf numFmtId="164" fontId="0" fillId="0" borderId="18" xfId="37701" applyNumberFormat="1" applyFont="1" applyFill="1" applyBorder="1"/>
    <xf numFmtId="0" fontId="159" fillId="0" borderId="0" xfId="0" applyFont="1" applyFill="1" applyAlignment="1">
      <alignment horizontal="center" vertical="top" wrapText="1"/>
    </xf>
    <xf numFmtId="164" fontId="0" fillId="0" borderId="0" xfId="37701" applyNumberFormat="1" applyFont="1" applyFill="1" applyBorder="1"/>
    <xf numFmtId="164" fontId="0" fillId="53" borderId="11" xfId="37701" applyNumberFormat="1" applyFont="1" applyFill="1" applyBorder="1" applyAlignment="1">
      <alignment horizontal="center" vertical="top" wrapText="1"/>
    </xf>
    <xf numFmtId="0" fontId="0" fillId="0" borderId="0" xfId="0" quotePrefix="1" applyFill="1" applyAlignment="1">
      <alignment vertical="top"/>
    </xf>
    <xf numFmtId="0" fontId="0" fillId="0" borderId="0" xfId="0" quotePrefix="1" applyFill="1" applyAlignment="1">
      <alignment horizontal="left" vertical="top"/>
    </xf>
    <xf numFmtId="0" fontId="0" fillId="0" borderId="0" xfId="0" quotePrefix="1" applyFill="1" applyAlignment="1">
      <alignment horizontal="center"/>
    </xf>
    <xf numFmtId="0" fontId="0" fillId="0" borderId="0" xfId="0" applyFill="1" applyAlignment="1">
      <alignment horizontal="left" vertical="top"/>
    </xf>
    <xf numFmtId="0" fontId="0" fillId="0" borderId="0" xfId="0" applyFill="1" applyAlignment="1">
      <alignment horizontal="left" vertical="top" wrapText="1"/>
    </xf>
    <xf numFmtId="43" fontId="38" fillId="0" borderId="0" xfId="382" applyFont="1" applyAlignment="1">
      <alignment horizontal="left" indent="1"/>
    </xf>
    <xf numFmtId="10" fontId="38" fillId="0" borderId="0" xfId="0" applyNumberFormat="1" applyFont="1" applyFill="1"/>
    <xf numFmtId="10" fontId="38" fillId="0" borderId="0" xfId="0" applyNumberFormat="1" applyFont="1" applyFill="1" applyAlignment="1">
      <alignment vertical="center"/>
    </xf>
    <xf numFmtId="10" fontId="38" fillId="0" borderId="0" xfId="0" applyNumberFormat="1" applyFont="1" applyFill="1" applyAlignment="1"/>
    <xf numFmtId="10" fontId="38" fillId="0" borderId="0" xfId="674" applyNumberFormat="1" applyFont="1" applyFill="1" applyAlignment="1">
      <alignment vertical="center"/>
    </xf>
    <xf numFmtId="43" fontId="118" fillId="0" borderId="0" xfId="382" applyFont="1" applyAlignment="1">
      <alignment horizontal="left" indent="1"/>
    </xf>
    <xf numFmtId="0" fontId="38" fillId="0" borderId="0" xfId="533" applyFont="1" applyFill="1" applyAlignment="1">
      <alignment horizontal="right"/>
    </xf>
    <xf numFmtId="43" fontId="38" fillId="0" borderId="0" xfId="382" applyFont="1" applyAlignment="1"/>
    <xf numFmtId="10" fontId="38" fillId="0" borderId="0" xfId="674" applyNumberFormat="1" applyFont="1" applyAlignment="1"/>
    <xf numFmtId="10" fontId="38" fillId="0" borderId="0" xfId="674" applyNumberFormat="1" applyFont="1" applyFill="1" applyAlignment="1"/>
    <xf numFmtId="0" fontId="87" fillId="0" borderId="16" xfId="0" applyFont="1" applyBorder="1" applyAlignment="1">
      <alignment horizontal="center"/>
    </xf>
    <xf numFmtId="0" fontId="87" fillId="0" borderId="0" xfId="0" applyFont="1" applyAlignment="1">
      <alignment horizontal="center"/>
    </xf>
    <xf numFmtId="164" fontId="38" fillId="51" borderId="0" xfId="382" applyNumberFormat="1" applyFont="1" applyFill="1"/>
    <xf numFmtId="164" fontId="38" fillId="51" borderId="18" xfId="382" applyNumberFormat="1" applyFont="1" applyFill="1" applyBorder="1"/>
    <xf numFmtId="0" fontId="38" fillId="51" borderId="18" xfId="0" applyFont="1" applyFill="1" applyBorder="1"/>
    <xf numFmtId="10" fontId="0" fillId="0" borderId="0" xfId="31558" applyNumberFormat="1" applyFont="1" applyAlignment="1">
      <alignment horizontal="center"/>
    </xf>
    <xf numFmtId="0" fontId="58" fillId="0" borderId="0" xfId="0" applyFont="1" applyFill="1" applyAlignment="1">
      <alignment horizontal="center"/>
    </xf>
    <xf numFmtId="0" fontId="38" fillId="0" borderId="0" xfId="474" applyFont="1" applyFill="1" applyAlignment="1">
      <alignment horizontal="center"/>
    </xf>
    <xf numFmtId="0" fontId="38" fillId="0" borderId="0" xfId="474" applyFont="1" applyAlignment="1">
      <alignment horizontal="center"/>
    </xf>
    <xf numFmtId="0" fontId="38" fillId="0" borderId="0" xfId="474" quotePrefix="1" applyFont="1" applyAlignment="1">
      <alignment horizontal="center" vertical="top"/>
    </xf>
    <xf numFmtId="0" fontId="38" fillId="0" borderId="7" xfId="484" applyFont="1" applyBorder="1" applyAlignment="1">
      <alignment vertical="top"/>
    </xf>
    <xf numFmtId="0" fontId="38" fillId="0" borderId="74" xfId="484" applyFont="1" applyBorder="1" applyAlignment="1">
      <alignment vertical="top"/>
    </xf>
    <xf numFmtId="43" fontId="38" fillId="0" borderId="0" xfId="382" applyFont="1" applyBorder="1" applyAlignment="1">
      <alignment vertical="top"/>
    </xf>
    <xf numFmtId="43" fontId="38" fillId="0" borderId="0" xfId="382" applyFont="1" applyFill="1" applyAlignment="1">
      <alignment horizontal="center" vertical="top"/>
    </xf>
    <xf numFmtId="43" fontId="38" fillId="0" borderId="0" xfId="484" applyNumberFormat="1" applyFont="1" applyBorder="1" applyAlignment="1">
      <alignment vertical="top"/>
    </xf>
    <xf numFmtId="0" fontId="38" fillId="0" borderId="54" xfId="484" applyFont="1" applyBorder="1" applyAlignment="1">
      <alignment vertical="top"/>
    </xf>
    <xf numFmtId="0" fontId="38" fillId="0" borderId="0" xfId="484" applyFont="1" applyBorder="1" applyAlignment="1">
      <alignment vertical="top"/>
    </xf>
    <xf numFmtId="43" fontId="38" fillId="0" borderId="0" xfId="382" applyFont="1" applyAlignment="1">
      <alignment vertical="top"/>
    </xf>
    <xf numFmtId="164" fontId="38" fillId="0" borderId="0" xfId="382" applyNumberFormat="1" applyFont="1" applyAlignment="1">
      <alignment vertical="top"/>
    </xf>
    <xf numFmtId="43" fontId="38" fillId="0" borderId="0" xfId="382" applyFont="1" applyFill="1" applyAlignment="1">
      <alignment vertical="top"/>
    </xf>
    <xf numFmtId="43" fontId="38" fillId="0" borderId="0" xfId="382" applyFont="1" applyFill="1" applyBorder="1" applyAlignment="1">
      <alignment vertical="top"/>
    </xf>
    <xf numFmtId="43" fontId="38" fillId="0" borderId="17" xfId="382" applyFont="1" applyFill="1" applyBorder="1" applyAlignment="1">
      <alignment horizontal="center" vertical="top"/>
    </xf>
    <xf numFmtId="43" fontId="38" fillId="0" borderId="75" xfId="382" applyFont="1" applyFill="1" applyBorder="1" applyAlignment="1">
      <alignment horizontal="center" vertical="top"/>
    </xf>
    <xf numFmtId="43" fontId="38" fillId="0" borderId="7" xfId="382" applyFont="1" applyBorder="1" applyAlignment="1">
      <alignment vertical="top"/>
    </xf>
    <xf numFmtId="43" fontId="38" fillId="0" borderId="74" xfId="382" applyFont="1" applyBorder="1" applyAlignment="1">
      <alignment vertical="top"/>
    </xf>
    <xf numFmtId="43" fontId="38" fillId="0" borderId="54" xfId="382" applyFont="1" applyBorder="1" applyAlignment="1">
      <alignment vertical="top"/>
    </xf>
    <xf numFmtId="43" fontId="38" fillId="0" borderId="17" xfId="382" applyFont="1" applyFill="1" applyBorder="1" applyAlignment="1">
      <alignment vertical="top"/>
    </xf>
    <xf numFmtId="43" fontId="38" fillId="0" borderId="75" xfId="382" applyFont="1" applyFill="1" applyBorder="1" applyAlignment="1">
      <alignment vertical="top"/>
    </xf>
    <xf numFmtId="43" fontId="38" fillId="0" borderId="32" xfId="382" applyFont="1" applyBorder="1" applyAlignment="1">
      <alignment vertical="top"/>
    </xf>
    <xf numFmtId="43" fontId="38" fillId="51" borderId="54" xfId="382" applyFont="1" applyFill="1" applyBorder="1" applyAlignment="1">
      <alignment vertical="top"/>
    </xf>
    <xf numFmtId="43" fontId="38" fillId="51" borderId="0" xfId="382" applyFont="1" applyFill="1" applyBorder="1" applyAlignment="1">
      <alignment vertical="top"/>
    </xf>
    <xf numFmtId="43" fontId="38" fillId="51" borderId="54" xfId="382" quotePrefix="1" applyFont="1" applyFill="1" applyBorder="1" applyAlignment="1">
      <alignment vertical="top"/>
    </xf>
    <xf numFmtId="43" fontId="38" fillId="0" borderId="54" xfId="382" applyFont="1" applyFill="1" applyBorder="1" applyAlignment="1">
      <alignment vertical="top"/>
    </xf>
    <xf numFmtId="43" fontId="38" fillId="51" borderId="0" xfId="382" applyFont="1" applyFill="1" applyAlignment="1">
      <alignment vertical="top"/>
    </xf>
    <xf numFmtId="43" fontId="58" fillId="0" borderId="0" xfId="382" applyFont="1"/>
    <xf numFmtId="43" fontId="38" fillId="0" borderId="16" xfId="382" applyFont="1" applyFill="1" applyBorder="1" applyAlignment="1">
      <alignment vertical="top"/>
    </xf>
    <xf numFmtId="43" fontId="38" fillId="0" borderId="43" xfId="382" applyFont="1" applyFill="1" applyBorder="1" applyAlignment="1">
      <alignment vertical="top"/>
    </xf>
    <xf numFmtId="43" fontId="58" fillId="51" borderId="54" xfId="382" applyFont="1" applyFill="1" applyBorder="1"/>
    <xf numFmtId="43" fontId="58" fillId="0" borderId="17" xfId="382" applyFont="1" applyBorder="1"/>
    <xf numFmtId="0" fontId="2" fillId="0" borderId="0" xfId="0" applyFont="1" applyFill="1" applyAlignment="1">
      <alignment horizontal="center"/>
    </xf>
    <xf numFmtId="164" fontId="2" fillId="0" borderId="0" xfId="382" applyNumberFormat="1" applyFont="1" applyFill="1" applyAlignment="1">
      <alignment horizontal="center"/>
    </xf>
    <xf numFmtId="43" fontId="2" fillId="0" borderId="0" xfId="11622" applyFont="1" applyFill="1" applyAlignment="1">
      <alignment horizontal="center"/>
    </xf>
    <xf numFmtId="43" fontId="2" fillId="0" borderId="18" xfId="382" applyFont="1" applyFill="1" applyBorder="1" applyAlignment="1">
      <alignment horizontal="center"/>
    </xf>
    <xf numFmtId="164" fontId="2" fillId="0" borderId="18" xfId="382" applyNumberFormat="1" applyFont="1" applyFill="1" applyBorder="1" applyAlignment="1">
      <alignment horizontal="center"/>
    </xf>
    <xf numFmtId="0" fontId="38" fillId="0" borderId="0" xfId="484" quotePrefix="1" applyFont="1" applyFill="1" applyAlignment="1">
      <alignment horizontal="left" vertical="top"/>
    </xf>
    <xf numFmtId="0" fontId="38" fillId="0" borderId="0" xfId="0" quotePrefix="1" applyFont="1" applyAlignment="1">
      <alignment horizontal="left" indent="1"/>
    </xf>
    <xf numFmtId="0" fontId="2" fillId="0" borderId="0" xfId="0" applyFont="1" applyFill="1"/>
    <xf numFmtId="0" fontId="2" fillId="0" borderId="0" xfId="0" applyFont="1" applyFill="1" applyAlignment="1">
      <alignment horizontal="left" indent="1"/>
    </xf>
    <xf numFmtId="0" fontId="2" fillId="0" borderId="0" xfId="0" applyFont="1" applyFill="1" applyAlignment="1">
      <alignment horizontal="left"/>
    </xf>
    <xf numFmtId="0" fontId="0" fillId="51" borderId="0" xfId="0" applyFill="1"/>
    <xf numFmtId="43" fontId="58" fillId="51" borderId="0" xfId="382" applyFont="1" applyFill="1"/>
    <xf numFmtId="43" fontId="38" fillId="0" borderId="76" xfId="382" applyFont="1" applyBorder="1" applyAlignment="1">
      <alignment vertical="top"/>
    </xf>
    <xf numFmtId="43" fontId="38" fillId="0" borderId="24" xfId="382" applyFont="1" applyBorder="1" applyAlignment="1">
      <alignment vertical="top"/>
    </xf>
    <xf numFmtId="43" fontId="38" fillId="0" borderId="45" xfId="382" applyFont="1" applyBorder="1" applyAlignment="1">
      <alignment vertical="top"/>
    </xf>
    <xf numFmtId="43" fontId="38" fillId="0" borderId="18" xfId="382" applyFont="1" applyBorder="1" applyAlignment="1">
      <alignment vertical="top"/>
    </xf>
    <xf numFmtId="164" fontId="38" fillId="37" borderId="0" xfId="382" applyNumberFormat="1" applyFont="1" applyFill="1" applyBorder="1" applyAlignment="1">
      <alignment vertical="top"/>
    </xf>
    <xf numFmtId="164" fontId="2" fillId="0" borderId="0" xfId="382" applyNumberFormat="1" applyFont="1" applyFill="1"/>
    <xf numFmtId="164" fontId="2" fillId="0" borderId="0" xfId="0" applyNumberFormat="1" applyFont="1" applyFill="1"/>
    <xf numFmtId="164" fontId="2" fillId="0" borderId="0" xfId="0" applyNumberFormat="1" applyFont="1" applyFill="1" applyBorder="1"/>
    <xf numFmtId="164" fontId="2" fillId="0" borderId="17" xfId="382" applyNumberFormat="1" applyFont="1" applyFill="1" applyBorder="1"/>
    <xf numFmtId="164" fontId="2" fillId="0" borderId="0" xfId="382" applyNumberFormat="1" applyFont="1" applyFill="1" applyAlignment="1">
      <alignment horizontal="left"/>
    </xf>
    <xf numFmtId="164" fontId="38" fillId="0" borderId="0" xfId="382" applyNumberFormat="1" applyFont="1" applyFill="1" applyAlignment="1">
      <alignment horizontal="left" vertical="top"/>
    </xf>
    <xf numFmtId="164" fontId="2" fillId="0" borderId="0" xfId="11622" applyNumberFormat="1" applyFont="1" applyFill="1"/>
    <xf numFmtId="164" fontId="2" fillId="0" borderId="17" xfId="0" applyNumberFormat="1" applyFont="1" applyFill="1" applyBorder="1"/>
    <xf numFmtId="43" fontId="2" fillId="0" borderId="0" xfId="11622" applyFont="1" applyFill="1"/>
    <xf numFmtId="0" fontId="121" fillId="0" borderId="0" xfId="504" applyFont="1" applyFill="1" applyAlignment="1"/>
    <xf numFmtId="164" fontId="39" fillId="0" borderId="54" xfId="382" applyNumberFormat="1" applyFont="1" applyFill="1" applyBorder="1" applyAlignment="1"/>
    <xf numFmtId="0" fontId="39" fillId="37" borderId="0" xfId="504" applyFont="1" applyFill="1" applyAlignment="1">
      <alignment wrapText="1"/>
    </xf>
    <xf numFmtId="0" fontId="38" fillId="0" borderId="11" xfId="474" applyFont="1" applyFill="1" applyBorder="1" applyAlignment="1">
      <alignment horizontal="center" wrapText="1"/>
    </xf>
    <xf numFmtId="0" fontId="39" fillId="0" borderId="0" xfId="474" applyFont="1" applyFill="1" applyAlignment="1">
      <alignment horizontal="center"/>
    </xf>
    <xf numFmtId="0" fontId="39" fillId="0" borderId="0" xfId="474" applyFont="1" applyAlignment="1">
      <alignment horizontal="center"/>
    </xf>
    <xf numFmtId="0" fontId="39" fillId="0" borderId="18" xfId="474" applyFont="1" applyBorder="1" applyAlignment="1">
      <alignment horizontal="center"/>
    </xf>
    <xf numFmtId="0" fontId="39" fillId="0" borderId="18" xfId="474" applyFont="1" applyBorder="1" applyAlignment="1">
      <alignment horizontal="center" vertical="center" wrapText="1"/>
    </xf>
    <xf numFmtId="187" fontId="38" fillId="0" borderId="0" xfId="474" applyNumberFormat="1" applyFont="1" applyAlignment="1">
      <alignment horizontal="center"/>
    </xf>
    <xf numFmtId="0" fontId="161" fillId="0" borderId="0" xfId="474" applyFont="1"/>
    <xf numFmtId="0" fontId="38" fillId="0" borderId="0" xfId="474" applyFont="1" applyAlignment="1">
      <alignment horizontal="left" indent="1"/>
    </xf>
    <xf numFmtId="0" fontId="121" fillId="0" borderId="0" xfId="474" applyFont="1"/>
    <xf numFmtId="187" fontId="38" fillId="0" borderId="0" xfId="474" applyNumberFormat="1" applyFont="1" applyAlignment="1">
      <alignment horizontal="center" vertical="center"/>
    </xf>
    <xf numFmtId="0" fontId="39" fillId="0" borderId="0" xfId="474" applyFont="1" applyAlignment="1">
      <alignment vertical="center" wrapText="1"/>
    </xf>
    <xf numFmtId="164" fontId="38" fillId="0" borderId="0" xfId="382" applyNumberFormat="1" applyFont="1" applyAlignment="1">
      <alignment vertical="center"/>
    </xf>
    <xf numFmtId="0" fontId="39" fillId="0" borderId="0" xfId="474" applyFont="1" applyAlignment="1">
      <alignment horizontal="left" indent="1"/>
    </xf>
    <xf numFmtId="0" fontId="38" fillId="0" borderId="0" xfId="474" applyFont="1" applyAlignment="1">
      <alignment horizontal="left" indent="2"/>
    </xf>
    <xf numFmtId="0" fontId="39" fillId="0" borderId="0" xfId="474" applyFont="1" applyAlignment="1">
      <alignment wrapText="1"/>
    </xf>
    <xf numFmtId="164" fontId="38" fillId="0" borderId="16" xfId="382" applyNumberFormat="1" applyFont="1" applyBorder="1"/>
    <xf numFmtId="0" fontId="38" fillId="0" borderId="0" xfId="474" quotePrefix="1" applyFont="1" applyFill="1" applyAlignment="1">
      <alignment horizontal="center" vertical="center"/>
    </xf>
    <xf numFmtId="0" fontId="39" fillId="0" borderId="0" xfId="474" applyFont="1" applyFill="1" applyAlignment="1">
      <alignment horizontal="centerContinuous"/>
    </xf>
    <xf numFmtId="0" fontId="39" fillId="0" borderId="0" xfId="474" applyFont="1" applyAlignment="1">
      <alignment horizontal="center" wrapText="1"/>
    </xf>
    <xf numFmtId="43" fontId="119" fillId="0" borderId="0" xfId="382" applyFont="1" applyFill="1" applyBorder="1" applyAlignment="1">
      <alignment horizontal="centerContinuous" wrapText="1"/>
    </xf>
    <xf numFmtId="0" fontId="38" fillId="0" borderId="0" xfId="474" applyFont="1" applyFill="1" applyAlignment="1">
      <alignment horizontal="left" indent="1"/>
    </xf>
    <xf numFmtId="0" fontId="38" fillId="0" borderId="0" xfId="474" applyFont="1" applyFill="1" applyAlignment="1">
      <alignment vertical="top"/>
    </xf>
    <xf numFmtId="0" fontId="139" fillId="0" borderId="0" xfId="474" applyFont="1" applyFill="1" applyAlignment="1"/>
    <xf numFmtId="0" fontId="39" fillId="0" borderId="0" xfId="474" applyFont="1" applyFill="1" applyAlignment="1">
      <alignment horizontal="left" indent="1"/>
    </xf>
    <xf numFmtId="0" fontId="121" fillId="0" borderId="0" xfId="474" applyFont="1" applyFill="1"/>
    <xf numFmtId="0" fontId="139" fillId="0" borderId="0" xfId="474" applyFont="1"/>
    <xf numFmtId="0" fontId="87" fillId="0" borderId="0" xfId="474" applyFont="1"/>
    <xf numFmtId="164" fontId="38" fillId="0" borderId="0" xfId="474" applyNumberFormat="1" applyFill="1"/>
    <xf numFmtId="164" fontId="38" fillId="0" borderId="0" xfId="474" applyNumberFormat="1"/>
    <xf numFmtId="164" fontId="38" fillId="0" borderId="17" xfId="382" applyNumberFormat="1" applyFont="1" applyFill="1" applyBorder="1"/>
    <xf numFmtId="0" fontId="38" fillId="37" borderId="0" xfId="474" applyFont="1" applyFill="1"/>
    <xf numFmtId="0" fontId="42" fillId="0" borderId="35" xfId="0" applyFont="1" applyFill="1" applyBorder="1" applyAlignment="1">
      <alignment vertical="top"/>
    </xf>
    <xf numFmtId="0" fontId="42" fillId="0" borderId="0" xfId="0" applyNumberFormat="1" applyFont="1" applyFill="1" applyBorder="1" applyAlignment="1">
      <alignment vertical="top" wrapText="1"/>
    </xf>
    <xf numFmtId="0" fontId="124" fillId="0" borderId="0" xfId="0" applyFont="1" applyFill="1" applyBorder="1" applyAlignment="1">
      <alignment horizontal="center" vertical="top"/>
    </xf>
    <xf numFmtId="164" fontId="42" fillId="0" borderId="0" xfId="382" quotePrefix="1" applyNumberFormat="1" applyFont="1" applyFill="1" applyBorder="1" applyAlignment="1">
      <alignment horizontal="left" vertical="top" wrapText="1"/>
    </xf>
    <xf numFmtId="164" fontId="42" fillId="0" borderId="30" xfId="382" quotePrefix="1" applyNumberFormat="1" applyFont="1" applyFill="1" applyBorder="1" applyAlignment="1">
      <alignment vertical="top"/>
    </xf>
    <xf numFmtId="164" fontId="42" fillId="0" borderId="60" xfId="382" quotePrefix="1" applyNumberFormat="1" applyFont="1" applyFill="1" applyBorder="1" applyAlignment="1">
      <alignment vertical="top"/>
    </xf>
    <xf numFmtId="164" fontId="42" fillId="0" borderId="28" xfId="382" quotePrefix="1" applyNumberFormat="1" applyFont="1" applyFill="1" applyBorder="1" applyAlignment="1">
      <alignment vertical="top"/>
    </xf>
    <xf numFmtId="164" fontId="42" fillId="0" borderId="61" xfId="382" quotePrefix="1" applyNumberFormat="1" applyFont="1" applyFill="1" applyBorder="1" applyAlignment="1">
      <alignment vertical="top"/>
    </xf>
    <xf numFmtId="0" fontId="42" fillId="0" borderId="22" xfId="0" applyNumberFormat="1" applyFont="1" applyFill="1" applyBorder="1" applyAlignment="1">
      <alignment horizontal="center" vertical="center"/>
    </xf>
    <xf numFmtId="171" fontId="42" fillId="0" borderId="30" xfId="674" quotePrefix="1" applyNumberFormat="1" applyFont="1" applyFill="1" applyBorder="1"/>
    <xf numFmtId="0" fontId="42" fillId="0" borderId="0" xfId="0" applyNumberFormat="1" applyFont="1" applyFill="1" applyBorder="1" applyAlignment="1">
      <alignment vertical="top"/>
    </xf>
    <xf numFmtId="164" fontId="42" fillId="0" borderId="0" xfId="382" quotePrefix="1" applyNumberFormat="1" applyFont="1" applyFill="1" applyBorder="1" applyAlignment="1">
      <alignment vertical="top" wrapText="1"/>
    </xf>
    <xf numFmtId="164" fontId="42" fillId="0" borderId="26" xfId="382" quotePrefix="1" applyNumberFormat="1" applyFont="1" applyFill="1" applyBorder="1" applyAlignment="1">
      <alignment vertical="top"/>
    </xf>
    <xf numFmtId="164" fontId="42" fillId="0" borderId="59" xfId="382" quotePrefix="1" applyNumberFormat="1" applyFont="1" applyFill="1" applyBorder="1" applyAlignment="1">
      <alignment vertical="top"/>
    </xf>
    <xf numFmtId="170" fontId="42" fillId="0" borderId="26" xfId="382" quotePrefix="1" applyNumberFormat="1" applyFont="1" applyFill="1" applyBorder="1" applyAlignment="1"/>
    <xf numFmtId="170" fontId="42" fillId="0" borderId="59" xfId="382" quotePrefix="1" applyNumberFormat="1" applyFont="1" applyFill="1" applyBorder="1" applyAlignment="1"/>
    <xf numFmtId="3" fontId="137" fillId="0" borderId="37" xfId="0" applyNumberFormat="1" applyFont="1" applyBorder="1" applyAlignment="1"/>
    <xf numFmtId="171" fontId="124" fillId="0" borderId="26" xfId="0" applyNumberFormat="1" applyFont="1" applyFill="1" applyBorder="1" applyAlignment="1">
      <alignment horizontal="right"/>
    </xf>
    <xf numFmtId="171" fontId="124" fillId="0" borderId="59" xfId="0" applyNumberFormat="1" applyFont="1" applyFill="1" applyBorder="1" applyAlignment="1">
      <alignment horizontal="right"/>
    </xf>
    <xf numFmtId="3" fontId="42" fillId="0" borderId="35" xfId="0" quotePrefix="1" applyNumberFormat="1" applyFont="1" applyFill="1" applyBorder="1" applyAlignment="1">
      <alignment vertical="center"/>
    </xf>
    <xf numFmtId="164" fontId="42" fillId="0" borderId="28" xfId="382" quotePrefix="1" applyNumberFormat="1" applyFont="1" applyFill="1" applyBorder="1" applyAlignment="1">
      <alignment horizontal="right"/>
    </xf>
    <xf numFmtId="164" fontId="42" fillId="0" borderId="61" xfId="382" quotePrefix="1" applyNumberFormat="1" applyFont="1" applyFill="1" applyBorder="1" applyAlignment="1">
      <alignment horizontal="right"/>
    </xf>
    <xf numFmtId="0" fontId="42" fillId="0" borderId="35" xfId="0" quotePrefix="1" applyFont="1" applyFill="1" applyBorder="1" applyAlignment="1">
      <alignment horizontal="left" vertical="center"/>
    </xf>
    <xf numFmtId="0" fontId="42" fillId="0" borderId="0" xfId="0" quotePrefix="1" applyFont="1" applyFill="1" applyBorder="1" applyAlignment="1">
      <alignment horizontal="center"/>
    </xf>
    <xf numFmtId="0" fontId="42" fillId="0" borderId="18" xfId="0" quotePrefix="1" applyNumberFormat="1" applyFont="1" applyFill="1" applyBorder="1" applyAlignment="1">
      <alignment horizontal="center"/>
    </xf>
    <xf numFmtId="0" fontId="38" fillId="0" borderId="0" xfId="0" applyFont="1" applyAlignment="1">
      <alignment horizontal="center"/>
    </xf>
    <xf numFmtId="0" fontId="38" fillId="0" borderId="0" xfId="0" applyFont="1" applyFill="1" applyAlignment="1">
      <alignment horizontal="center"/>
    </xf>
    <xf numFmtId="0" fontId="38" fillId="0" borderId="0" xfId="504" applyFont="1" applyFill="1" applyBorder="1" applyAlignment="1">
      <alignment horizontal="left" vertical="top" wrapText="1"/>
    </xf>
    <xf numFmtId="0" fontId="38" fillId="0" borderId="0" xfId="0" applyFont="1" applyAlignment="1">
      <alignment horizontal="center" vertical="center"/>
    </xf>
    <xf numFmtId="0" fontId="38" fillId="0" borderId="0" xfId="0" applyFont="1" applyFill="1" applyAlignment="1">
      <alignment horizontal="left"/>
    </xf>
    <xf numFmtId="176" fontId="38" fillId="0" borderId="0" xfId="474" applyNumberFormat="1" applyFont="1" applyFill="1" applyAlignment="1">
      <alignment horizontal="left"/>
    </xf>
    <xf numFmtId="164" fontId="38" fillId="51" borderId="0" xfId="382" applyNumberFormat="1" applyFont="1" applyFill="1" applyBorder="1"/>
    <xf numFmtId="0" fontId="38" fillId="0" borderId="0" xfId="0" applyFont="1" applyFill="1" applyAlignment="1">
      <alignment horizontal="center"/>
    </xf>
    <xf numFmtId="0" fontId="38" fillId="0" borderId="0" xfId="504" applyFont="1" applyFill="1" applyAlignment="1">
      <alignment horizontal="center"/>
    </xf>
    <xf numFmtId="0" fontId="39" fillId="0" borderId="0" xfId="0" quotePrefix="1" applyFont="1"/>
    <xf numFmtId="164" fontId="39" fillId="0" borderId="0" xfId="382" applyNumberFormat="1" applyFont="1" applyFill="1"/>
    <xf numFmtId="164" fontId="38" fillId="0" borderId="18" xfId="504" applyNumberFormat="1" applyFont="1" applyFill="1" applyBorder="1"/>
    <xf numFmtId="0" fontId="38" fillId="0" borderId="0" xfId="0" quotePrefix="1" applyFont="1" applyFill="1" applyAlignment="1"/>
    <xf numFmtId="9" fontId="38" fillId="0" borderId="0" xfId="674" applyFont="1" applyFill="1" applyAlignment="1">
      <alignment horizontal="left"/>
    </xf>
    <xf numFmtId="9" fontId="87" fillId="0" borderId="0" xfId="674" applyFont="1" applyFill="1" applyAlignment="1">
      <alignment horizontal="center"/>
    </xf>
    <xf numFmtId="9" fontId="87" fillId="0" borderId="0" xfId="674" applyFont="1" applyFill="1" applyAlignment="1"/>
    <xf numFmtId="9" fontId="87" fillId="0" borderId="0" xfId="674" applyFont="1" applyFill="1"/>
    <xf numFmtId="9" fontId="87" fillId="0" borderId="0" xfId="674" applyFont="1" applyFill="1" applyAlignment="1">
      <alignment horizontal="right"/>
    </xf>
    <xf numFmtId="9" fontId="87" fillId="0" borderId="0" xfId="674" quotePrefix="1" applyFont="1" applyAlignment="1">
      <alignment horizontal="center"/>
    </xf>
    <xf numFmtId="9" fontId="87" fillId="0" borderId="0" xfId="674" applyFont="1" applyAlignment="1">
      <alignment horizontal="center"/>
    </xf>
    <xf numFmtId="9" fontId="87" fillId="0" borderId="0" xfId="674" applyFont="1" applyFill="1" applyBorder="1" applyAlignment="1">
      <alignment horizontal="center" wrapText="1"/>
    </xf>
    <xf numFmtId="9" fontId="87" fillId="0" borderId="0" xfId="674" applyFont="1" applyFill="1" applyBorder="1"/>
    <xf numFmtId="164" fontId="38" fillId="0" borderId="0" xfId="382" quotePrefix="1" applyNumberFormat="1" applyFont="1"/>
    <xf numFmtId="10" fontId="38" fillId="0" borderId="0" xfId="0" applyNumberFormat="1" applyFont="1"/>
    <xf numFmtId="14" fontId="38" fillId="0" borderId="0" xfId="0" applyNumberFormat="1" applyFont="1"/>
    <xf numFmtId="171" fontId="38" fillId="0" borderId="0" xfId="0" applyNumberFormat="1" applyFont="1"/>
    <xf numFmtId="0" fontId="38" fillId="0" borderId="0" xfId="0" applyNumberFormat="1" applyFont="1" applyFill="1" applyAlignment="1">
      <alignment horizontal="center"/>
    </xf>
    <xf numFmtId="0" fontId="38" fillId="0" borderId="18" xfId="0" applyNumberFormat="1" applyFont="1" applyFill="1" applyBorder="1" applyAlignment="1">
      <alignment horizontal="center"/>
    </xf>
    <xf numFmtId="171" fontId="38" fillId="0" borderId="18" xfId="0" applyNumberFormat="1" applyFont="1" applyBorder="1"/>
    <xf numFmtId="0" fontId="38" fillId="0" borderId="0" xfId="0" quotePrefix="1" applyFont="1" applyFill="1"/>
    <xf numFmtId="9" fontId="38" fillId="0" borderId="0" xfId="0" applyNumberFormat="1" applyFont="1"/>
    <xf numFmtId="0" fontId="38" fillId="0" borderId="0" xfId="0" quotePrefix="1" applyFont="1" applyAlignment="1">
      <alignment vertical="top"/>
    </xf>
    <xf numFmtId="0" fontId="38" fillId="0" borderId="0" xfId="533" applyFont="1" applyFill="1"/>
    <xf numFmtId="0" fontId="87" fillId="0" borderId="0" xfId="0" applyFont="1" applyFill="1" applyBorder="1" applyAlignment="1">
      <alignment horizontal="center"/>
    </xf>
    <xf numFmtId="43" fontId="38" fillId="0" borderId="0" xfId="382" applyFont="1" applyFill="1" applyAlignment="1"/>
    <xf numFmtId="43" fontId="38" fillId="0" borderId="0" xfId="474" applyNumberFormat="1" applyFont="1"/>
    <xf numFmtId="164" fontId="38" fillId="0" borderId="0" xfId="37703" applyNumberFormat="1" applyFont="1" applyBorder="1"/>
    <xf numFmtId="43" fontId="38" fillId="0" borderId="0" xfId="37703" applyFont="1" applyBorder="1" applyAlignment="1">
      <alignment horizontal="center" wrapText="1"/>
    </xf>
    <xf numFmtId="43" fontId="38" fillId="0" borderId="0" xfId="37703" applyFont="1" applyFill="1" applyBorder="1" applyAlignment="1">
      <alignment horizontal="center" wrapText="1"/>
    </xf>
    <xf numFmtId="43" fontId="38" fillId="0" borderId="0" xfId="37703" applyFont="1" applyAlignment="1">
      <alignment wrapText="1"/>
    </xf>
    <xf numFmtId="0" fontId="87" fillId="0" borderId="0" xfId="37702" applyFont="1" applyAlignment="1">
      <alignment horizontal="left"/>
    </xf>
    <xf numFmtId="43" fontId="38" fillId="0" borderId="0" xfId="37703" applyFont="1" applyAlignment="1">
      <alignment horizontal="left"/>
    </xf>
    <xf numFmtId="164" fontId="38" fillId="0" borderId="18" xfId="37703" applyNumberFormat="1" applyFont="1" applyFill="1" applyBorder="1" applyAlignment="1">
      <alignment horizontal="center"/>
    </xf>
    <xf numFmtId="164" fontId="38" fillId="37" borderId="0" xfId="37703" applyNumberFormat="1" applyFont="1" applyFill="1" applyBorder="1" applyAlignment="1">
      <alignment horizontal="right"/>
    </xf>
    <xf numFmtId="164" fontId="38" fillId="0" borderId="0" xfId="37703" applyNumberFormat="1" applyFont="1" applyFill="1" applyBorder="1" applyAlignment="1">
      <alignment horizontal="center"/>
    </xf>
    <xf numFmtId="164" fontId="38" fillId="0" borderId="0" xfId="37703" applyNumberFormat="1" applyFont="1" applyFill="1" applyBorder="1" applyAlignment="1">
      <alignment horizontal="right"/>
    </xf>
    <xf numFmtId="43" fontId="38" fillId="0" borderId="0" xfId="37703" applyFont="1" applyBorder="1" applyAlignment="1">
      <alignment horizontal="left"/>
    </xf>
    <xf numFmtId="164" fontId="38" fillId="0" borderId="0" xfId="37703" applyNumberFormat="1" applyFont="1"/>
    <xf numFmtId="164" fontId="38" fillId="0" borderId="0" xfId="37703" applyNumberFormat="1" applyFont="1" applyFill="1" applyBorder="1"/>
    <xf numFmtId="0" fontId="38" fillId="0" borderId="0" xfId="474" quotePrefix="1" applyFont="1" applyAlignment="1">
      <alignment vertical="top"/>
    </xf>
    <xf numFmtId="0" fontId="0" fillId="0" borderId="0" xfId="0" applyAlignment="1">
      <alignment horizontal="left" vertical="top" wrapText="1"/>
    </xf>
    <xf numFmtId="0" fontId="0" fillId="0" borderId="0" xfId="0" applyAlignment="1">
      <alignment horizontal="left" wrapText="1"/>
    </xf>
    <xf numFmtId="0" fontId="121" fillId="0" borderId="0" xfId="474" quotePrefix="1" applyFont="1" applyAlignment="1">
      <alignment horizontal="center" vertical="top"/>
    </xf>
    <xf numFmtId="164" fontId="121" fillId="37" borderId="0" xfId="382" applyNumberFormat="1" applyFont="1" applyFill="1" applyBorder="1" applyAlignment="1">
      <alignment horizontal="right"/>
    </xf>
    <xf numFmtId="0" fontId="121" fillId="0" borderId="18" xfId="0" applyFont="1" applyBorder="1"/>
    <xf numFmtId="0" fontId="0" fillId="0" borderId="18" xfId="0" applyBorder="1" applyAlignment="1">
      <alignment horizontal="left"/>
    </xf>
    <xf numFmtId="0" fontId="38" fillId="0" borderId="0" xfId="0" applyFont="1" applyBorder="1" applyAlignment="1">
      <alignment horizontal="left" vertical="top"/>
    </xf>
    <xf numFmtId="0" fontId="38" fillId="37" borderId="0" xfId="0" applyNumberFormat="1" applyFont="1" applyFill="1" applyBorder="1" applyAlignment="1">
      <alignment horizontal="left" indent="1"/>
    </xf>
    <xf numFmtId="164" fontId="38" fillId="37" borderId="0" xfId="382" quotePrefix="1" applyNumberFormat="1" applyFont="1" applyFill="1" applyBorder="1"/>
    <xf numFmtId="0" fontId="38" fillId="37" borderId="0" xfId="504" quotePrefix="1" applyFont="1" applyFill="1" applyAlignment="1">
      <alignment horizontal="left"/>
    </xf>
    <xf numFmtId="0" fontId="138" fillId="37" borderId="0" xfId="0" applyFont="1" applyFill="1" applyBorder="1" applyAlignment="1">
      <alignment horizontal="left"/>
    </xf>
    <xf numFmtId="0" fontId="121" fillId="37" borderId="0" xfId="0" applyFont="1" applyFill="1" applyAlignment="1">
      <alignment horizontal="left" indent="1"/>
    </xf>
    <xf numFmtId="164" fontId="121" fillId="37" borderId="0" xfId="382" applyNumberFormat="1" applyFont="1" applyFill="1" applyBorder="1"/>
    <xf numFmtId="0" fontId="121" fillId="37" borderId="0" xfId="504" applyFont="1" applyFill="1" applyAlignment="1">
      <alignment horizontal="left"/>
    </xf>
    <xf numFmtId="164" fontId="136" fillId="0" borderId="0" xfId="382" applyNumberFormat="1" applyFont="1"/>
    <xf numFmtId="0" fontId="38" fillId="0" borderId="0" xfId="0" applyFont="1" applyFill="1" applyAlignment="1">
      <alignment horizontal="center" vertical="top" wrapText="1"/>
    </xf>
    <xf numFmtId="0" fontId="39" fillId="0" borderId="18" xfId="0" applyFont="1" applyBorder="1" applyAlignment="1">
      <alignment horizontal="left" vertical="top" wrapText="1"/>
    </xf>
    <xf numFmtId="0" fontId="94" fillId="0" borderId="0" xfId="37696" applyNumberFormat="1" applyFont="1" applyFill="1" applyAlignment="1">
      <alignment horizontal="center"/>
    </xf>
    <xf numFmtId="3" fontId="107" fillId="0" borderId="0" xfId="37696" applyNumberFormat="1" applyFont="1" applyFill="1" applyAlignment="1">
      <alignment horizontal="left" vertical="top" wrapText="1"/>
    </xf>
    <xf numFmtId="169" fontId="147" fillId="0" borderId="0" xfId="37694" applyFont="1" applyAlignment="1">
      <alignment horizontal="left" vertical="top" wrapText="1"/>
    </xf>
    <xf numFmtId="0" fontId="94" fillId="0" borderId="0" xfId="37696" applyNumberFormat="1" applyFont="1" applyFill="1" applyAlignment="1" applyProtection="1">
      <alignment horizontal="center"/>
      <protection locked="0"/>
    </xf>
    <xf numFmtId="0" fontId="54" fillId="0" borderId="0" xfId="0" applyFont="1" applyAlignment="1">
      <alignment horizontal="center"/>
    </xf>
    <xf numFmtId="0" fontId="51" fillId="0" borderId="0" xfId="0" applyFont="1" applyAlignment="1">
      <alignment horizontal="center"/>
    </xf>
    <xf numFmtId="0" fontId="42" fillId="0" borderId="0" xfId="0" applyFont="1" applyFill="1" applyAlignment="1">
      <alignment horizontal="left" vertical="top" wrapText="1"/>
    </xf>
    <xf numFmtId="0" fontId="40" fillId="0" borderId="0" xfId="0" applyNumberFormat="1" applyFont="1" applyBorder="1" applyAlignment="1">
      <alignment horizontal="center"/>
    </xf>
    <xf numFmtId="0" fontId="42" fillId="0" borderId="0" xfId="0" applyFont="1" applyBorder="1" applyAlignment="1">
      <alignment horizontal="center" wrapText="1"/>
    </xf>
    <xf numFmtId="0" fontId="42" fillId="0" borderId="18" xfId="0" applyFont="1" applyBorder="1" applyAlignment="1">
      <alignment horizontal="center" wrapText="1"/>
    </xf>
    <xf numFmtId="3" fontId="42" fillId="0" borderId="35" xfId="0" applyNumberFormat="1" applyFont="1" applyBorder="1" applyAlignment="1">
      <alignment horizontal="center" vertical="top"/>
    </xf>
    <xf numFmtId="3" fontId="42" fillId="0" borderId="37" xfId="0" applyNumberFormat="1" applyFont="1" applyBorder="1" applyAlignment="1">
      <alignment horizontal="center" vertical="top"/>
    </xf>
    <xf numFmtId="0" fontId="40" fillId="0" borderId="16" xfId="0" applyNumberFormat="1" applyFont="1" applyFill="1" applyBorder="1" applyAlignment="1">
      <alignment horizontal="left" vertical="center" wrapText="1"/>
    </xf>
    <xf numFmtId="0" fontId="157" fillId="0" borderId="16" xfId="0" applyNumberFormat="1" applyFont="1" applyFill="1" applyBorder="1" applyAlignment="1">
      <alignment horizontal="left" vertical="center" wrapText="1"/>
    </xf>
    <xf numFmtId="0" fontId="42" fillId="0" borderId="0" xfId="0" applyFont="1" applyFill="1" applyBorder="1" applyAlignment="1">
      <alignment horizontal="left" vertical="top" wrapText="1"/>
    </xf>
    <xf numFmtId="0" fontId="42" fillId="0" borderId="0" xfId="0" quotePrefix="1" applyNumberFormat="1" applyFont="1" applyFill="1" applyBorder="1" applyAlignment="1">
      <alignment horizontal="left" vertical="top" wrapText="1"/>
    </xf>
    <xf numFmtId="0" fontId="42" fillId="0" borderId="0" xfId="0" applyNumberFormat="1" applyFont="1" applyFill="1" applyAlignment="1">
      <alignment horizontal="left" vertical="top"/>
    </xf>
    <xf numFmtId="169" fontId="42" fillId="0" borderId="0" xfId="590" applyFont="1" applyFill="1" applyAlignment="1" applyProtection="1">
      <alignment horizontal="left" vertical="top" wrapText="1"/>
      <protection locked="0"/>
    </xf>
    <xf numFmtId="0" fontId="42" fillId="0" borderId="0" xfId="0" applyFont="1" applyFill="1" applyBorder="1" applyAlignment="1">
      <alignment horizontal="left" vertical="top"/>
    </xf>
    <xf numFmtId="0" fontId="42" fillId="0" borderId="0" xfId="0" applyFont="1" applyFill="1" applyAlignment="1">
      <alignment horizontal="left" vertical="top"/>
    </xf>
    <xf numFmtId="0" fontId="42" fillId="0" borderId="0" xfId="0" applyNumberFormat="1" applyFont="1" applyFill="1" applyAlignment="1">
      <alignment horizontal="left" vertical="top" wrapText="1"/>
    </xf>
    <xf numFmtId="0" fontId="40" fillId="0" borderId="0" xfId="0" applyNumberFormat="1" applyFont="1" applyFill="1" applyAlignment="1">
      <alignment horizontal="center" vertical="top" wrapText="1"/>
    </xf>
    <xf numFmtId="0" fontId="0" fillId="0" borderId="0" xfId="0" applyAlignment="1">
      <alignment wrapText="1"/>
    </xf>
    <xf numFmtId="0" fontId="42" fillId="33" borderId="0" xfId="0" applyFont="1" applyFill="1" applyAlignment="1">
      <alignment horizontal="left" wrapText="1"/>
    </xf>
    <xf numFmtId="0" fontId="38" fillId="0" borderId="0" xfId="0" applyFont="1" applyFill="1" applyAlignment="1">
      <alignment horizontal="left" vertical="top" wrapText="1"/>
    </xf>
    <xf numFmtId="0" fontId="38" fillId="0" borderId="0" xfId="0" applyFont="1" applyAlignment="1">
      <alignment horizontal="center"/>
    </xf>
    <xf numFmtId="0" fontId="38" fillId="0" borderId="0" xfId="0" applyFont="1" applyFill="1" applyAlignment="1">
      <alignment horizontal="center"/>
    </xf>
    <xf numFmtId="0" fontId="38" fillId="0" borderId="0" xfId="0" applyFont="1" applyFill="1" applyAlignment="1">
      <alignment horizontal="center" wrapText="1"/>
    </xf>
    <xf numFmtId="0" fontId="38" fillId="0" borderId="0" xfId="504" applyFont="1" applyFill="1" applyBorder="1" applyAlignment="1">
      <alignment horizontal="left" vertical="top" wrapText="1"/>
    </xf>
    <xf numFmtId="0" fontId="38" fillId="0" borderId="0" xfId="0" applyFont="1" applyFill="1" applyAlignment="1">
      <alignment horizontal="left" wrapText="1"/>
    </xf>
    <xf numFmtId="43" fontId="38" fillId="0" borderId="0" xfId="0" applyNumberFormat="1" applyFont="1" applyFill="1" applyAlignment="1">
      <alignment horizontal="left"/>
    </xf>
    <xf numFmtId="0" fontId="38" fillId="0" borderId="0" xfId="0" applyFont="1" applyAlignment="1">
      <alignment horizontal="left" wrapText="1"/>
    </xf>
    <xf numFmtId="43" fontId="38" fillId="0" borderId="18" xfId="382" applyFont="1" applyFill="1" applyBorder="1" applyAlignment="1">
      <alignment horizontal="left"/>
    </xf>
    <xf numFmtId="0" fontId="38" fillId="55" borderId="0" xfId="0" applyFont="1" applyFill="1" applyAlignment="1">
      <alignment horizontal="left" wrapText="1"/>
    </xf>
    <xf numFmtId="0" fontId="121" fillId="55" borderId="0" xfId="0" applyFont="1" applyFill="1" applyAlignment="1">
      <alignment horizontal="left" vertical="top" wrapText="1"/>
    </xf>
    <xf numFmtId="0" fontId="38" fillId="0" borderId="0" xfId="0" applyFont="1" applyFill="1" applyAlignment="1">
      <alignment horizontal="left" wrapText="1" indent="1"/>
    </xf>
    <xf numFmtId="0" fontId="38" fillId="0" borderId="0" xfId="0" applyFont="1" applyAlignment="1">
      <alignment horizontal="left" vertical="top" wrapText="1"/>
    </xf>
    <xf numFmtId="0" fontId="38" fillId="0" borderId="0" xfId="0" quotePrefix="1" applyFont="1" applyFill="1" applyAlignment="1">
      <alignment horizontal="center"/>
    </xf>
    <xf numFmtId="0" fontId="38" fillId="0" borderId="0" xfId="0" quotePrefix="1" applyFont="1" applyFill="1" applyAlignment="1">
      <alignment horizontal="center" wrapText="1"/>
    </xf>
    <xf numFmtId="43" fontId="118" fillId="0" borderId="0" xfId="382" applyFont="1" applyBorder="1" applyAlignment="1">
      <alignment horizontal="center" vertical="center"/>
    </xf>
    <xf numFmtId="43" fontId="118" fillId="0" borderId="0" xfId="382" applyFont="1" applyAlignment="1">
      <alignment horizontal="center" vertical="center"/>
    </xf>
    <xf numFmtId="0" fontId="38" fillId="0" borderId="0" xfId="0" applyFont="1" applyFill="1" applyBorder="1" applyAlignment="1">
      <alignment horizontal="left" vertical="top" wrapText="1"/>
    </xf>
    <xf numFmtId="0" fontId="23" fillId="0" borderId="0" xfId="11271" applyFont="1" applyFill="1" applyAlignment="1">
      <alignment horizontal="left" wrapText="1"/>
    </xf>
    <xf numFmtId="0" fontId="140" fillId="0" borderId="0" xfId="0" applyFont="1" applyFill="1" applyAlignment="1">
      <alignment horizontal="left" vertical="center" wrapText="1"/>
    </xf>
    <xf numFmtId="0" fontId="38" fillId="0" borderId="0" xfId="504" applyFont="1" applyFill="1" applyAlignment="1">
      <alignment horizontal="left" vertical="top" wrapText="1"/>
    </xf>
    <xf numFmtId="0" fontId="154" fillId="0" borderId="0" xfId="0" applyFont="1" applyAlignment="1">
      <alignment horizontal="center" vertical="center" wrapText="1"/>
    </xf>
    <xf numFmtId="0" fontId="38" fillId="0" borderId="0" xfId="504" applyFont="1" applyFill="1" applyBorder="1" applyAlignment="1">
      <alignment horizontal="left"/>
    </xf>
    <xf numFmtId="0" fontId="38" fillId="0" borderId="0" xfId="504" applyFont="1" applyBorder="1" applyAlignment="1">
      <alignment horizontal="left" vertical="top" wrapText="1"/>
    </xf>
    <xf numFmtId="0" fontId="139" fillId="0" borderId="11" xfId="484" quotePrefix="1" applyFont="1" applyBorder="1" applyAlignment="1">
      <alignment horizontal="center" vertical="top"/>
    </xf>
    <xf numFmtId="0" fontId="139" fillId="0" borderId="11" xfId="484" applyFont="1" applyBorder="1" applyAlignment="1">
      <alignment horizontal="center" vertical="top"/>
    </xf>
    <xf numFmtId="0" fontId="139" fillId="0" borderId="11" xfId="382" quotePrefix="1" applyNumberFormat="1" applyFont="1" applyBorder="1" applyAlignment="1">
      <alignment horizontal="center" vertical="top"/>
    </xf>
    <xf numFmtId="0" fontId="139" fillId="0" borderId="11" xfId="382" applyNumberFormat="1" applyFont="1" applyBorder="1" applyAlignment="1">
      <alignment horizontal="center" vertical="top"/>
    </xf>
    <xf numFmtId="43" fontId="139" fillId="0" borderId="11" xfId="382" quotePrefix="1" applyFont="1" applyBorder="1" applyAlignment="1">
      <alignment horizontal="center" vertical="top"/>
    </xf>
    <xf numFmtId="43" fontId="139" fillId="0" borderId="11" xfId="382" applyFont="1" applyBorder="1" applyAlignment="1">
      <alignment horizontal="center" vertical="top"/>
    </xf>
    <xf numFmtId="0" fontId="38" fillId="0" borderId="0" xfId="0" quotePrefix="1" applyFont="1" applyFill="1" applyBorder="1" applyAlignment="1">
      <alignment horizontal="center" vertical="top"/>
    </xf>
    <xf numFmtId="0" fontId="58" fillId="0" borderId="0" xfId="0" applyFont="1" applyFill="1" applyAlignment="1">
      <alignment horizontal="center"/>
    </xf>
    <xf numFmtId="0" fontId="68" fillId="0" borderId="18" xfId="0" applyFont="1" applyFill="1" applyBorder="1" applyAlignment="1">
      <alignment horizontal="center"/>
    </xf>
    <xf numFmtId="0" fontId="39" fillId="0" borderId="0" xfId="484" applyFont="1" applyFill="1" applyAlignment="1">
      <alignment horizontal="center" vertical="top"/>
    </xf>
    <xf numFmtId="164" fontId="39" fillId="0" borderId="0" xfId="382" applyNumberFormat="1" applyFont="1" applyFill="1" applyAlignment="1">
      <alignment horizontal="center" vertical="top"/>
    </xf>
    <xf numFmtId="0" fontId="38" fillId="0" borderId="0" xfId="0" applyFont="1" applyAlignment="1">
      <alignment horizontal="center" vertical="top"/>
    </xf>
    <xf numFmtId="0" fontId="58" fillId="0" borderId="0" xfId="11272" applyFont="1" applyAlignment="1">
      <alignment horizontal="center"/>
    </xf>
    <xf numFmtId="0" fontId="58" fillId="0" borderId="0" xfId="474" quotePrefix="1" applyFont="1" applyFill="1" applyAlignment="1">
      <alignment horizontal="center"/>
    </xf>
    <xf numFmtId="0" fontId="38" fillId="0" borderId="0" xfId="474" applyFont="1" applyAlignment="1">
      <alignment horizontal="left" vertical="top" wrapText="1"/>
    </xf>
    <xf numFmtId="0" fontId="38" fillId="0" borderId="0" xfId="474" applyFont="1" applyFill="1" applyAlignment="1">
      <alignment horizontal="center"/>
    </xf>
    <xf numFmtId="3" fontId="38" fillId="0" borderId="0" xfId="11265" quotePrefix="1" applyNumberFormat="1" applyFont="1" applyFill="1" applyAlignment="1">
      <alignment horizontal="center"/>
    </xf>
    <xf numFmtId="0" fontId="38" fillId="0" borderId="0" xfId="474"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38" fillId="0" borderId="0" xfId="37702" applyFont="1" applyAlignment="1">
      <alignment horizontal="center"/>
    </xf>
    <xf numFmtId="43" fontId="38" fillId="0" borderId="0" xfId="37703" applyFont="1" applyBorder="1" applyAlignment="1">
      <alignment horizontal="center" wrapText="1"/>
    </xf>
    <xf numFmtId="0" fontId="38" fillId="0" borderId="0" xfId="569" applyFont="1" applyFill="1" applyBorder="1" applyAlignment="1">
      <alignment horizontal="center" vertical="top"/>
    </xf>
    <xf numFmtId="0" fontId="38" fillId="0" borderId="0" xfId="564" quotePrefix="1" applyFont="1" applyFill="1" applyBorder="1" applyAlignment="1">
      <alignment horizontal="center" vertical="top"/>
    </xf>
    <xf numFmtId="0" fontId="39" fillId="0" borderId="0" xfId="0" applyFont="1" applyAlignment="1">
      <alignment horizontal="center" vertical="top"/>
    </xf>
    <xf numFmtId="0" fontId="39" fillId="0" borderId="0" xfId="0" applyFont="1" applyFill="1" applyAlignment="1">
      <alignment horizontal="center" vertical="top"/>
    </xf>
    <xf numFmtId="164" fontId="119" fillId="0" borderId="0" xfId="382" applyNumberFormat="1" applyFont="1" applyFill="1" applyBorder="1" applyAlignment="1">
      <alignment horizontal="center"/>
    </xf>
    <xf numFmtId="164" fontId="119" fillId="0" borderId="35" xfId="382" applyNumberFormat="1" applyFont="1" applyFill="1" applyBorder="1" applyAlignment="1">
      <alignment horizontal="center"/>
    </xf>
    <xf numFmtId="164" fontId="119" fillId="0" borderId="0" xfId="382" applyNumberFormat="1" applyFont="1" applyFill="1" applyAlignment="1">
      <alignment horizontal="center"/>
    </xf>
    <xf numFmtId="0" fontId="39" fillId="0" borderId="24" xfId="0" applyFont="1" applyFill="1" applyBorder="1" applyAlignment="1">
      <alignment horizontal="left" wrapText="1"/>
    </xf>
    <xf numFmtId="0" fontId="39" fillId="0" borderId="0" xfId="0" applyFont="1" applyFill="1" applyAlignment="1">
      <alignment horizontal="left" vertical="top" wrapText="1"/>
    </xf>
    <xf numFmtId="43" fontId="119" fillId="0" borderId="0" xfId="382" applyFont="1" applyFill="1" applyBorder="1" applyAlignment="1">
      <alignment horizontal="center" vertical="top"/>
    </xf>
    <xf numFmtId="43" fontId="119" fillId="0" borderId="35" xfId="382" applyFont="1" applyFill="1" applyBorder="1" applyAlignment="1">
      <alignment horizontal="center" vertical="top"/>
    </xf>
    <xf numFmtId="43" fontId="119" fillId="0" borderId="54" xfId="382" applyFont="1" applyFill="1" applyBorder="1" applyAlignment="1">
      <alignment horizontal="center" vertical="top"/>
    </xf>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9" fillId="0" borderId="0" xfId="0" applyFont="1" applyFill="1" applyBorder="1" applyAlignment="1">
      <alignment horizontal="left" wrapText="1"/>
    </xf>
    <xf numFmtId="0" fontId="39" fillId="0" borderId="0" xfId="0" applyFont="1" applyFill="1" applyBorder="1" applyAlignment="1">
      <alignment vertical="center" wrapText="1"/>
    </xf>
    <xf numFmtId="0" fontId="38" fillId="0" borderId="0" xfId="0" applyFont="1" applyFill="1" applyBorder="1" applyAlignment="1">
      <alignment horizontal="left"/>
    </xf>
    <xf numFmtId="0" fontId="38" fillId="0" borderId="0" xfId="0" applyFont="1" applyFill="1" applyBorder="1" applyAlignment="1">
      <alignment horizontal="left" wrapText="1"/>
    </xf>
    <xf numFmtId="164" fontId="119" fillId="0" borderId="44" xfId="382" applyNumberFormat="1" applyFont="1" applyFill="1" applyBorder="1" applyAlignment="1">
      <alignment horizontal="center"/>
    </xf>
    <xf numFmtId="0" fontId="0" fillId="0" borderId="0" xfId="0" applyAlignment="1">
      <alignment horizontal="left" vertical="top" wrapText="1"/>
    </xf>
    <xf numFmtId="0" fontId="38" fillId="0" borderId="0" xfId="0" applyFont="1" applyFill="1" applyAlignment="1">
      <alignment horizontal="left" vertical="center" wrapText="1"/>
    </xf>
    <xf numFmtId="43" fontId="6" fillId="0" borderId="0" xfId="382" applyFont="1" applyFill="1" applyBorder="1" applyAlignment="1">
      <alignment horizontal="center" wrapText="1"/>
    </xf>
    <xf numFmtId="43" fontId="6" fillId="0" borderId="18" xfId="382" applyFont="1" applyFill="1" applyBorder="1" applyAlignment="1">
      <alignment horizontal="center" wrapText="1"/>
    </xf>
    <xf numFmtId="0" fontId="13" fillId="0" borderId="0" xfId="11271" applyFont="1" applyFill="1" applyAlignment="1">
      <alignment horizontal="left" wrapText="1"/>
    </xf>
    <xf numFmtId="185" fontId="39" fillId="0" borderId="0" xfId="474" applyNumberFormat="1" applyFont="1" applyAlignment="1" applyProtection="1">
      <alignment horizontal="center"/>
      <protection locked="0"/>
    </xf>
    <xf numFmtId="0" fontId="38" fillId="0" borderId="0" xfId="474" applyFont="1" applyAlignment="1" applyProtection="1">
      <alignment horizontal="center"/>
      <protection locked="0"/>
    </xf>
    <xf numFmtId="0" fontId="38" fillId="0" borderId="0" xfId="474" applyFont="1" applyFill="1" applyAlignment="1" applyProtection="1">
      <alignment horizontal="center"/>
      <protection locked="0"/>
    </xf>
    <xf numFmtId="0" fontId="38" fillId="0" borderId="0" xfId="484" applyFont="1" applyFill="1" applyAlignment="1">
      <alignment horizontal="left" vertical="top" wrapText="1"/>
    </xf>
    <xf numFmtId="0" fontId="38" fillId="0" borderId="0" xfId="11272" applyFont="1" applyAlignment="1">
      <alignment horizontal="center" vertical="top"/>
    </xf>
    <xf numFmtId="0" fontId="58" fillId="0" borderId="0" xfId="0" quotePrefix="1" applyFont="1" applyFill="1" applyAlignment="1">
      <alignment horizontal="center"/>
    </xf>
    <xf numFmtId="0" fontId="20" fillId="0" borderId="0" xfId="513" applyFont="1" applyFill="1" applyAlignment="1">
      <alignment horizontal="left" vertical="top" wrapText="1"/>
    </xf>
    <xf numFmtId="0" fontId="5" fillId="0" borderId="0" xfId="513" applyFont="1" applyFill="1" applyAlignment="1">
      <alignment horizontal="left" vertical="top" wrapText="1"/>
    </xf>
    <xf numFmtId="0" fontId="58" fillId="0" borderId="0" xfId="513" applyFont="1" applyAlignment="1">
      <alignment horizontal="center"/>
    </xf>
    <xf numFmtId="0" fontId="68" fillId="0" borderId="0" xfId="513" applyFont="1" applyBorder="1" applyAlignment="1">
      <alignment horizontal="center"/>
    </xf>
    <xf numFmtId="0" fontId="58" fillId="0" borderId="0" xfId="513" applyFont="1" applyFill="1" applyAlignment="1">
      <alignment horizontal="center"/>
    </xf>
    <xf numFmtId="0" fontId="58" fillId="0" borderId="0" xfId="11271" applyFont="1" applyAlignment="1">
      <alignment horizontal="center"/>
    </xf>
    <xf numFmtId="0" fontId="38" fillId="0" borderId="0" xfId="474" applyFont="1" applyFill="1" applyAlignment="1">
      <alignment horizontal="left" wrapText="1"/>
    </xf>
    <xf numFmtId="0" fontId="38" fillId="0" borderId="0" xfId="0" quotePrefix="1" applyFont="1" applyFill="1" applyBorder="1" applyAlignment="1">
      <alignment horizontal="left" vertical="top" wrapText="1"/>
    </xf>
    <xf numFmtId="0" fontId="154" fillId="0" borderId="0" xfId="0" applyFont="1" applyAlignment="1">
      <alignment horizontal="center" wrapText="1"/>
    </xf>
    <xf numFmtId="0" fontId="38" fillId="0" borderId="0" xfId="11275" quotePrefix="1" applyFont="1" applyFill="1" applyBorder="1" applyAlignment="1">
      <alignment horizontal="center" vertical="top"/>
    </xf>
    <xf numFmtId="0" fontId="38" fillId="0" borderId="0" xfId="11275" applyFont="1" applyFill="1" applyBorder="1" applyAlignment="1">
      <alignment horizontal="center" vertical="top"/>
    </xf>
    <xf numFmtId="0" fontId="58" fillId="0" borderId="0" xfId="11275" applyFont="1" applyFill="1" applyAlignment="1">
      <alignment horizontal="left" wrapText="1"/>
    </xf>
    <xf numFmtId="0" fontId="0" fillId="0" borderId="0" xfId="0" applyAlignment="1">
      <alignment horizontal="left" wrapText="1"/>
    </xf>
    <xf numFmtId="0" fontId="58" fillId="0" borderId="0" xfId="569" applyFont="1" applyFill="1" applyAlignment="1">
      <alignment horizontal="left" wrapText="1"/>
    </xf>
    <xf numFmtId="0" fontId="58" fillId="0" borderId="54" xfId="569" applyFont="1" applyBorder="1" applyAlignment="1">
      <alignment horizontal="center"/>
    </xf>
    <xf numFmtId="0" fontId="58" fillId="0" borderId="0" xfId="569" applyFont="1" applyAlignment="1">
      <alignment horizontal="center"/>
    </xf>
    <xf numFmtId="164" fontId="38" fillId="0" borderId="6" xfId="11275" applyNumberFormat="1" applyFont="1" applyFill="1" applyBorder="1" applyAlignment="1">
      <alignment horizontal="center" vertical="top"/>
    </xf>
    <xf numFmtId="164" fontId="38" fillId="0" borderId="18" xfId="11275" applyNumberFormat="1" applyFont="1" applyFill="1" applyBorder="1" applyAlignment="1">
      <alignment horizontal="center" vertical="top"/>
    </xf>
    <xf numFmtId="0" fontId="38" fillId="0" borderId="0" xfId="569" quotePrefix="1" applyFont="1" applyFill="1" applyBorder="1" applyAlignment="1">
      <alignment horizontal="center" vertical="top"/>
    </xf>
    <xf numFmtId="0" fontId="0" fillId="0" borderId="0" xfId="0" applyAlignment="1">
      <alignment horizontal="left"/>
    </xf>
    <xf numFmtId="0" fontId="38" fillId="0" borderId="0" xfId="0" applyFont="1" applyAlignment="1">
      <alignment horizontal="center" vertical="center"/>
    </xf>
    <xf numFmtId="43" fontId="38" fillId="0" borderId="18" xfId="382" applyFont="1" applyBorder="1" applyAlignment="1">
      <alignment horizontal="center"/>
    </xf>
    <xf numFmtId="0" fontId="38" fillId="0" borderId="18" xfId="0" applyFont="1" applyFill="1" applyBorder="1" applyAlignment="1">
      <alignment horizontal="center"/>
    </xf>
    <xf numFmtId="0" fontId="20" fillId="0" borderId="0" xfId="11271" applyFont="1" applyBorder="1" applyAlignment="1">
      <alignment horizontal="center" wrapText="1"/>
    </xf>
    <xf numFmtId="0" fontId="20" fillId="0" borderId="18" xfId="11271" applyFont="1" applyBorder="1" applyAlignment="1">
      <alignment horizontal="center" wrapText="1"/>
    </xf>
    <xf numFmtId="0" fontId="121" fillId="54" borderId="0" xfId="474" applyFont="1" applyFill="1" applyAlignment="1">
      <alignment horizontal="left"/>
    </xf>
    <xf numFmtId="0" fontId="38" fillId="0" borderId="0" xfId="474" quotePrefix="1" applyFont="1" applyAlignment="1">
      <alignment horizontal="center"/>
    </xf>
    <xf numFmtId="0" fontId="38" fillId="0" borderId="0" xfId="474" applyFont="1" applyAlignment="1">
      <alignment horizontal="center"/>
    </xf>
    <xf numFmtId="0" fontId="38" fillId="0" borderId="4" xfId="474" applyFont="1" applyBorder="1" applyAlignment="1">
      <alignment horizontal="center"/>
    </xf>
    <xf numFmtId="0" fontId="38" fillId="0" borderId="6" xfId="474" applyFont="1" applyBorder="1" applyAlignment="1">
      <alignment horizontal="center"/>
    </xf>
    <xf numFmtId="0" fontId="38" fillId="0" borderId="21" xfId="474" applyFont="1" applyBorder="1" applyAlignment="1">
      <alignment horizontal="center"/>
    </xf>
    <xf numFmtId="0" fontId="38" fillId="0" borderId="0" xfId="474" quotePrefix="1" applyFont="1" applyFill="1" applyAlignment="1">
      <alignment horizontal="center" vertical="top"/>
    </xf>
    <xf numFmtId="0" fontId="38" fillId="0" borderId="0" xfId="474" quotePrefix="1" applyFont="1" applyFill="1" applyAlignment="1">
      <alignment horizontal="center"/>
    </xf>
    <xf numFmtId="0" fontId="38" fillId="0" borderId="0" xfId="474" quotePrefix="1" applyFont="1" applyFill="1" applyAlignment="1">
      <alignment horizontal="center" vertical="center"/>
    </xf>
    <xf numFmtId="0" fontId="38" fillId="0" borderId="0" xfId="474" applyFont="1" applyAlignment="1">
      <alignment horizontal="left" wrapText="1"/>
    </xf>
    <xf numFmtId="0" fontId="121" fillId="54" borderId="0" xfId="511" applyFont="1" applyFill="1" applyAlignment="1">
      <alignment horizontal="left" vertical="top" wrapText="1"/>
    </xf>
    <xf numFmtId="0" fontId="20" fillId="0" borderId="0" xfId="0" applyFont="1" applyFill="1" applyAlignment="1">
      <alignment horizontal="left" vertical="top" wrapText="1"/>
    </xf>
    <xf numFmtId="0" fontId="38" fillId="0" borderId="0" xfId="0" applyFont="1" applyFill="1" applyAlignment="1">
      <alignment horizontal="left"/>
    </xf>
    <xf numFmtId="43" fontId="126" fillId="0" borderId="0" xfId="382" applyFont="1" applyFill="1" applyAlignment="1">
      <alignment horizontal="center"/>
    </xf>
    <xf numFmtId="43" fontId="38" fillId="0" borderId="18" xfId="382" applyFont="1" applyFill="1" applyBorder="1" applyAlignment="1">
      <alignment horizontal="center"/>
    </xf>
    <xf numFmtId="0" fontId="163" fillId="0" borderId="0" xfId="0" applyFont="1" applyAlignment="1">
      <alignment horizontal="left"/>
    </xf>
  </cellXfs>
  <cellStyles count="37704">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2 2 2" xfId="37701"/>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28" xfId="37703"/>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44" xfId="37702"/>
    <cellStyle name="Normal 45" xfId="37699"/>
    <cellStyle name="Normal 46" xfId="37700"/>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color rgb="FFFFFFCC"/>
      <color rgb="FF66FFFF"/>
      <color rgb="FFFFFF66"/>
      <color rgb="FFFFCCFF"/>
      <color rgb="FFFF99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0</xdr:colOff>
      <xdr:row>72</xdr:row>
      <xdr:rowOff>0</xdr:rowOff>
    </xdr:from>
    <xdr:ext cx="184731" cy="264560"/>
    <xdr:sp macro="" textlink="">
      <xdr:nvSpPr>
        <xdr:cNvPr id="2" name="TextBox 1"/>
        <xdr:cNvSpPr txBox="1"/>
      </xdr:nvSpPr>
      <xdr:spPr>
        <a:xfrm>
          <a:off x="4351020" y="12146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0" y="925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38100</xdr:colOff>
      <xdr:row>61</xdr:row>
      <xdr:rowOff>139700</xdr:rowOff>
    </xdr:from>
    <xdr:ext cx="184731" cy="264560"/>
    <xdr:sp macro="" textlink="">
      <xdr:nvSpPr>
        <xdr:cNvPr id="4" name="TextBox 3"/>
        <xdr:cNvSpPr txBox="1"/>
      </xdr:nvSpPr>
      <xdr:spPr>
        <a:xfrm>
          <a:off x="6477000" y="10434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517398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38100</xdr:colOff>
      <xdr:row>61</xdr:row>
      <xdr:rowOff>139700</xdr:rowOff>
    </xdr:from>
    <xdr:ext cx="184731" cy="264560"/>
    <xdr:sp macro="" textlink="">
      <xdr:nvSpPr>
        <xdr:cNvPr id="6" name="TextBox 5"/>
        <xdr:cNvSpPr txBox="1"/>
      </xdr:nvSpPr>
      <xdr:spPr>
        <a:xfrm>
          <a:off x="663702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38100</xdr:colOff>
      <xdr:row>61</xdr:row>
      <xdr:rowOff>139700</xdr:rowOff>
    </xdr:from>
    <xdr:ext cx="184731" cy="264560"/>
    <xdr:sp macro="" textlink="">
      <xdr:nvSpPr>
        <xdr:cNvPr id="7" name="TextBox 6"/>
        <xdr:cNvSpPr txBox="1"/>
      </xdr:nvSpPr>
      <xdr:spPr>
        <a:xfrm>
          <a:off x="729234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61</xdr:row>
      <xdr:rowOff>139700</xdr:rowOff>
    </xdr:from>
    <xdr:ext cx="184731" cy="264560"/>
    <xdr:sp macro="" textlink="">
      <xdr:nvSpPr>
        <xdr:cNvPr id="8" name="TextBox 7"/>
        <xdr:cNvSpPr txBox="1"/>
      </xdr:nvSpPr>
      <xdr:spPr>
        <a:xfrm>
          <a:off x="382524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9" name="TextBox 8"/>
        <xdr:cNvSpPr txBox="1"/>
      </xdr:nvSpPr>
      <xdr:spPr>
        <a:xfrm>
          <a:off x="517398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38100</xdr:colOff>
      <xdr:row>75</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83</xdr:row>
      <xdr:rowOff>0</xdr:rowOff>
    </xdr:from>
    <xdr:ext cx="184731" cy="264560"/>
    <xdr:sp macro="" textlink="">
      <xdr:nvSpPr>
        <xdr:cNvPr id="4" name="TextBox 3"/>
        <xdr:cNvSpPr txBox="1"/>
      </xdr:nvSpPr>
      <xdr:spPr>
        <a:xfrm>
          <a:off x="4351020" y="1046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38100</xdr:colOff>
      <xdr:row>4</xdr:row>
      <xdr:rowOff>0</xdr:rowOff>
    </xdr:from>
    <xdr:ext cx="184731" cy="264560"/>
    <xdr:sp macro="" textlink="">
      <xdr:nvSpPr>
        <xdr:cNvPr id="2" name="TextBox 1"/>
        <xdr:cNvSpPr txBox="1"/>
      </xdr:nvSpPr>
      <xdr:spPr>
        <a:xfrm>
          <a:off x="5059680" y="670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36</xdr:row>
      <xdr:rowOff>0</xdr:rowOff>
    </xdr:from>
    <xdr:ext cx="184731" cy="264560"/>
    <xdr:sp macro="" textlink="">
      <xdr:nvSpPr>
        <xdr:cNvPr id="3" name="TextBox 2"/>
        <xdr:cNvSpPr txBox="1"/>
      </xdr:nvSpPr>
      <xdr:spPr>
        <a:xfrm>
          <a:off x="3055620" y="683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31</xdr:row>
      <xdr:rowOff>0</xdr:rowOff>
    </xdr:from>
    <xdr:ext cx="184731" cy="264560"/>
    <xdr:sp macro="" textlink="">
      <xdr:nvSpPr>
        <xdr:cNvPr id="4" name="TextBox 3"/>
        <xdr:cNvSpPr txBox="1"/>
      </xdr:nvSpPr>
      <xdr:spPr>
        <a:xfrm>
          <a:off x="0" y="599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31</xdr:row>
      <xdr:rowOff>0</xdr:rowOff>
    </xdr:from>
    <xdr:ext cx="184731" cy="264560"/>
    <xdr:sp macro="" textlink="">
      <xdr:nvSpPr>
        <xdr:cNvPr id="5" name="TextBox 4"/>
        <xdr:cNvSpPr txBox="1"/>
      </xdr:nvSpPr>
      <xdr:spPr>
        <a:xfrm>
          <a:off x="5021580" y="599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31</xdr:row>
      <xdr:rowOff>0</xdr:rowOff>
    </xdr:from>
    <xdr:ext cx="184731" cy="264560"/>
    <xdr:sp macro="" textlink="">
      <xdr:nvSpPr>
        <xdr:cNvPr id="6" name="TextBox 5"/>
        <xdr:cNvSpPr txBox="1"/>
      </xdr:nvSpPr>
      <xdr:spPr>
        <a:xfrm>
          <a:off x="1950720" y="599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31</xdr:row>
      <xdr:rowOff>0</xdr:rowOff>
    </xdr:from>
    <xdr:ext cx="184731" cy="264560"/>
    <xdr:sp macro="" textlink="">
      <xdr:nvSpPr>
        <xdr:cNvPr id="7" name="TextBox 6"/>
        <xdr:cNvSpPr txBox="1"/>
      </xdr:nvSpPr>
      <xdr:spPr>
        <a:xfrm>
          <a:off x="0" y="599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31</xdr:row>
      <xdr:rowOff>0</xdr:rowOff>
    </xdr:from>
    <xdr:ext cx="184731" cy="264560"/>
    <xdr:sp macro="" textlink="">
      <xdr:nvSpPr>
        <xdr:cNvPr id="8" name="TextBox 7"/>
        <xdr:cNvSpPr txBox="1"/>
      </xdr:nvSpPr>
      <xdr:spPr>
        <a:xfrm>
          <a:off x="3992880" y="5996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3</xdr:row>
      <xdr:rowOff>0</xdr:rowOff>
    </xdr:from>
    <xdr:ext cx="184731" cy="264560"/>
    <xdr:sp macro="" textlink="">
      <xdr:nvSpPr>
        <xdr:cNvPr id="9" name="TextBox 8"/>
        <xdr:cNvSpPr txBox="1"/>
      </xdr:nvSpPr>
      <xdr:spPr>
        <a:xfrm>
          <a:off x="50596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0" name="TextBox 9"/>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11" name="TextBox 10"/>
        <xdr:cNvSpPr txBox="1"/>
      </xdr:nvSpPr>
      <xdr:spPr>
        <a:xfrm>
          <a:off x="5021580" y="532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12" name="TextBox 11"/>
        <xdr:cNvSpPr txBox="1"/>
      </xdr:nvSpPr>
      <xdr:spPr>
        <a:xfrm>
          <a:off x="1950720" y="532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3" name="TextBox 12"/>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14" name="TextBox 13"/>
        <xdr:cNvSpPr txBox="1"/>
      </xdr:nvSpPr>
      <xdr:spPr>
        <a:xfrm>
          <a:off x="399288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15" name="TextBox 14"/>
        <xdr:cNvSpPr txBox="1"/>
      </xdr:nvSpPr>
      <xdr:spPr>
        <a:xfrm>
          <a:off x="5021580" y="549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16" name="TextBox 15"/>
        <xdr:cNvSpPr txBox="1"/>
      </xdr:nvSpPr>
      <xdr:spPr>
        <a:xfrm>
          <a:off x="1950720" y="549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3</xdr:row>
      <xdr:rowOff>0</xdr:rowOff>
    </xdr:from>
    <xdr:ext cx="184731" cy="264560"/>
    <xdr:sp macro="" textlink="">
      <xdr:nvSpPr>
        <xdr:cNvPr id="17" name="TextBox 16"/>
        <xdr:cNvSpPr txBox="1"/>
      </xdr:nvSpPr>
      <xdr:spPr>
        <a:xfrm>
          <a:off x="56692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3</xdr:row>
      <xdr:rowOff>0</xdr:rowOff>
    </xdr:from>
    <xdr:ext cx="184731" cy="264560"/>
    <xdr:sp macro="" textlink="">
      <xdr:nvSpPr>
        <xdr:cNvPr id="18" name="TextBox 17"/>
        <xdr:cNvSpPr txBox="1"/>
      </xdr:nvSpPr>
      <xdr:spPr>
        <a:xfrm>
          <a:off x="50596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70</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49</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56</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lecRate/Info%20from%20Previous%20Cases/COS/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SUPP/FERC/FERC%20-%20OATT/RS1081%20Rate%20Filings/2013%20(2012%20TY)%20ER13-1623/Model%20&amp;%20Filing/Model%20RevReq%202013%20OATT%20-%20Final%20As%20Fil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0(D)/1-Projects/1-%20Projects-Pending/PacifiCorp/Post%20settlement%20Formula%20runs/Issued%20Copy%20of%202013_Projection__Variance_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raft/Special%20Projects/OATT/2001/2001%20OATT%20Rates%20TD%20OMadj.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GSUPP/FERC/MISO/MISO%20OATT%20Tariff/OpCos%20Attmnt%20O%2010-25-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2"/>
  <sheetViews>
    <sheetView workbookViewId="0">
      <selection sqref="A1:C1"/>
    </sheetView>
  </sheetViews>
  <sheetFormatPr defaultColWidth="8.88671875" defaultRowHeight="13.2"/>
  <cols>
    <col min="1" max="1" width="21.88671875" style="1737" customWidth="1"/>
    <col min="2" max="2" width="69.44140625" style="1737" customWidth="1"/>
    <col min="3" max="3" width="2.44140625" style="1737" customWidth="1"/>
    <col min="4" max="16384" width="8.88671875" style="682"/>
  </cols>
  <sheetData>
    <row r="1" spans="1:7">
      <c r="A1" s="2011" t="str">
        <f>+'MISO Cover'!C6</f>
        <v>Entergy New Orleans, Inc.</v>
      </c>
      <c r="B1" s="2011"/>
      <c r="C1" s="2011"/>
    </row>
    <row r="2" spans="1:7">
      <c r="A2" s="2011" t="s">
        <v>1544</v>
      </c>
      <c r="B2" s="2011"/>
      <c r="C2" s="2011"/>
    </row>
    <row r="3" spans="1:7">
      <c r="A3" s="2011" t="s">
        <v>1545</v>
      </c>
      <c r="B3" s="2011"/>
      <c r="C3" s="2011"/>
    </row>
    <row r="4" spans="1:7">
      <c r="A4" s="2011" t="str">
        <f>+'MISO Cover'!K4</f>
        <v>For  the 12 Months Ended 12/31/2016</v>
      </c>
      <c r="B4" s="2011"/>
      <c r="C4" s="2011"/>
    </row>
    <row r="7" spans="1:7">
      <c r="A7" s="1735" t="s">
        <v>141</v>
      </c>
      <c r="B7" s="1735" t="s">
        <v>113</v>
      </c>
      <c r="C7" s="1736"/>
    </row>
    <row r="9" spans="1:7">
      <c r="A9" s="1737" t="s">
        <v>1661</v>
      </c>
      <c r="B9" s="740" t="s">
        <v>1662</v>
      </c>
    </row>
    <row r="11" spans="1:7" ht="39.6">
      <c r="A11" s="1737" t="s">
        <v>1554</v>
      </c>
      <c r="B11" s="740" t="s">
        <v>1546</v>
      </c>
      <c r="D11" s="1739"/>
      <c r="E11" s="1740"/>
      <c r="F11" s="1739"/>
      <c r="G11" s="1739"/>
    </row>
    <row r="12" spans="1:7" ht="15">
      <c r="B12" s="740"/>
      <c r="D12" s="1739"/>
      <c r="E12" s="1740"/>
      <c r="F12" s="1739"/>
      <c r="G12" s="1739"/>
    </row>
    <row r="13" spans="1:7" ht="66">
      <c r="A13" s="1737" t="s">
        <v>1547</v>
      </c>
      <c r="B13" s="1738" t="s">
        <v>1551</v>
      </c>
      <c r="D13" s="1739"/>
      <c r="E13" s="1740"/>
      <c r="F13" s="1739"/>
      <c r="G13" s="1739"/>
    </row>
    <row r="14" spans="1:7" ht="15">
      <c r="B14" s="740"/>
      <c r="D14" s="1739"/>
      <c r="E14" s="1740"/>
      <c r="F14" s="1739"/>
      <c r="G14" s="1739"/>
    </row>
    <row r="15" spans="1:7" ht="26.4">
      <c r="A15" s="1737" t="s">
        <v>1630</v>
      </c>
      <c r="B15" s="740" t="s">
        <v>1631</v>
      </c>
      <c r="D15" s="1739"/>
      <c r="E15" s="1740"/>
      <c r="F15" s="1739"/>
      <c r="G15" s="1739"/>
    </row>
    <row r="16" spans="1:7" ht="15">
      <c r="B16" s="740"/>
      <c r="D16" s="1739"/>
      <c r="E16" s="1740"/>
      <c r="F16" s="1739"/>
      <c r="G16" s="1739"/>
    </row>
    <row r="17" spans="1:7" ht="26.4">
      <c r="A17" s="1737" t="s">
        <v>1548</v>
      </c>
      <c r="B17" s="1737" t="s">
        <v>1632</v>
      </c>
      <c r="D17" s="1741"/>
      <c r="E17" s="1740"/>
      <c r="F17" s="1739"/>
      <c r="G17" s="1739"/>
    </row>
    <row r="18" spans="1:7" ht="93" customHeight="1">
      <c r="A18" s="1737" t="s">
        <v>1548</v>
      </c>
      <c r="B18" s="1738" t="s">
        <v>1617</v>
      </c>
      <c r="D18" s="1741"/>
      <c r="E18" s="1740"/>
      <c r="F18" s="1739"/>
      <c r="G18" s="1739"/>
    </row>
    <row r="19" spans="1:7" ht="15">
      <c r="D19" s="1741"/>
      <c r="E19" s="1740"/>
      <c r="F19" s="1739"/>
      <c r="G19" s="1739"/>
    </row>
    <row r="20" spans="1:7" ht="15">
      <c r="A20" s="1737" t="s">
        <v>1633</v>
      </c>
      <c r="B20" s="1737" t="s">
        <v>1634</v>
      </c>
      <c r="D20" s="1741"/>
      <c r="E20" s="1740"/>
      <c r="F20" s="1739"/>
      <c r="G20" s="1739"/>
    </row>
    <row r="21" spans="1:7" ht="15">
      <c r="D21" s="1741"/>
      <c r="E21" s="1740"/>
      <c r="F21" s="1739"/>
      <c r="G21" s="1739"/>
    </row>
    <row r="22" spans="1:7">
      <c r="A22" s="1737" t="s">
        <v>1555</v>
      </c>
      <c r="B22" s="1737" t="s">
        <v>1556</v>
      </c>
    </row>
    <row r="24" spans="1:7" ht="26.4">
      <c r="A24" s="1737" t="s">
        <v>1549</v>
      </c>
      <c r="B24" s="1737" t="s">
        <v>1550</v>
      </c>
      <c r="D24" s="1741"/>
      <c r="E24" s="1740"/>
      <c r="F24" s="1739"/>
      <c r="G24" s="1739"/>
    </row>
    <row r="25" spans="1:7" ht="15">
      <c r="D25" s="1741"/>
      <c r="E25" s="1740"/>
      <c r="F25" s="1739"/>
      <c r="G25" s="1739"/>
    </row>
    <row r="26" spans="1:7" ht="52.8">
      <c r="A26" s="1737" t="s">
        <v>1557</v>
      </c>
      <c r="B26" s="1737" t="s">
        <v>1558</v>
      </c>
    </row>
    <row r="28" spans="1:7" ht="26.4">
      <c r="A28" s="1737" t="s">
        <v>1552</v>
      </c>
      <c r="B28" s="740" t="s">
        <v>1553</v>
      </c>
      <c r="D28" s="1739"/>
      <c r="E28" s="1740"/>
      <c r="F28" s="1739"/>
      <c r="G28" s="1739"/>
    </row>
    <row r="29" spans="1:7" ht="15">
      <c r="B29" s="740"/>
      <c r="D29" s="1739"/>
      <c r="E29" s="1740"/>
      <c r="F29" s="1739"/>
      <c r="G29" s="1739"/>
    </row>
    <row r="30" spans="1:7" ht="26.4">
      <c r="A30" s="1737" t="s">
        <v>1657</v>
      </c>
      <c r="B30" s="1737" t="s">
        <v>1658</v>
      </c>
      <c r="D30" s="1739"/>
      <c r="E30" s="1740"/>
      <c r="F30" s="1739"/>
      <c r="G30" s="1739"/>
    </row>
    <row r="31" spans="1:7" ht="15">
      <c r="D31" s="1741"/>
      <c r="E31" s="1740"/>
      <c r="F31" s="1739"/>
      <c r="G31" s="1739"/>
    </row>
    <row r="32" spans="1:7" ht="15">
      <c r="A32" s="2012" t="s">
        <v>1774</v>
      </c>
      <c r="B32" s="2012"/>
      <c r="D32" s="1741"/>
      <c r="E32" s="1740"/>
      <c r="F32" s="1739"/>
      <c r="G32" s="1739"/>
    </row>
    <row r="33" spans="1:7" ht="15">
      <c r="A33" s="1737" t="s">
        <v>1775</v>
      </c>
      <c r="B33" s="1737" t="s">
        <v>1776</v>
      </c>
      <c r="D33" s="1741"/>
      <c r="E33" s="1740"/>
      <c r="F33" s="1739"/>
      <c r="G33" s="1739"/>
    </row>
    <row r="34" spans="1:7" ht="15">
      <c r="D34" s="1741"/>
      <c r="E34" s="1740"/>
      <c r="F34" s="1739"/>
      <c r="G34" s="1739"/>
    </row>
    <row r="35" spans="1:7" ht="26.4">
      <c r="A35" s="1737" t="s">
        <v>1777</v>
      </c>
      <c r="B35" s="1737" t="s">
        <v>1778</v>
      </c>
      <c r="D35" s="1741"/>
      <c r="E35" s="1740"/>
      <c r="F35" s="1739"/>
      <c r="G35" s="1739"/>
    </row>
    <row r="36" spans="1:7" ht="15">
      <c r="D36" s="1741"/>
      <c r="E36" s="1740"/>
      <c r="F36" s="1739"/>
      <c r="G36" s="1739"/>
    </row>
    <row r="37" spans="1:7" ht="26.4">
      <c r="A37" s="1737" t="s">
        <v>1790</v>
      </c>
      <c r="B37" s="1737" t="s">
        <v>1779</v>
      </c>
      <c r="D37" s="1741"/>
      <c r="E37" s="1740"/>
      <c r="F37" s="1739"/>
      <c r="G37" s="1739"/>
    </row>
    <row r="38" spans="1:7" ht="15">
      <c r="D38" s="1741"/>
      <c r="E38" s="1740"/>
      <c r="F38" s="1739"/>
      <c r="G38" s="1739"/>
    </row>
    <row r="39" spans="1:7" ht="26.4">
      <c r="A39" s="1737" t="s">
        <v>1780</v>
      </c>
      <c r="B39" s="1737" t="s">
        <v>1781</v>
      </c>
      <c r="D39" s="1739"/>
      <c r="E39" s="1739"/>
      <c r="F39" s="1739"/>
      <c r="G39" s="1739"/>
    </row>
    <row r="41" spans="1:7" ht="26.4">
      <c r="A41" s="1737" t="s">
        <v>1782</v>
      </c>
      <c r="B41" s="1737" t="s">
        <v>1783</v>
      </c>
    </row>
    <row r="43" spans="1:7" ht="26.4">
      <c r="A43" s="1737" t="s">
        <v>1784</v>
      </c>
      <c r="B43" s="1737" t="s">
        <v>1785</v>
      </c>
    </row>
    <row r="45" spans="1:7">
      <c r="A45" s="1737" t="s">
        <v>1786</v>
      </c>
      <c r="B45" s="1737" t="s">
        <v>1787</v>
      </c>
    </row>
    <row r="47" spans="1:7">
      <c r="A47" s="1737" t="s">
        <v>1788</v>
      </c>
      <c r="B47" s="1737" t="s">
        <v>1789</v>
      </c>
    </row>
    <row r="49" spans="1:4" customFormat="1">
      <c r="A49" s="2000" t="s">
        <v>1810</v>
      </c>
      <c r="B49" s="1611"/>
      <c r="C49" s="2001"/>
    </row>
    <row r="50" spans="1:4" s="181" customFormat="1" ht="56.4" customHeight="1">
      <c r="A50" s="688" t="s">
        <v>1806</v>
      </c>
      <c r="B50" s="740" t="s">
        <v>1812</v>
      </c>
      <c r="C50" s="2002"/>
      <c r="D50" s="740"/>
    </row>
    <row r="51" spans="1:4" s="1996" customFormat="1" ht="44.4" customHeight="1">
      <c r="A51" s="1996" t="s">
        <v>1802</v>
      </c>
      <c r="B51" s="1996" t="s">
        <v>1803</v>
      </c>
    </row>
    <row r="52" spans="1:4" s="1997" customFormat="1" ht="27" customHeight="1">
      <c r="A52" s="1997" t="s">
        <v>1804</v>
      </c>
      <c r="B52" s="1996" t="s">
        <v>1805</v>
      </c>
      <c r="C52" s="1996"/>
    </row>
  </sheetData>
  <mergeCells count="5">
    <mergeCell ref="A1:C1"/>
    <mergeCell ref="A2:C2"/>
    <mergeCell ref="A3:C3"/>
    <mergeCell ref="A4:C4"/>
    <mergeCell ref="A32:B32"/>
  </mergeCells>
  <pageMargins left="0.7" right="0.7" top="0.5" bottom="0.5" header="0.3" footer="0.3"/>
  <pageSetup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zoomScaleNormal="100" workbookViewId="0">
      <selection activeCell="L6" sqref="L6"/>
    </sheetView>
  </sheetViews>
  <sheetFormatPr defaultColWidth="8.88671875" defaultRowHeight="13.2"/>
  <cols>
    <col min="1" max="1" width="5.33203125" style="625" customWidth="1"/>
    <col min="2" max="2" width="36.6640625" style="169" customWidth="1"/>
    <col min="3" max="3" width="11.77734375" style="169" bestFit="1" customWidth="1"/>
    <col min="4" max="4" width="9.5546875" style="169" bestFit="1" customWidth="1"/>
    <col min="5" max="5" width="11.77734375" style="1840" bestFit="1" customWidth="1"/>
    <col min="6" max="6" width="9.5546875" style="1840" bestFit="1" customWidth="1"/>
    <col min="7" max="7" width="11.77734375" style="169" bestFit="1" customWidth="1"/>
    <col min="8" max="8" width="9.5546875" style="169" bestFit="1" customWidth="1"/>
    <col min="9" max="9" width="10.44140625" style="169" bestFit="1" customWidth="1"/>
    <col min="10" max="10" width="8.88671875" style="169"/>
    <col min="11" max="11" width="11.109375" style="169" customWidth="1"/>
    <col min="12" max="12" width="11.44140625" style="169" bestFit="1" customWidth="1"/>
    <col min="13" max="13" width="11.21875" style="169" customWidth="1"/>
    <col min="14" max="14" width="11.44140625" style="169" bestFit="1" customWidth="1"/>
    <col min="15" max="15" width="0.88671875" style="169" customWidth="1"/>
    <col min="16" max="16" width="10.6640625" style="169" bestFit="1" customWidth="1"/>
    <col min="17" max="18" width="8.21875" style="169" customWidth="1"/>
    <col min="19" max="19" width="8.6640625" style="169" bestFit="1" customWidth="1"/>
    <col min="20" max="20" width="41" style="169" bestFit="1" customWidth="1"/>
    <col min="21" max="16384" width="8.88671875" style="169"/>
  </cols>
  <sheetData>
    <row r="1" spans="1:20">
      <c r="A1" s="2067" t="str">
        <f>'MISO Cover'!C6</f>
        <v>Entergy New Orleans, Inc.</v>
      </c>
      <c r="B1" s="2067"/>
      <c r="C1" s="2067"/>
      <c r="D1" s="2067"/>
      <c r="E1" s="2067"/>
      <c r="F1" s="2067"/>
      <c r="G1" s="2067"/>
      <c r="H1" s="2067"/>
      <c r="I1" s="2067"/>
      <c r="J1" s="837"/>
    </row>
    <row r="2" spans="1:20">
      <c r="A2" s="2068" t="s">
        <v>1417</v>
      </c>
      <c r="B2" s="2068"/>
      <c r="C2" s="2068"/>
      <c r="D2" s="2068"/>
      <c r="E2" s="2068"/>
      <c r="F2" s="2068"/>
      <c r="G2" s="2068"/>
      <c r="H2" s="2068"/>
      <c r="I2" s="2068"/>
      <c r="J2" s="989"/>
      <c r="P2" s="169" t="s">
        <v>1710</v>
      </c>
    </row>
    <row r="3" spans="1:20">
      <c r="A3" s="2067" t="str">
        <f>'MISO Cover'!K4</f>
        <v>For  the 12 Months Ended 12/31/2016</v>
      </c>
      <c r="B3" s="2067"/>
      <c r="C3" s="2067"/>
      <c r="D3" s="2067"/>
      <c r="E3" s="2067"/>
      <c r="F3" s="2067"/>
      <c r="G3" s="2067"/>
      <c r="H3" s="2067"/>
      <c r="I3" s="2067"/>
      <c r="J3" s="839"/>
      <c r="P3" s="169" t="s">
        <v>1711</v>
      </c>
    </row>
    <row r="4" spans="1:20">
      <c r="A4" s="615"/>
      <c r="B4" s="615"/>
      <c r="C4" s="615"/>
      <c r="D4" s="615"/>
      <c r="E4" s="973"/>
      <c r="F4" s="973"/>
      <c r="G4" s="2069" t="s">
        <v>1692</v>
      </c>
      <c r="H4" s="2069"/>
      <c r="I4" s="2069"/>
      <c r="J4" s="615"/>
      <c r="P4" s="169" t="s">
        <v>1712</v>
      </c>
    </row>
    <row r="5" spans="1:20">
      <c r="A5" s="1828"/>
      <c r="B5" s="840"/>
      <c r="C5" s="2070" t="s">
        <v>1697</v>
      </c>
      <c r="D5" s="2070"/>
      <c r="E5" s="2071" t="s">
        <v>1693</v>
      </c>
      <c r="F5" s="2071"/>
      <c r="G5" s="1290" t="s">
        <v>1694</v>
      </c>
      <c r="H5" s="770" t="s">
        <v>1695</v>
      </c>
      <c r="I5" s="1290" t="s">
        <v>1696</v>
      </c>
      <c r="P5" s="169" t="s">
        <v>1713</v>
      </c>
      <c r="Q5" s="169" t="s">
        <v>1663</v>
      </c>
      <c r="R5" s="169" t="s">
        <v>1664</v>
      </c>
      <c r="S5" s="169" t="s">
        <v>447</v>
      </c>
    </row>
    <row r="6" spans="1:20">
      <c r="A6" s="1861" t="s">
        <v>68</v>
      </c>
      <c r="B6" s="1861" t="s">
        <v>115</v>
      </c>
      <c r="C6" s="1861" t="s">
        <v>56</v>
      </c>
      <c r="D6" s="1862" t="s">
        <v>69</v>
      </c>
      <c r="E6" s="1862" t="s">
        <v>67</v>
      </c>
      <c r="F6" s="1861" t="s">
        <v>157</v>
      </c>
      <c r="G6" s="1861" t="s">
        <v>70</v>
      </c>
      <c r="H6" s="1863" t="s">
        <v>170</v>
      </c>
      <c r="I6" s="770" t="s">
        <v>60</v>
      </c>
      <c r="K6" s="2061" t="s">
        <v>1230</v>
      </c>
      <c r="L6" s="2062"/>
      <c r="M6" s="2062"/>
      <c r="N6" s="2062"/>
    </row>
    <row r="7" spans="1:20" ht="13.8" thickBot="1">
      <c r="A7" s="1254" t="s">
        <v>281</v>
      </c>
      <c r="B7" s="1864" t="s">
        <v>174</v>
      </c>
      <c r="C7" s="1864" t="s">
        <v>891</v>
      </c>
      <c r="D7" s="1864" t="s">
        <v>805</v>
      </c>
      <c r="E7" s="1865" t="s">
        <v>891</v>
      </c>
      <c r="F7" s="1865" t="s">
        <v>805</v>
      </c>
      <c r="G7" s="1864" t="s">
        <v>891</v>
      </c>
      <c r="H7" s="1864" t="s">
        <v>805</v>
      </c>
      <c r="I7" s="1864" t="s">
        <v>1665</v>
      </c>
      <c r="K7" s="1832" t="s">
        <v>1666</v>
      </c>
      <c r="L7" s="1832" t="s">
        <v>805</v>
      </c>
      <c r="M7" s="1833" t="s">
        <v>1666</v>
      </c>
      <c r="N7" s="1832" t="s">
        <v>805</v>
      </c>
    </row>
    <row r="8" spans="1:20">
      <c r="A8" s="965">
        <v>1.01</v>
      </c>
      <c r="B8" s="1866" t="s">
        <v>812</v>
      </c>
      <c r="C8" s="1345">
        <v>0</v>
      </c>
      <c r="D8" s="1345">
        <v>0</v>
      </c>
      <c r="E8" s="1877"/>
      <c r="F8" s="1877"/>
      <c r="G8" s="1345">
        <f>+C8+E8</f>
        <v>0</v>
      </c>
      <c r="H8" s="1345">
        <f>+D8+F8</f>
        <v>0</v>
      </c>
      <c r="I8" s="618">
        <f>SUM(G8:H8)</f>
        <v>0</v>
      </c>
      <c r="J8" s="1290"/>
      <c r="K8" s="1836">
        <f>M22</f>
        <v>60.739999999999981</v>
      </c>
      <c r="L8" s="1836">
        <f>N22</f>
        <v>128.11000000000001</v>
      </c>
      <c r="M8" s="1837"/>
      <c r="N8" s="1838"/>
      <c r="O8" s="1839"/>
      <c r="P8" s="1839" t="str">
        <f>P22</f>
        <v>AECC 1-5</v>
      </c>
      <c r="Q8" s="1839" t="s">
        <v>1667</v>
      </c>
      <c r="R8" s="1839" t="s">
        <v>1668</v>
      </c>
      <c r="S8" s="1840">
        <v>566</v>
      </c>
      <c r="T8" s="1841" t="str">
        <f>T22</f>
        <v>FOSSIL INFORMATION TECHNOLOGY - FIT</v>
      </c>
    </row>
    <row r="9" spans="1:20" s="1290" customFormat="1" ht="13.8" thickBot="1">
      <c r="A9" s="965">
        <f t="shared" ref="A9:A40" si="0">A8+0.01</f>
        <v>1.02</v>
      </c>
      <c r="B9" s="1866" t="s">
        <v>813</v>
      </c>
      <c r="C9" s="1345">
        <v>0</v>
      </c>
      <c r="D9" s="1345">
        <v>0</v>
      </c>
      <c r="E9" s="1877"/>
      <c r="F9" s="1877"/>
      <c r="G9" s="1345">
        <f t="shared" ref="G9:G40" si="1">+C9+E9</f>
        <v>0</v>
      </c>
      <c r="H9" s="1345">
        <f t="shared" ref="H9:H40" si="2">+D9+F9</f>
        <v>0</v>
      </c>
      <c r="I9" s="618">
        <f t="shared" ref="I9:I40" si="3">SUM(G9:H9)</f>
        <v>0</v>
      </c>
      <c r="J9" s="617"/>
      <c r="K9" s="1843">
        <f>SUM(K8)</f>
        <v>60.739999999999981</v>
      </c>
      <c r="L9" s="1843">
        <f>SUM(L8)</f>
        <v>128.11000000000001</v>
      </c>
      <c r="M9" s="1844">
        <f>SUM(M8)</f>
        <v>0</v>
      </c>
      <c r="N9" s="1843">
        <f>SUM(N8)</f>
        <v>0</v>
      </c>
      <c r="O9" s="1835"/>
      <c r="P9" s="1835"/>
      <c r="Q9" s="1835"/>
      <c r="R9" s="1835"/>
      <c r="S9" s="1835"/>
      <c r="T9" s="1835"/>
    </row>
    <row r="10" spans="1:20" s="170" customFormat="1" ht="13.8" thickTop="1">
      <c r="A10" s="965">
        <f t="shared" si="0"/>
        <v>1.03</v>
      </c>
      <c r="B10" s="284" t="s">
        <v>1227</v>
      </c>
      <c r="C10" s="1345">
        <v>-42402.2</v>
      </c>
      <c r="D10" s="1345">
        <v>0</v>
      </c>
      <c r="E10" s="1877"/>
      <c r="F10" s="1877"/>
      <c r="G10" s="1345">
        <f t="shared" si="1"/>
        <v>-42402.2</v>
      </c>
      <c r="H10" s="1345">
        <f t="shared" si="2"/>
        <v>0</v>
      </c>
      <c r="I10" s="618">
        <f t="shared" si="3"/>
        <v>-42402.2</v>
      </c>
      <c r="J10" s="617"/>
      <c r="K10" s="1841"/>
      <c r="L10" s="1841"/>
      <c r="M10" s="1842"/>
      <c r="N10" s="1841"/>
      <c r="O10" s="1841"/>
      <c r="P10" s="1841"/>
      <c r="Q10" s="1841"/>
      <c r="R10" s="1841"/>
      <c r="S10" s="1841"/>
      <c r="T10" s="1841"/>
    </row>
    <row r="11" spans="1:20" s="170" customFormat="1">
      <c r="A11" s="965">
        <f t="shared" si="0"/>
        <v>1.04</v>
      </c>
      <c r="B11" s="284" t="s">
        <v>1228</v>
      </c>
      <c r="C11" s="1345">
        <v>-18561.32</v>
      </c>
      <c r="D11" s="1345">
        <v>0</v>
      </c>
      <c r="E11" s="1877"/>
      <c r="F11" s="1877"/>
      <c r="G11" s="1345">
        <f t="shared" si="1"/>
        <v>-18561.32</v>
      </c>
      <c r="H11" s="1345">
        <f t="shared" si="2"/>
        <v>0</v>
      </c>
      <c r="I11" s="618">
        <f t="shared" si="3"/>
        <v>-18561.32</v>
      </c>
      <c r="J11" s="617"/>
      <c r="K11" s="2063" t="s">
        <v>1267</v>
      </c>
      <c r="L11" s="2064"/>
      <c r="M11" s="2064"/>
      <c r="N11" s="2064"/>
      <c r="O11" s="1841"/>
      <c r="P11" s="1841"/>
      <c r="Q11" s="1841"/>
      <c r="R11" s="1841"/>
      <c r="S11" s="1841"/>
      <c r="T11" s="1841"/>
    </row>
    <row r="12" spans="1:20" s="170" customFormat="1" ht="13.8" thickBot="1">
      <c r="A12" s="965">
        <f t="shared" si="0"/>
        <v>1.05</v>
      </c>
      <c r="B12" s="284" t="s">
        <v>1229</v>
      </c>
      <c r="C12" s="1345">
        <v>-38.909999999999997</v>
      </c>
      <c r="D12" s="1345">
        <v>-316.85000000000002</v>
      </c>
      <c r="E12" s="1877"/>
      <c r="F12" s="1877"/>
      <c r="G12" s="1345">
        <f t="shared" si="1"/>
        <v>-38.909999999999997</v>
      </c>
      <c r="H12" s="1345">
        <f t="shared" si="2"/>
        <v>-316.85000000000002</v>
      </c>
      <c r="I12" s="618">
        <f t="shared" si="3"/>
        <v>-355.76</v>
      </c>
      <c r="J12" s="617"/>
      <c r="K12" s="1845" t="s">
        <v>1666</v>
      </c>
      <c r="L12" s="1845" t="s">
        <v>805</v>
      </c>
      <c r="M12" s="1846" t="s">
        <v>1666</v>
      </c>
      <c r="N12" s="1845" t="s">
        <v>805</v>
      </c>
      <c r="O12" s="1841"/>
      <c r="P12" s="1841"/>
      <c r="Q12" s="1841"/>
      <c r="R12" s="1841"/>
      <c r="S12" s="1841"/>
      <c r="T12" s="1841"/>
    </row>
    <row r="13" spans="1:20" s="170" customFormat="1">
      <c r="A13" s="965">
        <f t="shared" si="0"/>
        <v>1.06</v>
      </c>
      <c r="B13" s="1293" t="s">
        <v>1230</v>
      </c>
      <c r="C13" s="1345">
        <f>IFERROR(INDEX(#REF!,MATCH($B13,#REF!,0)),0)</f>
        <v>0</v>
      </c>
      <c r="D13" s="1345">
        <f>IFERROR(INDEX(#REF!,MATCH($B13,#REF!,0)),0)</f>
        <v>0</v>
      </c>
      <c r="E13" s="1877">
        <f>'Support to WP02'!K9-'Support to WP02'!M9</f>
        <v>60.739999999999981</v>
      </c>
      <c r="F13" s="1877">
        <f>'Support to WP02'!L9-'Support to WP02'!N9</f>
        <v>128.11000000000001</v>
      </c>
      <c r="G13" s="1345">
        <f t="shared" si="1"/>
        <v>60.739999999999981</v>
      </c>
      <c r="H13" s="1345">
        <f t="shared" si="2"/>
        <v>128.11000000000001</v>
      </c>
      <c r="I13" s="618">
        <f t="shared" si="3"/>
        <v>188.85</v>
      </c>
      <c r="J13" s="617"/>
      <c r="K13" s="1834">
        <f>M23</f>
        <v>0</v>
      </c>
      <c r="L13" s="1834">
        <f>N23</f>
        <v>0</v>
      </c>
      <c r="M13" s="1847"/>
      <c r="N13" s="1834"/>
      <c r="O13" s="1841"/>
      <c r="P13" s="1841" t="str">
        <f>P23</f>
        <v>AECC 1-6</v>
      </c>
      <c r="Q13" s="1839" t="s">
        <v>1667</v>
      </c>
      <c r="R13" s="1839" t="s">
        <v>1668</v>
      </c>
      <c r="S13" s="1840">
        <v>566</v>
      </c>
      <c r="T13" s="1841" t="str">
        <f>T23</f>
        <v>IT Nuclear South Support</v>
      </c>
    </row>
    <row r="14" spans="1:20" s="170" customFormat="1" ht="13.8" thickBot="1">
      <c r="A14" s="965">
        <f t="shared" si="0"/>
        <v>1.07</v>
      </c>
      <c r="B14" s="1293" t="s">
        <v>1264</v>
      </c>
      <c r="C14" s="1345">
        <f>IFERROR(INDEX(#REF!,MATCH($B14,#REF!,0)),0)</f>
        <v>0</v>
      </c>
      <c r="D14" s="1345">
        <f>IFERROR(INDEX(#REF!,MATCH($B14,#REF!,0)),0)</f>
        <v>0</v>
      </c>
      <c r="E14" s="1877"/>
      <c r="F14" s="1877"/>
      <c r="G14" s="1345">
        <f t="shared" si="1"/>
        <v>0</v>
      </c>
      <c r="H14" s="1345">
        <f t="shared" si="2"/>
        <v>0</v>
      </c>
      <c r="I14" s="618">
        <f t="shared" si="3"/>
        <v>0</v>
      </c>
      <c r="J14" s="617"/>
      <c r="K14" s="1848">
        <f>SUM(K13:K13)</f>
        <v>0</v>
      </c>
      <c r="L14" s="1848">
        <f>SUM(L13:L13)</f>
        <v>0</v>
      </c>
      <c r="M14" s="1849">
        <f>SUM(M13:M13)</f>
        <v>0</v>
      </c>
      <c r="N14" s="1848">
        <f>SUM(N13:N13)</f>
        <v>0</v>
      </c>
      <c r="O14" s="1841"/>
      <c r="P14" s="1841"/>
      <c r="Q14" s="1841"/>
      <c r="R14" s="1841"/>
      <c r="S14" s="1841"/>
      <c r="T14" s="1841"/>
    </row>
    <row r="15" spans="1:20" s="170" customFormat="1" ht="13.8" thickTop="1">
      <c r="A15" s="965">
        <f t="shared" si="0"/>
        <v>1.08</v>
      </c>
      <c r="B15" s="1293" t="s">
        <v>1265</v>
      </c>
      <c r="C15" s="1345">
        <f>IFERROR(INDEX(#REF!,MATCH($B15,#REF!,0)),0)</f>
        <v>0</v>
      </c>
      <c r="D15" s="1345">
        <f>IFERROR(INDEX(#REF!,MATCH($B15,#REF!,0)),0)</f>
        <v>0</v>
      </c>
      <c r="E15" s="1877"/>
      <c r="F15" s="1877"/>
      <c r="G15" s="1345">
        <f t="shared" si="1"/>
        <v>0</v>
      </c>
      <c r="H15" s="1345">
        <f t="shared" si="2"/>
        <v>0</v>
      </c>
      <c r="I15" s="618">
        <f t="shared" si="3"/>
        <v>0</v>
      </c>
      <c r="J15" s="617"/>
      <c r="K15" s="1841"/>
      <c r="L15" s="1841"/>
      <c r="M15" s="1841"/>
      <c r="N15" s="1841"/>
      <c r="O15" s="1841"/>
      <c r="P15" s="1841"/>
      <c r="Q15" s="1841"/>
      <c r="R15" s="1841"/>
      <c r="S15" s="1841"/>
      <c r="T15" s="1841"/>
    </row>
    <row r="16" spans="1:20" s="170" customFormat="1">
      <c r="A16" s="965">
        <f t="shared" si="0"/>
        <v>1.0900000000000001</v>
      </c>
      <c r="B16" s="284" t="s">
        <v>1266</v>
      </c>
      <c r="C16" s="1345">
        <f>IFERROR(INDEX(#REF!,MATCH($B16,#REF!,0)),0)</f>
        <v>0</v>
      </c>
      <c r="D16" s="1345">
        <f>IFERROR(INDEX(#REF!,MATCH($B16,#REF!,0)),0)</f>
        <v>0</v>
      </c>
      <c r="E16" s="1877"/>
      <c r="F16" s="1877"/>
      <c r="G16" s="1345">
        <f t="shared" si="1"/>
        <v>0</v>
      </c>
      <c r="H16" s="1345">
        <f t="shared" si="2"/>
        <v>0</v>
      </c>
      <c r="I16" s="618">
        <f t="shared" si="3"/>
        <v>0</v>
      </c>
      <c r="J16" s="617"/>
      <c r="K16" s="2063" t="s">
        <v>1242</v>
      </c>
      <c r="L16" s="2064"/>
      <c r="M16" s="2064"/>
      <c r="N16" s="2064"/>
      <c r="O16" s="1841"/>
      <c r="P16" s="1841"/>
      <c r="Q16" s="1841"/>
      <c r="R16" s="1841"/>
      <c r="S16" s="1841"/>
      <c r="T16" s="1841"/>
    </row>
    <row r="17" spans="1:20" s="170" customFormat="1" ht="13.8" thickBot="1">
      <c r="A17" s="965">
        <f t="shared" si="0"/>
        <v>1.1000000000000001</v>
      </c>
      <c r="B17" s="1293" t="s">
        <v>1267</v>
      </c>
      <c r="C17" s="1345">
        <f>IFERROR(INDEX(#REF!,MATCH($B17,#REF!,0)),0)</f>
        <v>0</v>
      </c>
      <c r="D17" s="1345">
        <f>IFERROR(INDEX(#REF!,MATCH($B17,#REF!,0)),0)</f>
        <v>0</v>
      </c>
      <c r="E17" s="1877">
        <f>'Support to WP02'!K14-'Support to WP02'!M14</f>
        <v>0</v>
      </c>
      <c r="F17" s="1877">
        <f>'Support to WP02'!L14-'Support to WP02'!N14</f>
        <v>0</v>
      </c>
      <c r="G17" s="1345">
        <f t="shared" si="1"/>
        <v>0</v>
      </c>
      <c r="H17" s="1345">
        <f t="shared" si="2"/>
        <v>0</v>
      </c>
      <c r="I17" s="618">
        <f t="shared" si="3"/>
        <v>0</v>
      </c>
      <c r="J17" s="617"/>
      <c r="K17" s="1845" t="s">
        <v>1666</v>
      </c>
      <c r="L17" s="1845" t="s">
        <v>805</v>
      </c>
      <c r="M17" s="1846" t="s">
        <v>1666</v>
      </c>
      <c r="N17" s="1850" t="s">
        <v>805</v>
      </c>
      <c r="O17" s="1841"/>
      <c r="P17" s="1841"/>
      <c r="Q17" s="1841"/>
      <c r="R17" s="1841"/>
      <c r="S17" s="1841"/>
      <c r="T17" s="1841"/>
    </row>
    <row r="18" spans="1:20" s="170" customFormat="1">
      <c r="A18" s="965">
        <f t="shared" si="0"/>
        <v>1.1100000000000001</v>
      </c>
      <c r="B18" s="1293" t="s">
        <v>1268</v>
      </c>
      <c r="C18" s="1345">
        <f>IFERROR(INDEX(#REF!,MATCH($B18,#REF!,0)),0)</f>
        <v>0</v>
      </c>
      <c r="D18" s="1345">
        <f>IFERROR(INDEX(#REF!,MATCH($B18,#REF!,0)),0)</f>
        <v>0</v>
      </c>
      <c r="E18" s="1877"/>
      <c r="F18" s="1877"/>
      <c r="G18" s="1345">
        <f t="shared" si="1"/>
        <v>0</v>
      </c>
      <c r="H18" s="1345">
        <f t="shared" si="2"/>
        <v>0</v>
      </c>
      <c r="I18" s="618">
        <f t="shared" si="3"/>
        <v>0</v>
      </c>
      <c r="J18" s="617"/>
      <c r="K18" s="1839"/>
      <c r="L18" s="1839"/>
      <c r="M18" s="1851">
        <v>0</v>
      </c>
      <c r="N18" s="1852">
        <v>0</v>
      </c>
      <c r="P18" s="1871" t="s">
        <v>1714</v>
      </c>
      <c r="Q18" s="1839" t="s">
        <v>1667</v>
      </c>
      <c r="R18" s="1839" t="s">
        <v>1669</v>
      </c>
      <c r="S18" s="170">
        <v>928</v>
      </c>
      <c r="T18" s="1841" t="s">
        <v>1670</v>
      </c>
    </row>
    <row r="19" spans="1:20" s="170" customFormat="1">
      <c r="A19" s="965">
        <f t="shared" si="0"/>
        <v>1.1200000000000001</v>
      </c>
      <c r="B19" s="1293" t="s">
        <v>1269</v>
      </c>
      <c r="C19" s="1345">
        <f>IFERROR(INDEX(#REF!,MATCH($B19,#REF!,0)),0)</f>
        <v>0</v>
      </c>
      <c r="D19" s="1345">
        <f>IFERROR(INDEX(#REF!,MATCH($B19,#REF!,0)),0)</f>
        <v>0</v>
      </c>
      <c r="E19" s="1877"/>
      <c r="F19" s="1877"/>
      <c r="G19" s="1345">
        <f t="shared" si="1"/>
        <v>0</v>
      </c>
      <c r="H19" s="1345">
        <f t="shared" si="2"/>
        <v>0</v>
      </c>
      <c r="I19" s="618">
        <f t="shared" si="3"/>
        <v>0</v>
      </c>
      <c r="J19" s="617"/>
      <c r="K19" s="1841"/>
      <c r="L19" s="1841"/>
      <c r="M19" s="1851">
        <v>0</v>
      </c>
      <c r="N19" s="1852">
        <v>0</v>
      </c>
      <c r="P19" s="1871" t="s">
        <v>1715</v>
      </c>
      <c r="Q19" s="1839" t="s">
        <v>1667</v>
      </c>
      <c r="R19" s="1839" t="s">
        <v>1669</v>
      </c>
      <c r="S19" s="170">
        <v>928</v>
      </c>
      <c r="T19" s="1841" t="s">
        <v>1671</v>
      </c>
    </row>
    <row r="20" spans="1:20" s="170" customFormat="1">
      <c r="A20" s="965">
        <f t="shared" si="0"/>
        <v>1.1300000000000001</v>
      </c>
      <c r="B20" s="1867" t="s">
        <v>1235</v>
      </c>
      <c r="C20" s="1345">
        <v>-10.06</v>
      </c>
      <c r="D20" s="1345">
        <v>-98.82</v>
      </c>
      <c r="E20" s="1877"/>
      <c r="F20" s="1877"/>
      <c r="G20" s="1345">
        <f t="shared" si="1"/>
        <v>-10.06</v>
      </c>
      <c r="H20" s="1345">
        <f t="shared" si="2"/>
        <v>-98.82</v>
      </c>
      <c r="I20" s="618">
        <f t="shared" si="3"/>
        <v>-108.88</v>
      </c>
      <c r="J20" s="617"/>
      <c r="K20" s="1841"/>
      <c r="L20" s="1841"/>
      <c r="M20" s="1851">
        <v>7310.99</v>
      </c>
      <c r="N20" s="1852">
        <v>0</v>
      </c>
      <c r="P20" s="1871" t="s">
        <v>1716</v>
      </c>
      <c r="Q20" s="1839" t="s">
        <v>1667</v>
      </c>
      <c r="R20" s="1839" t="s">
        <v>1669</v>
      </c>
      <c r="S20" s="170" t="s">
        <v>1672</v>
      </c>
      <c r="T20" s="1841" t="s">
        <v>1673</v>
      </c>
    </row>
    <row r="21" spans="1:20" s="170" customFormat="1">
      <c r="A21" s="965">
        <f t="shared" si="0"/>
        <v>1.1400000000000001</v>
      </c>
      <c r="B21" s="1293" t="s">
        <v>1240</v>
      </c>
      <c r="C21" s="1345">
        <f>IFERROR(INDEX(#REF!,MATCH($B21,#REF!,0)),0)</f>
        <v>0</v>
      </c>
      <c r="D21" s="1345">
        <f>IFERROR(INDEX(#REF!,MATCH($B21,#REF!,0)),0)</f>
        <v>0</v>
      </c>
      <c r="E21" s="1877"/>
      <c r="F21" s="1877"/>
      <c r="G21" s="1345">
        <f t="shared" si="1"/>
        <v>0</v>
      </c>
      <c r="H21" s="1345">
        <f t="shared" si="2"/>
        <v>0</v>
      </c>
      <c r="I21" s="618">
        <f t="shared" si="3"/>
        <v>0</v>
      </c>
      <c r="J21" s="617"/>
      <c r="K21" s="1841"/>
      <c r="L21" s="1841"/>
      <c r="M21" s="1851">
        <v>0</v>
      </c>
      <c r="N21" s="1852">
        <v>0</v>
      </c>
      <c r="P21" s="1871" t="s">
        <v>1717</v>
      </c>
      <c r="Q21" s="1839" t="s">
        <v>1667</v>
      </c>
      <c r="R21" s="1839" t="s">
        <v>1669</v>
      </c>
      <c r="S21" s="170" t="s">
        <v>1672</v>
      </c>
      <c r="T21" s="1841" t="s">
        <v>1674</v>
      </c>
    </row>
    <row r="22" spans="1:20" s="170" customFormat="1">
      <c r="A22" s="965">
        <f t="shared" si="0"/>
        <v>1.1500000000000001</v>
      </c>
      <c r="B22" s="284" t="s">
        <v>1242</v>
      </c>
      <c r="C22" s="1345">
        <v>-11.21</v>
      </c>
      <c r="D22" s="1345">
        <v>-99.39</v>
      </c>
      <c r="E22" s="1877">
        <f>'Support to WP02'!K28-'Support to WP02'!M28</f>
        <v>-27164.950000000004</v>
      </c>
      <c r="F22" s="1877">
        <f>'Support to WP02'!L28-'Support to WP02'!N28</f>
        <v>-47979.01999999999</v>
      </c>
      <c r="G22" s="1345">
        <f t="shared" si="1"/>
        <v>-27176.160000000003</v>
      </c>
      <c r="H22" s="1345">
        <f t="shared" si="2"/>
        <v>-48078.409999999989</v>
      </c>
      <c r="I22" s="618">
        <f t="shared" si="3"/>
        <v>-75254.569999999992</v>
      </c>
      <c r="J22" s="617"/>
      <c r="K22" s="1841"/>
      <c r="L22" s="1841"/>
      <c r="M22" s="1851">
        <v>60.739999999999981</v>
      </c>
      <c r="N22" s="1852">
        <v>128.11000000000001</v>
      </c>
      <c r="P22" s="1871" t="s">
        <v>1718</v>
      </c>
      <c r="Q22" s="1839" t="s">
        <v>1667</v>
      </c>
      <c r="R22" s="1839" t="s">
        <v>1669</v>
      </c>
      <c r="S22" s="170">
        <v>506</v>
      </c>
      <c r="T22" s="1841" t="s">
        <v>1675</v>
      </c>
    </row>
    <row r="23" spans="1:20" s="170" customFormat="1">
      <c r="A23" s="965">
        <f t="shared" si="0"/>
        <v>1.1600000000000001</v>
      </c>
      <c r="B23" s="284" t="s">
        <v>1244</v>
      </c>
      <c r="C23" s="1345">
        <f>IFERROR(INDEX(#REF!,MATCH($B23,#REF!,0)),0)</f>
        <v>0</v>
      </c>
      <c r="D23" s="1345">
        <f>IFERROR(INDEX(#REF!,MATCH($B23,#REF!,0)),0)</f>
        <v>0</v>
      </c>
      <c r="E23" s="1877"/>
      <c r="F23" s="1877"/>
      <c r="G23" s="1345">
        <f t="shared" si="1"/>
        <v>0</v>
      </c>
      <c r="H23" s="1345">
        <f t="shared" si="2"/>
        <v>0</v>
      </c>
      <c r="I23" s="618">
        <f t="shared" si="3"/>
        <v>0</v>
      </c>
      <c r="J23" s="617"/>
      <c r="K23" s="1841"/>
      <c r="L23" s="1841"/>
      <c r="M23" s="1853">
        <v>0</v>
      </c>
      <c r="N23" s="1852">
        <v>0</v>
      </c>
      <c r="P23" s="1871" t="s">
        <v>1719</v>
      </c>
      <c r="Q23" s="1839" t="s">
        <v>1667</v>
      </c>
      <c r="R23" s="1839" t="s">
        <v>1669</v>
      </c>
      <c r="S23" s="170">
        <v>524</v>
      </c>
      <c r="T23" s="1841" t="s">
        <v>1676</v>
      </c>
    </row>
    <row r="24" spans="1:20" s="170" customFormat="1">
      <c r="A24" s="965">
        <f t="shared" si="0"/>
        <v>1.1700000000000002</v>
      </c>
      <c r="B24" s="1293" t="s">
        <v>1245</v>
      </c>
      <c r="C24" s="1345">
        <f>IFERROR(INDEX(#REF!,MATCH($B24,#REF!,0)),0)</f>
        <v>0</v>
      </c>
      <c r="D24" s="1345">
        <f>IFERROR(INDEX(#REF!,MATCH($B24,#REF!,0)),0)</f>
        <v>0</v>
      </c>
      <c r="E24" s="1877"/>
      <c r="F24" s="1877"/>
      <c r="G24" s="1345">
        <f t="shared" si="1"/>
        <v>0</v>
      </c>
      <c r="H24" s="1345">
        <f t="shared" si="2"/>
        <v>0</v>
      </c>
      <c r="I24" s="618">
        <f t="shared" si="3"/>
        <v>0</v>
      </c>
      <c r="J24" s="617"/>
      <c r="K24" s="1841"/>
      <c r="L24" s="1841"/>
      <c r="M24" s="1851">
        <v>1292.4199999999992</v>
      </c>
      <c r="N24" s="1852">
        <v>3297.5400000000009</v>
      </c>
      <c r="P24" s="1871" t="s">
        <v>1720</v>
      </c>
      <c r="Q24" s="1839" t="s">
        <v>1667</v>
      </c>
      <c r="R24" s="1839" t="s">
        <v>1669</v>
      </c>
      <c r="S24" s="170" t="s">
        <v>1672</v>
      </c>
      <c r="T24" s="1841" t="s">
        <v>1677</v>
      </c>
    </row>
    <row r="25" spans="1:20" s="170" customFormat="1">
      <c r="A25" s="965">
        <f t="shared" si="0"/>
        <v>1.1800000000000002</v>
      </c>
      <c r="B25" s="1293" t="s">
        <v>1270</v>
      </c>
      <c r="C25" s="1345">
        <f>IFERROR(INDEX(#REF!,MATCH($B25,#REF!,0)),0)</f>
        <v>0</v>
      </c>
      <c r="D25" s="1345">
        <f>IFERROR(INDEX(#REF!,MATCH($B25,#REF!,0)),0)</f>
        <v>0</v>
      </c>
      <c r="E25" s="1877"/>
      <c r="F25" s="1877"/>
      <c r="G25" s="1345">
        <f t="shared" si="1"/>
        <v>0</v>
      </c>
      <c r="H25" s="1345">
        <f t="shared" si="2"/>
        <v>0</v>
      </c>
      <c r="I25" s="618">
        <f t="shared" si="3"/>
        <v>0</v>
      </c>
      <c r="J25" s="617"/>
      <c r="K25" s="1841"/>
      <c r="L25" s="1841"/>
      <c r="M25" s="1851">
        <v>49.859999999999992</v>
      </c>
      <c r="N25" s="1852">
        <v>0</v>
      </c>
      <c r="P25" s="1871" t="s">
        <v>1721</v>
      </c>
      <c r="Q25" s="1839" t="s">
        <v>1667</v>
      </c>
      <c r="R25" s="1839" t="s">
        <v>1669</v>
      </c>
      <c r="S25" s="170" t="s">
        <v>1672</v>
      </c>
      <c r="T25" s="1841" t="s">
        <v>1678</v>
      </c>
    </row>
    <row r="26" spans="1:20" s="170" customFormat="1">
      <c r="A26" s="965">
        <f t="shared" si="0"/>
        <v>1.1900000000000002</v>
      </c>
      <c r="B26" s="646" t="s">
        <v>1699</v>
      </c>
      <c r="C26" s="1345">
        <v>0</v>
      </c>
      <c r="D26" s="1345">
        <v>0</v>
      </c>
      <c r="E26" s="1877"/>
      <c r="F26" s="1877"/>
      <c r="G26" s="1345">
        <f t="shared" si="1"/>
        <v>0</v>
      </c>
      <c r="H26" s="1345">
        <f t="shared" si="2"/>
        <v>0</v>
      </c>
      <c r="I26" s="618">
        <f t="shared" si="3"/>
        <v>0</v>
      </c>
      <c r="J26" s="994"/>
      <c r="K26" s="1841"/>
      <c r="L26" s="1841"/>
      <c r="M26" s="1851">
        <v>150.19</v>
      </c>
      <c r="N26" s="1852">
        <v>0</v>
      </c>
      <c r="P26" s="1871" t="s">
        <v>1722</v>
      </c>
      <c r="Q26" s="1839" t="s">
        <v>1667</v>
      </c>
      <c r="R26" s="1839" t="s">
        <v>1669</v>
      </c>
      <c r="S26" s="170" t="s">
        <v>1672</v>
      </c>
      <c r="T26" s="1841" t="s">
        <v>1679</v>
      </c>
    </row>
    <row r="27" spans="1:20" s="170" customFormat="1">
      <c r="A27" s="965">
        <f t="shared" si="0"/>
        <v>1.2000000000000002</v>
      </c>
      <c r="B27" s="646" t="s">
        <v>1700</v>
      </c>
      <c r="C27" s="1345">
        <v>0</v>
      </c>
      <c r="D27" s="1345">
        <v>0</v>
      </c>
      <c r="E27" s="1877">
        <f>'Support to WP02'!K37-'Support to WP02'!M37</f>
        <v>8803.4600000000009</v>
      </c>
      <c r="F27" s="1877">
        <f>'Support to WP02'!L37-'Support to WP02'!N37</f>
        <v>3297.5400000000009</v>
      </c>
      <c r="G27" s="1345">
        <f t="shared" si="1"/>
        <v>8803.4600000000009</v>
      </c>
      <c r="H27" s="1345">
        <f t="shared" si="2"/>
        <v>3297.5400000000009</v>
      </c>
      <c r="I27" s="618">
        <f t="shared" si="3"/>
        <v>12101.000000000002</v>
      </c>
      <c r="J27" s="994"/>
      <c r="K27" s="1841"/>
      <c r="L27" s="1841"/>
      <c r="M27" s="1851">
        <v>18300.750000000007</v>
      </c>
      <c r="N27" s="1852">
        <v>44553.369999999988</v>
      </c>
      <c r="P27" s="1871" t="s">
        <v>1723</v>
      </c>
      <c r="Q27" s="1839" t="s">
        <v>1667</v>
      </c>
      <c r="R27" s="1839" t="s">
        <v>1669</v>
      </c>
      <c r="S27" s="170">
        <v>920</v>
      </c>
      <c r="T27" s="1841" t="s">
        <v>1680</v>
      </c>
    </row>
    <row r="28" spans="1:20" s="170" customFormat="1" ht="13.8" thickBot="1">
      <c r="A28" s="965">
        <f t="shared" si="0"/>
        <v>1.2100000000000002</v>
      </c>
      <c r="B28" s="646" t="s">
        <v>836</v>
      </c>
      <c r="C28" s="1345">
        <v>0</v>
      </c>
      <c r="D28" s="1345">
        <v>0</v>
      </c>
      <c r="E28" s="1877"/>
      <c r="F28" s="1877"/>
      <c r="G28" s="1345">
        <f t="shared" si="1"/>
        <v>0</v>
      </c>
      <c r="H28" s="1345">
        <f t="shared" si="2"/>
        <v>0</v>
      </c>
      <c r="I28" s="618">
        <f t="shared" si="3"/>
        <v>0</v>
      </c>
      <c r="J28" s="617"/>
      <c r="K28" s="1848">
        <f>SUM(K18:K27)</f>
        <v>0</v>
      </c>
      <c r="L28" s="1848">
        <f>SUM(L18:L27)</f>
        <v>0</v>
      </c>
      <c r="M28" s="1849">
        <f>SUM(M18:M27)</f>
        <v>27164.950000000004</v>
      </c>
      <c r="N28" s="1848">
        <f>SUM(N18:N27)</f>
        <v>47979.01999999999</v>
      </c>
      <c r="O28" s="1841"/>
      <c r="P28" s="1841"/>
      <c r="Q28" s="1841"/>
      <c r="R28" s="1841"/>
      <c r="S28" s="1841"/>
      <c r="T28" s="1841"/>
    </row>
    <row r="29" spans="1:20" s="170" customFormat="1" ht="13.8" thickTop="1">
      <c r="A29" s="965">
        <f t="shared" si="0"/>
        <v>1.2200000000000002</v>
      </c>
      <c r="B29" s="646" t="s">
        <v>178</v>
      </c>
      <c r="C29" s="1345">
        <v>0</v>
      </c>
      <c r="D29" s="1345">
        <v>0</v>
      </c>
      <c r="E29" s="1877"/>
      <c r="F29" s="1877"/>
      <c r="G29" s="1345">
        <f t="shared" si="1"/>
        <v>0</v>
      </c>
      <c r="H29" s="1345">
        <f t="shared" si="2"/>
        <v>0</v>
      </c>
      <c r="I29" s="618">
        <f t="shared" si="3"/>
        <v>0</v>
      </c>
      <c r="J29" s="617"/>
      <c r="K29" s="1841"/>
      <c r="L29" s="1841"/>
      <c r="M29" s="1841"/>
      <c r="N29" s="1841"/>
      <c r="O29" s="1841"/>
      <c r="P29" s="1841"/>
      <c r="Q29" s="1841"/>
      <c r="R29" s="1841"/>
      <c r="S29" s="1841"/>
      <c r="T29" s="1841"/>
    </row>
    <row r="30" spans="1:20" s="170" customFormat="1">
      <c r="A30" s="965">
        <f t="shared" si="0"/>
        <v>1.2300000000000002</v>
      </c>
      <c r="B30" s="1295" t="s">
        <v>179</v>
      </c>
      <c r="C30" s="1345">
        <v>-47486.879999999997</v>
      </c>
      <c r="D30" s="1345">
        <v>-290082.92</v>
      </c>
      <c r="E30" s="1877">
        <f>'Support to WP02'!K43-'Support to WP02'!M43</f>
        <v>18300.750000000007</v>
      </c>
      <c r="F30" s="1877">
        <f>'Support to WP02'!L43-'Support to WP02'!N43</f>
        <v>44553.369999999988</v>
      </c>
      <c r="G30" s="1345">
        <f t="shared" si="1"/>
        <v>-29186.12999999999</v>
      </c>
      <c r="H30" s="1345">
        <f t="shared" si="2"/>
        <v>-245529.55</v>
      </c>
      <c r="I30" s="618">
        <f t="shared" si="3"/>
        <v>-274715.68</v>
      </c>
      <c r="J30" s="617"/>
      <c r="K30" s="2065" t="s">
        <v>1681</v>
      </c>
      <c r="L30" s="2066"/>
      <c r="M30" s="2066"/>
      <c r="N30" s="2066"/>
      <c r="O30" s="1841"/>
      <c r="P30" s="1841"/>
      <c r="Q30" s="1841"/>
      <c r="R30" s="1841"/>
      <c r="S30" s="1841"/>
      <c r="T30" s="1841"/>
    </row>
    <row r="31" spans="1:20" s="170" customFormat="1" ht="13.8" thickBot="1">
      <c r="A31" s="965">
        <f t="shared" si="0"/>
        <v>1.2400000000000002</v>
      </c>
      <c r="B31" s="1295" t="s">
        <v>180</v>
      </c>
      <c r="C31" s="1345">
        <v>-2418.8000000000002</v>
      </c>
      <c r="D31" s="1345"/>
      <c r="E31" s="1877"/>
      <c r="F31" s="1877"/>
      <c r="G31" s="1345">
        <f t="shared" si="1"/>
        <v>-2418.8000000000002</v>
      </c>
      <c r="H31" s="1345">
        <f t="shared" si="2"/>
        <v>0</v>
      </c>
      <c r="I31" s="618">
        <f t="shared" si="3"/>
        <v>-2418.8000000000002</v>
      </c>
      <c r="J31" s="617"/>
      <c r="K31" s="1845" t="s">
        <v>1666</v>
      </c>
      <c r="L31" s="1845" t="s">
        <v>805</v>
      </c>
      <c r="M31" s="1846" t="s">
        <v>1666</v>
      </c>
      <c r="N31" s="1850" t="s">
        <v>805</v>
      </c>
      <c r="O31" s="1841"/>
      <c r="P31" s="1841"/>
      <c r="Q31" s="1841"/>
      <c r="R31" s="1841"/>
      <c r="S31" s="1841"/>
      <c r="T31" s="1841"/>
    </row>
    <row r="32" spans="1:20" s="170" customFormat="1">
      <c r="A32" s="965">
        <f t="shared" si="0"/>
        <v>1.2500000000000002</v>
      </c>
      <c r="B32" s="1295" t="s">
        <v>181</v>
      </c>
      <c r="C32" s="1345">
        <v>-420787.6</v>
      </c>
      <c r="D32" s="1345"/>
      <c r="E32" s="1877">
        <f>'Support to WP02'!K48-'Support to WP02'!M48</f>
        <v>0</v>
      </c>
      <c r="F32" s="1877">
        <f>'Support to WP02'!L48-'Support to WP02'!N48</f>
        <v>0</v>
      </c>
      <c r="G32" s="1345">
        <f t="shared" si="1"/>
        <v>-420787.6</v>
      </c>
      <c r="H32" s="1345">
        <f t="shared" si="2"/>
        <v>0</v>
      </c>
      <c r="I32" s="618">
        <f t="shared" si="3"/>
        <v>-420787.6</v>
      </c>
      <c r="J32" s="617"/>
      <c r="K32" s="1839">
        <f>M20</f>
        <v>7310.99</v>
      </c>
      <c r="L32" s="1839">
        <f>N20</f>
        <v>0</v>
      </c>
      <c r="M32" s="1847"/>
      <c r="N32" s="1834"/>
      <c r="O32" s="1841"/>
      <c r="P32" s="1841" t="str">
        <f>P20</f>
        <v>AECC 1-3</v>
      </c>
      <c r="Q32" s="1839" t="s">
        <v>1667</v>
      </c>
      <c r="R32" s="1839" t="s">
        <v>1668</v>
      </c>
      <c r="S32" s="170">
        <v>566</v>
      </c>
      <c r="T32" s="1841" t="s">
        <v>1673</v>
      </c>
    </row>
    <row r="33" spans="1:20" s="170" customFormat="1">
      <c r="A33" s="965">
        <f t="shared" si="0"/>
        <v>1.2600000000000002</v>
      </c>
      <c r="B33" s="1295" t="s">
        <v>182</v>
      </c>
      <c r="C33" s="1345">
        <v>0</v>
      </c>
      <c r="D33" s="1345">
        <v>0</v>
      </c>
      <c r="E33" s="1877"/>
      <c r="F33" s="1877"/>
      <c r="G33" s="1345">
        <f t="shared" si="1"/>
        <v>0</v>
      </c>
      <c r="H33" s="1345">
        <f t="shared" si="2"/>
        <v>0</v>
      </c>
      <c r="I33" s="618">
        <f t="shared" si="3"/>
        <v>0</v>
      </c>
      <c r="J33" s="617"/>
      <c r="K33" s="1839">
        <f>M21</f>
        <v>0</v>
      </c>
      <c r="L33" s="1839">
        <f>N21</f>
        <v>0</v>
      </c>
      <c r="M33" s="1854"/>
      <c r="N33" s="1842"/>
      <c r="O33" s="1841"/>
      <c r="P33" s="1841" t="str">
        <f>P21</f>
        <v>CE 1-7</v>
      </c>
      <c r="Q33" s="1839" t="s">
        <v>1667</v>
      </c>
      <c r="R33" s="1839" t="s">
        <v>1668</v>
      </c>
      <c r="S33" s="170">
        <v>566</v>
      </c>
      <c r="T33" s="1841" t="str">
        <f>T21</f>
        <v>FACILITIES SVCS - DISTRIBUTION (NON</v>
      </c>
    </row>
    <row r="34" spans="1:20" s="170" customFormat="1">
      <c r="A34" s="965">
        <f t="shared" si="0"/>
        <v>1.2700000000000002</v>
      </c>
      <c r="B34" s="1295" t="s">
        <v>183</v>
      </c>
      <c r="C34" s="1345">
        <v>-83826.66</v>
      </c>
      <c r="D34" s="1345"/>
      <c r="E34" s="1877"/>
      <c r="F34" s="1877"/>
      <c r="G34" s="1345">
        <f t="shared" si="1"/>
        <v>-83826.66</v>
      </c>
      <c r="H34" s="1345">
        <f t="shared" si="2"/>
        <v>0</v>
      </c>
      <c r="I34" s="618">
        <f t="shared" si="3"/>
        <v>-83826.66</v>
      </c>
      <c r="J34" s="617"/>
      <c r="K34" s="1841">
        <f t="shared" ref="K34:L36" si="4">M24</f>
        <v>1292.4199999999992</v>
      </c>
      <c r="L34" s="1841">
        <f t="shared" si="4"/>
        <v>3297.5400000000009</v>
      </c>
      <c r="M34" s="1854"/>
      <c r="N34" s="1842"/>
      <c r="O34" s="1841"/>
      <c r="P34" s="1841" t="str">
        <f>P24</f>
        <v>AECC 1-4</v>
      </c>
      <c r="Q34" s="1839" t="s">
        <v>1667</v>
      </c>
      <c r="R34" s="1839" t="s">
        <v>1668</v>
      </c>
      <c r="S34" s="170">
        <v>566</v>
      </c>
      <c r="T34" s="1841" t="str">
        <f>T24</f>
        <v>MGR GEN &amp; ADMIN - DISTR SYSTEM SUPP</v>
      </c>
    </row>
    <row r="35" spans="1:20" s="170" customFormat="1">
      <c r="A35" s="965">
        <f t="shared" si="0"/>
        <v>1.2800000000000002</v>
      </c>
      <c r="B35" s="1295" t="s">
        <v>1701</v>
      </c>
      <c r="C35" s="1345">
        <v>0</v>
      </c>
      <c r="D35" s="1345">
        <v>0</v>
      </c>
      <c r="E35" s="1877">
        <f>'Support to WP02'!K54-'Support to WP02'!M54</f>
        <v>0</v>
      </c>
      <c r="F35" s="1877">
        <f>'Support to WP02'!L54-'Support to WP02'!N54</f>
        <v>0</v>
      </c>
      <c r="G35" s="1345">
        <f t="shared" si="1"/>
        <v>0</v>
      </c>
      <c r="H35" s="1345">
        <f t="shared" si="2"/>
        <v>0</v>
      </c>
      <c r="I35" s="618">
        <f t="shared" si="3"/>
        <v>0</v>
      </c>
      <c r="J35" s="617"/>
      <c r="K35" s="1841">
        <f t="shared" si="4"/>
        <v>49.859999999999992</v>
      </c>
      <c r="L35" s="1841">
        <f t="shared" si="4"/>
        <v>0</v>
      </c>
      <c r="M35" s="1854"/>
      <c r="N35" s="1842"/>
      <c r="O35" s="1841"/>
      <c r="P35" s="1841" t="str">
        <f>P25</f>
        <v>AECC 1-7</v>
      </c>
      <c r="Q35" s="1839" t="s">
        <v>1667</v>
      </c>
      <c r="R35" s="1839" t="s">
        <v>1668</v>
      </c>
      <c r="S35" s="170">
        <v>566</v>
      </c>
      <c r="T35" s="1841" t="str">
        <f>T25</f>
        <v>SC- Distribution Procurement</v>
      </c>
    </row>
    <row r="36" spans="1:20" s="170" customFormat="1">
      <c r="A36" s="965">
        <f t="shared" si="0"/>
        <v>1.2900000000000003</v>
      </c>
      <c r="B36" s="1295" t="s">
        <v>185</v>
      </c>
      <c r="C36" s="1345">
        <v>0</v>
      </c>
      <c r="D36" s="1345">
        <v>0</v>
      </c>
      <c r="E36" s="1877"/>
      <c r="F36" s="1877"/>
      <c r="G36" s="1345">
        <f t="shared" si="1"/>
        <v>0</v>
      </c>
      <c r="H36" s="1345">
        <f t="shared" si="2"/>
        <v>0</v>
      </c>
      <c r="I36" s="618">
        <f t="shared" si="3"/>
        <v>0</v>
      </c>
      <c r="J36" s="617"/>
      <c r="K36" s="1841">
        <f t="shared" si="4"/>
        <v>150.19</v>
      </c>
      <c r="L36" s="1841">
        <f t="shared" si="4"/>
        <v>0</v>
      </c>
      <c r="M36" s="1854"/>
      <c r="N36" s="1842"/>
      <c r="O36" s="1841"/>
      <c r="P36" s="1841" t="str">
        <f>P26</f>
        <v>CE 1-8</v>
      </c>
      <c r="Q36" s="1839" t="s">
        <v>1667</v>
      </c>
      <c r="R36" s="1839" t="s">
        <v>1668</v>
      </c>
      <c r="S36" s="170">
        <v>566</v>
      </c>
      <c r="T36" s="1841" t="str">
        <f>T26</f>
        <v>SKILLS TRAINING CUST. SERV- HEADQUA</v>
      </c>
    </row>
    <row r="37" spans="1:20" s="170" customFormat="1" ht="13.8" thickBot="1">
      <c r="A37" s="965">
        <f t="shared" si="0"/>
        <v>1.3000000000000003</v>
      </c>
      <c r="B37" s="1295" t="s">
        <v>296</v>
      </c>
      <c r="C37" s="1345">
        <v>0</v>
      </c>
      <c r="D37" s="1345">
        <v>0</v>
      </c>
      <c r="E37" s="1877">
        <f>'Support to WP02'!K67-'Support to WP02'!M67</f>
        <v>-11644.449999999999</v>
      </c>
      <c r="F37" s="1877">
        <f>'Support to WP02'!L67-'Support to WP02'!N67</f>
        <v>0</v>
      </c>
      <c r="G37" s="1345">
        <f t="shared" si="1"/>
        <v>-11644.449999999999</v>
      </c>
      <c r="H37" s="1345">
        <f t="shared" si="2"/>
        <v>0</v>
      </c>
      <c r="I37" s="618">
        <f t="shared" si="3"/>
        <v>-11644.449999999999</v>
      </c>
      <c r="J37" s="617"/>
      <c r="K37" s="1848">
        <f>SUM(K32:K36)</f>
        <v>8803.4600000000009</v>
      </c>
      <c r="L37" s="1848">
        <f>SUM(L32:L36)</f>
        <v>3297.5400000000009</v>
      </c>
      <c r="M37" s="1849">
        <f>SUM(M32:M36)</f>
        <v>0</v>
      </c>
      <c r="N37" s="1848">
        <f>SUM(N32:N36)</f>
        <v>0</v>
      </c>
      <c r="O37" s="1841"/>
      <c r="P37" s="1841"/>
      <c r="Q37" s="1841"/>
      <c r="R37" s="1841"/>
      <c r="S37" s="1841"/>
      <c r="T37" s="1841"/>
    </row>
    <row r="38" spans="1:20" s="170" customFormat="1" ht="13.8" thickTop="1">
      <c r="A38" s="965">
        <f t="shared" si="0"/>
        <v>1.3100000000000003</v>
      </c>
      <c r="B38" s="1295" t="s">
        <v>1702</v>
      </c>
      <c r="C38" s="1345">
        <v>0</v>
      </c>
      <c r="D38" s="1345">
        <v>0</v>
      </c>
      <c r="E38" s="1877"/>
      <c r="F38" s="1877"/>
      <c r="G38" s="1345">
        <f t="shared" si="1"/>
        <v>0</v>
      </c>
      <c r="H38" s="1345">
        <f t="shared" si="2"/>
        <v>0</v>
      </c>
      <c r="I38" s="618">
        <f t="shared" si="3"/>
        <v>0</v>
      </c>
      <c r="J38" s="617"/>
      <c r="K38" s="1841"/>
      <c r="L38" s="1841"/>
      <c r="M38" s="1841"/>
      <c r="N38" s="1841"/>
      <c r="O38" s="1841"/>
      <c r="P38" s="1841"/>
      <c r="Q38" s="1841"/>
      <c r="R38" s="1841"/>
      <c r="S38" s="1841"/>
      <c r="T38" s="1841"/>
    </row>
    <row r="39" spans="1:20" s="170" customFormat="1">
      <c r="A39" s="965">
        <f t="shared" si="0"/>
        <v>1.3200000000000003</v>
      </c>
      <c r="B39" s="1295" t="s">
        <v>297</v>
      </c>
      <c r="C39" s="1345">
        <v>0</v>
      </c>
      <c r="D39" s="1345">
        <v>0</v>
      </c>
      <c r="E39" s="1877"/>
      <c r="F39" s="1877"/>
      <c r="G39" s="1345">
        <f t="shared" si="1"/>
        <v>0</v>
      </c>
      <c r="H39" s="1345">
        <f t="shared" si="2"/>
        <v>0</v>
      </c>
      <c r="I39" s="618">
        <f t="shared" si="3"/>
        <v>0</v>
      </c>
      <c r="J39" s="617"/>
      <c r="K39" s="2061" t="s">
        <v>179</v>
      </c>
      <c r="L39" s="2062"/>
      <c r="M39" s="2062"/>
      <c r="N39" s="2062"/>
      <c r="O39" s="1841"/>
      <c r="P39" s="1841"/>
      <c r="Q39" s="1841"/>
      <c r="R39" s="1841"/>
      <c r="S39" s="1841"/>
      <c r="T39" s="1841"/>
    </row>
    <row r="40" spans="1:20" s="170" customFormat="1" ht="13.8" thickBot="1">
      <c r="A40" s="965">
        <f t="shared" si="0"/>
        <v>1.3300000000000003</v>
      </c>
      <c r="B40" s="1293" t="s">
        <v>187</v>
      </c>
      <c r="C40" s="1345">
        <v>0</v>
      </c>
      <c r="D40" s="1345">
        <v>0</v>
      </c>
      <c r="E40" s="1877"/>
      <c r="F40" s="1877"/>
      <c r="G40" s="1345">
        <f t="shared" si="1"/>
        <v>0</v>
      </c>
      <c r="H40" s="1345">
        <f t="shared" si="2"/>
        <v>0</v>
      </c>
      <c r="I40" s="618">
        <f t="shared" si="3"/>
        <v>0</v>
      </c>
      <c r="J40" s="617"/>
      <c r="K40" s="1845" t="s">
        <v>1666</v>
      </c>
      <c r="L40" s="1845" t="s">
        <v>805</v>
      </c>
      <c r="M40" s="1846" t="s">
        <v>1666</v>
      </c>
      <c r="N40" s="1850" t="s">
        <v>805</v>
      </c>
      <c r="O40" s="1841"/>
      <c r="P40" s="1841"/>
      <c r="Q40" s="1841"/>
      <c r="R40" s="1841"/>
      <c r="S40" s="1841"/>
      <c r="T40" s="1841"/>
    </row>
    <row r="41" spans="1:20" s="170" customFormat="1" ht="13.8" thickBot="1">
      <c r="A41" s="922">
        <v>2</v>
      </c>
      <c r="B41" s="646" t="s">
        <v>800</v>
      </c>
      <c r="C41" s="647">
        <f>SUM(C8:C40)</f>
        <v>-615543.64</v>
      </c>
      <c r="D41" s="647">
        <f>SUM(D8:D40)</f>
        <v>-290597.98</v>
      </c>
      <c r="E41" s="647">
        <f>SUM(E8:E40)</f>
        <v>-11644.449999999992</v>
      </c>
      <c r="F41" s="647">
        <f t="shared" ref="F41" si="5">SUM(F8:F40)</f>
        <v>0</v>
      </c>
      <c r="G41" s="647">
        <f>SUM(G8:G40)</f>
        <v>-627188.09</v>
      </c>
      <c r="H41" s="647">
        <f>SUM(H8:H40)</f>
        <v>-290597.98</v>
      </c>
      <c r="I41" s="647">
        <f>SUM(I8:I40)</f>
        <v>-917786.07</v>
      </c>
      <c r="J41" s="617"/>
      <c r="K41" s="1855"/>
      <c r="L41" s="1855"/>
      <c r="M41" s="1851"/>
      <c r="N41" s="1852"/>
      <c r="O41" s="1841"/>
      <c r="P41" s="1855" t="s">
        <v>1724</v>
      </c>
      <c r="Q41" s="1856" t="s">
        <v>1725</v>
      </c>
      <c r="R41" s="1841"/>
      <c r="S41" s="1841"/>
      <c r="T41" s="1841" t="s">
        <v>1683</v>
      </c>
    </row>
    <row r="42" spans="1:20" s="170" customFormat="1" ht="13.8" thickTop="1">
      <c r="A42" s="922">
        <f>A41+1</f>
        <v>3</v>
      </c>
      <c r="B42" s="1868"/>
      <c r="C42" s="1056"/>
      <c r="D42" s="1057"/>
      <c r="E42" s="1878"/>
      <c r="F42" s="1878"/>
      <c r="G42" s="1056"/>
      <c r="H42" s="1057"/>
      <c r="I42" s="1057"/>
      <c r="J42" s="830"/>
      <c r="K42" s="1841">
        <f>M27</f>
        <v>18300.750000000007</v>
      </c>
      <c r="L42" s="1841">
        <f>N27</f>
        <v>44553.369999999988</v>
      </c>
      <c r="M42" s="1854"/>
      <c r="N42" s="1842"/>
      <c r="O42" s="1841"/>
      <c r="P42" s="1841" t="str">
        <f>+P27</f>
        <v>AECC 2-1</v>
      </c>
      <c r="Q42" s="1841" t="s">
        <v>1667</v>
      </c>
      <c r="R42" s="1841" t="s">
        <v>1668</v>
      </c>
      <c r="S42" s="170">
        <v>566</v>
      </c>
      <c r="T42" s="1841" t="str">
        <f>T27</f>
        <v>SPO Management Summary</v>
      </c>
    </row>
    <row r="43" spans="1:20" s="613" customFormat="1" ht="13.8" thickBot="1">
      <c r="A43" s="922">
        <f t="shared" ref="A43:A48" si="6">A42+1</f>
        <v>4</v>
      </c>
      <c r="B43" s="1868" t="s">
        <v>561</v>
      </c>
      <c r="C43" s="1868"/>
      <c r="D43" s="1884"/>
      <c r="E43" s="1878"/>
      <c r="F43" s="1878"/>
      <c r="G43" s="1868"/>
      <c r="H43" s="1884"/>
      <c r="I43" s="1884"/>
      <c r="J43" s="830"/>
      <c r="K43" s="1848">
        <f>SUM(K41:K42)</f>
        <v>18300.750000000007</v>
      </c>
      <c r="L43" s="1848">
        <f>SUM(L41:L42)</f>
        <v>44553.369999999988</v>
      </c>
      <c r="M43" s="1849">
        <f>SUM(M41:M42)</f>
        <v>0</v>
      </c>
      <c r="N43" s="1848">
        <f>SUM(N41:N42)</f>
        <v>0</v>
      </c>
      <c r="O43" s="1856"/>
      <c r="P43" s="1856"/>
      <c r="Q43" s="1856"/>
      <c r="R43" s="1856"/>
      <c r="S43" s="1856"/>
      <c r="T43" s="1758"/>
    </row>
    <row r="44" spans="1:20" s="613" customFormat="1" ht="13.8" thickTop="1">
      <c r="A44" s="922">
        <f t="shared" si="6"/>
        <v>5</v>
      </c>
      <c r="B44" s="1869" t="s">
        <v>647</v>
      </c>
      <c r="C44" s="1878"/>
      <c r="D44" s="1878"/>
      <c r="E44" s="1878"/>
      <c r="F44" s="1878"/>
      <c r="G44" s="1878"/>
      <c r="H44" s="1878"/>
      <c r="I44" s="1878"/>
      <c r="J44" s="845"/>
      <c r="K44" s="1841"/>
      <c r="L44" s="1841"/>
      <c r="M44" s="1841"/>
      <c r="N44" s="1841"/>
      <c r="O44" s="1856"/>
      <c r="P44" s="1856"/>
      <c r="Q44" s="1856"/>
      <c r="R44" s="1856"/>
      <c r="S44" s="1856"/>
      <c r="T44" s="1758"/>
    </row>
    <row r="45" spans="1:20" s="613" customFormat="1" ht="15">
      <c r="A45" s="922">
        <f t="shared" si="6"/>
        <v>6</v>
      </c>
      <c r="B45" s="1869" t="s">
        <v>503</v>
      </c>
      <c r="C45" s="677">
        <f>+C21</f>
        <v>0</v>
      </c>
      <c r="D45" s="677">
        <f t="shared" ref="D45:I45" si="7">+D21</f>
        <v>0</v>
      </c>
      <c r="E45" s="677">
        <f t="shared" si="7"/>
        <v>0</v>
      </c>
      <c r="F45" s="677">
        <f t="shared" si="7"/>
        <v>0</v>
      </c>
      <c r="G45" s="677">
        <f t="shared" si="7"/>
        <v>0</v>
      </c>
      <c r="H45" s="677">
        <f t="shared" si="7"/>
        <v>0</v>
      </c>
      <c r="I45" s="677">
        <f t="shared" si="7"/>
        <v>0</v>
      </c>
      <c r="J45" s="677"/>
      <c r="K45" s="2061" t="s">
        <v>181</v>
      </c>
      <c r="L45" s="2062"/>
      <c r="M45" s="2062"/>
      <c r="N45" s="2062"/>
      <c r="O45" s="1856"/>
      <c r="P45" s="1856"/>
      <c r="Q45" s="1856"/>
      <c r="R45" s="1856"/>
      <c r="S45" s="1856"/>
      <c r="T45" s="1758"/>
    </row>
    <row r="46" spans="1:20" s="613" customFormat="1" ht="13.8" thickBot="1">
      <c r="A46" s="922">
        <f t="shared" si="6"/>
        <v>7</v>
      </c>
      <c r="B46" s="1870" t="s">
        <v>778</v>
      </c>
      <c r="C46" s="1878">
        <f t="shared" ref="C46:I46" si="8">SUM(C44:C45)</f>
        <v>0</v>
      </c>
      <c r="D46" s="1878">
        <f t="shared" si="8"/>
        <v>0</v>
      </c>
      <c r="E46" s="1878">
        <f t="shared" si="8"/>
        <v>0</v>
      </c>
      <c r="F46" s="1878">
        <f t="shared" si="8"/>
        <v>0</v>
      </c>
      <c r="G46" s="1878">
        <f t="shared" si="8"/>
        <v>0</v>
      </c>
      <c r="H46" s="1878">
        <f t="shared" si="8"/>
        <v>0</v>
      </c>
      <c r="I46" s="1878">
        <f t="shared" si="8"/>
        <v>0</v>
      </c>
      <c r="J46" s="845"/>
      <c r="K46" s="1845" t="s">
        <v>1666</v>
      </c>
      <c r="L46" s="1845" t="s">
        <v>805</v>
      </c>
      <c r="M46" s="1846" t="s">
        <v>1666</v>
      </c>
      <c r="N46" s="1850" t="s">
        <v>805</v>
      </c>
      <c r="O46" s="1856"/>
      <c r="P46" s="1856"/>
      <c r="Q46" s="1261"/>
      <c r="R46" s="1261"/>
      <c r="S46" s="1856"/>
      <c r="T46" s="1758"/>
    </row>
    <row r="47" spans="1:20" s="613" customFormat="1" ht="15">
      <c r="A47" s="922">
        <f t="shared" si="6"/>
        <v>8</v>
      </c>
      <c r="B47" s="1868" t="s">
        <v>1703</v>
      </c>
      <c r="C47" s="677">
        <f>+SUM(C20:C25)-C21</f>
        <v>-21.270000000000003</v>
      </c>
      <c r="D47" s="677">
        <f t="shared" ref="D47:I47" si="9">+SUM(D20:D25)-D21</f>
        <v>-198.20999999999998</v>
      </c>
      <c r="E47" s="677">
        <f t="shared" si="9"/>
        <v>-27164.950000000004</v>
      </c>
      <c r="F47" s="677">
        <f t="shared" si="9"/>
        <v>-47979.01999999999</v>
      </c>
      <c r="G47" s="677">
        <f t="shared" si="9"/>
        <v>-27186.220000000005</v>
      </c>
      <c r="H47" s="677">
        <f t="shared" si="9"/>
        <v>-48177.229999999989</v>
      </c>
      <c r="I47" s="677">
        <f t="shared" si="9"/>
        <v>-75363.45</v>
      </c>
      <c r="J47" s="866"/>
      <c r="K47" s="1855"/>
      <c r="L47" s="1855"/>
      <c r="M47" s="1851"/>
      <c r="N47" s="1852"/>
      <c r="O47" s="1856"/>
      <c r="P47" s="1872" t="s">
        <v>1726</v>
      </c>
      <c r="Q47" s="1856" t="s">
        <v>1725</v>
      </c>
      <c r="R47" s="1856"/>
      <c r="S47" s="1856"/>
      <c r="T47" s="1758" t="str">
        <f>T41</f>
        <v>ANO Fukushima Regulatory Asset Amortization</v>
      </c>
    </row>
    <row r="48" spans="1:20" s="613" customFormat="1" ht="13.8" thickBot="1">
      <c r="A48" s="922">
        <f t="shared" si="6"/>
        <v>9</v>
      </c>
      <c r="B48" s="1868" t="s">
        <v>740</v>
      </c>
      <c r="C48" s="1878">
        <f t="shared" ref="C48:I48" si="10">+C46+C47</f>
        <v>-21.270000000000003</v>
      </c>
      <c r="D48" s="1878">
        <f t="shared" si="10"/>
        <v>-198.20999999999998</v>
      </c>
      <c r="E48" s="1878">
        <f t="shared" si="10"/>
        <v>-27164.950000000004</v>
      </c>
      <c r="F48" s="1878">
        <f t="shared" si="10"/>
        <v>-47979.01999999999</v>
      </c>
      <c r="G48" s="1878">
        <f t="shared" si="10"/>
        <v>-27186.220000000005</v>
      </c>
      <c r="H48" s="1878">
        <f t="shared" si="10"/>
        <v>-48177.229999999989</v>
      </c>
      <c r="I48" s="1878">
        <f t="shared" si="10"/>
        <v>-75363.45</v>
      </c>
      <c r="J48" s="845"/>
      <c r="K48" s="1848">
        <f>SUM(K47:K47)</f>
        <v>0</v>
      </c>
      <c r="L48" s="1848">
        <v>0</v>
      </c>
      <c r="M48" s="1849">
        <f>SUM(M47:M47)</f>
        <v>0</v>
      </c>
      <c r="N48" s="1848">
        <f>SUM(N47:N47)</f>
        <v>0</v>
      </c>
      <c r="O48" s="1856"/>
      <c r="P48" s="1856"/>
      <c r="Q48" s="1856"/>
      <c r="R48" s="1856"/>
      <c r="S48" s="1856"/>
      <c r="T48" s="1758"/>
    </row>
    <row r="49" spans="1:24" s="613" customFormat="1" ht="13.8" thickTop="1">
      <c r="A49" s="922">
        <f t="shared" ref="A49:A60" si="11">+A48+1</f>
        <v>10</v>
      </c>
      <c r="B49" s="616"/>
      <c r="C49" s="283"/>
      <c r="D49" s="283"/>
      <c r="E49" s="976"/>
      <c r="F49" s="976"/>
      <c r="G49" s="283"/>
      <c r="H49" s="283"/>
      <c r="I49" s="283"/>
      <c r="J49" s="617"/>
      <c r="K49" s="1841"/>
      <c r="L49" s="1841"/>
      <c r="M49" s="1841"/>
      <c r="N49" s="1841"/>
      <c r="O49" s="1856"/>
      <c r="P49" s="1856"/>
      <c r="Q49" s="1856"/>
      <c r="R49" s="1856"/>
      <c r="S49" s="1856"/>
      <c r="T49" s="1758"/>
    </row>
    <row r="50" spans="1:24" s="170" customFormat="1">
      <c r="A50" s="922">
        <f t="shared" si="11"/>
        <v>11</v>
      </c>
      <c r="B50" s="1868" t="s">
        <v>52</v>
      </c>
      <c r="C50" s="1868"/>
      <c r="D50" s="1868"/>
      <c r="E50" s="1878"/>
      <c r="F50" s="1878"/>
      <c r="G50" s="1868"/>
      <c r="H50" s="1868"/>
      <c r="I50" s="1868"/>
      <c r="J50" s="825"/>
      <c r="K50" s="2061" t="s">
        <v>184</v>
      </c>
      <c r="L50" s="2062"/>
      <c r="M50" s="2062"/>
      <c r="N50" s="2062"/>
      <c r="O50" s="1841"/>
      <c r="P50" s="1841"/>
      <c r="Q50" s="1841"/>
      <c r="R50" s="1841"/>
      <c r="S50" s="1841"/>
      <c r="T50" s="1758"/>
    </row>
    <row r="51" spans="1:24" s="170" customFormat="1" ht="13.8" thickBot="1">
      <c r="A51" s="922">
        <f t="shared" si="11"/>
        <v>12</v>
      </c>
      <c r="B51" s="1869" t="s">
        <v>670</v>
      </c>
      <c r="C51" s="1879">
        <f>C8+C9</f>
        <v>0</v>
      </c>
      <c r="D51" s="1879">
        <f>D8+D9</f>
        <v>0</v>
      </c>
      <c r="E51" s="1879">
        <f t="shared" ref="E51:F51" si="12">E8+E9</f>
        <v>0</v>
      </c>
      <c r="F51" s="1879">
        <f t="shared" si="12"/>
        <v>0</v>
      </c>
      <c r="G51" s="1879">
        <f>G8+G9</f>
        <v>0</v>
      </c>
      <c r="H51" s="1879">
        <f>H8+H9</f>
        <v>0</v>
      </c>
      <c r="I51" s="1879">
        <f>I8+I9</f>
        <v>0</v>
      </c>
      <c r="K51" s="1845" t="s">
        <v>1666</v>
      </c>
      <c r="L51" s="1845" t="s">
        <v>805</v>
      </c>
      <c r="M51" s="1846" t="s">
        <v>1666</v>
      </c>
      <c r="N51" s="1850" t="s">
        <v>805</v>
      </c>
      <c r="T51" s="1758"/>
    </row>
    <row r="52" spans="1:24" s="170" customFormat="1">
      <c r="A52" s="922">
        <f t="shared" si="11"/>
        <v>13</v>
      </c>
      <c r="B52" s="1869" t="s">
        <v>1704</v>
      </c>
      <c r="C52" s="1880">
        <f>C10</f>
        <v>-42402.2</v>
      </c>
      <c r="D52" s="1880">
        <f>D10</f>
        <v>0</v>
      </c>
      <c r="E52" s="1880">
        <f t="shared" ref="E52:I53" si="13">E10</f>
        <v>0</v>
      </c>
      <c r="F52" s="1880">
        <f t="shared" si="13"/>
        <v>0</v>
      </c>
      <c r="G52" s="1880">
        <f t="shared" si="13"/>
        <v>-42402.2</v>
      </c>
      <c r="H52" s="1880">
        <f t="shared" si="13"/>
        <v>0</v>
      </c>
      <c r="I52" s="1880">
        <f t="shared" si="13"/>
        <v>-42402.2</v>
      </c>
      <c r="K52" s="1855">
        <f>M18</f>
        <v>0</v>
      </c>
      <c r="L52" s="1855">
        <f>N18</f>
        <v>0</v>
      </c>
      <c r="M52" s="1873">
        <f>K52</f>
        <v>0</v>
      </c>
      <c r="N52" s="1874">
        <f>L52</f>
        <v>0</v>
      </c>
      <c r="P52" s="170" t="str">
        <f>P18</f>
        <v>CE 1-6</v>
      </c>
      <c r="Q52" s="170" t="s">
        <v>1684</v>
      </c>
      <c r="S52" s="170">
        <v>566</v>
      </c>
      <c r="T52" s="1758" t="str">
        <f>T18</f>
        <v>2014 EMI Rate Case</v>
      </c>
    </row>
    <row r="53" spans="1:24" s="170" customFormat="1">
      <c r="A53" s="922">
        <f t="shared" si="11"/>
        <v>14</v>
      </c>
      <c r="B53" s="1869" t="s">
        <v>668</v>
      </c>
      <c r="C53" s="1880">
        <f>C11</f>
        <v>-18561.32</v>
      </c>
      <c r="D53" s="1880">
        <f>D11</f>
        <v>0</v>
      </c>
      <c r="E53" s="1880">
        <f t="shared" si="13"/>
        <v>0</v>
      </c>
      <c r="F53" s="1880">
        <f t="shared" si="13"/>
        <v>0</v>
      </c>
      <c r="G53" s="1880">
        <f t="shared" si="13"/>
        <v>-18561.32</v>
      </c>
      <c r="H53" s="1880">
        <f t="shared" si="13"/>
        <v>0</v>
      </c>
      <c r="I53" s="1880">
        <f t="shared" si="13"/>
        <v>-18561.32</v>
      </c>
      <c r="K53" s="1855">
        <f>M19</f>
        <v>0</v>
      </c>
      <c r="L53" s="1855">
        <f>N19</f>
        <v>0</v>
      </c>
      <c r="M53" s="1875">
        <f>K53</f>
        <v>0</v>
      </c>
      <c r="N53" s="1876">
        <f>L53</f>
        <v>0</v>
      </c>
      <c r="P53" s="170" t="str">
        <f>P19</f>
        <v>CE 1-5</v>
      </c>
      <c r="Q53" s="170" t="s">
        <v>1684</v>
      </c>
      <c r="S53" s="170">
        <v>566</v>
      </c>
      <c r="T53" s="1758" t="str">
        <f>T19</f>
        <v>2016 EMI Fuel Audit</v>
      </c>
    </row>
    <row r="54" spans="1:24" s="170" customFormat="1" ht="13.8" thickBot="1">
      <c r="A54" s="922">
        <f t="shared" si="11"/>
        <v>15</v>
      </c>
      <c r="B54" s="1869" t="s">
        <v>662</v>
      </c>
      <c r="C54" s="1878">
        <f t="shared" ref="C54:D54" si="14">+SUM(C12:C19)</f>
        <v>-38.909999999999997</v>
      </c>
      <c r="D54" s="1878">
        <f t="shared" si="14"/>
        <v>-316.85000000000002</v>
      </c>
      <c r="E54" s="1878">
        <f>+SUM(E12:E19)</f>
        <v>60.739999999999981</v>
      </c>
      <c r="F54" s="1878">
        <f t="shared" ref="F54:I54" si="15">+SUM(F12:F19)</f>
        <v>128.11000000000001</v>
      </c>
      <c r="G54" s="1878">
        <f t="shared" si="15"/>
        <v>21.829999999999984</v>
      </c>
      <c r="H54" s="1878">
        <f t="shared" si="15"/>
        <v>-188.74</v>
      </c>
      <c r="I54" s="1878">
        <f t="shared" si="15"/>
        <v>-166.91</v>
      </c>
      <c r="K54" s="1848">
        <f>SUM(K52:K53)</f>
        <v>0</v>
      </c>
      <c r="L54" s="1848">
        <f>SUM(L52:L53)</f>
        <v>0</v>
      </c>
      <c r="M54" s="1849">
        <f>SUM(M52:M53)</f>
        <v>0</v>
      </c>
      <c r="N54" s="1848">
        <f>SUM(N52:N53)</f>
        <v>0</v>
      </c>
      <c r="T54" s="1758"/>
    </row>
    <row r="55" spans="1:24" s="170" customFormat="1" ht="13.8" thickTop="1">
      <c r="A55" s="922">
        <f t="shared" si="11"/>
        <v>16</v>
      </c>
      <c r="B55" s="1869" t="s">
        <v>1705</v>
      </c>
      <c r="C55" s="1879">
        <f t="shared" ref="C55:I55" si="16">SUM(C20:C25)</f>
        <v>-21.270000000000003</v>
      </c>
      <c r="D55" s="1879">
        <f t="shared" si="16"/>
        <v>-198.20999999999998</v>
      </c>
      <c r="E55" s="1879">
        <f>SUM(E20:E25)</f>
        <v>-27164.950000000004</v>
      </c>
      <c r="F55" s="1879">
        <f t="shared" si="16"/>
        <v>-47979.01999999999</v>
      </c>
      <c r="G55" s="1879">
        <f t="shared" si="16"/>
        <v>-27186.220000000005</v>
      </c>
      <c r="H55" s="1879">
        <f t="shared" si="16"/>
        <v>-48177.229999999989</v>
      </c>
      <c r="I55" s="1879">
        <f t="shared" si="16"/>
        <v>-75363.45</v>
      </c>
      <c r="K55" s="1857"/>
      <c r="L55" s="1857"/>
      <c r="M55" s="1858"/>
      <c r="N55" s="1857"/>
      <c r="T55" s="1758"/>
    </row>
    <row r="56" spans="1:24" s="170" customFormat="1">
      <c r="A56" s="922">
        <f t="shared" si="11"/>
        <v>17</v>
      </c>
      <c r="B56" s="1869" t="s">
        <v>1706</v>
      </c>
      <c r="C56" s="1879">
        <f t="shared" ref="C56:I59" si="17">C26</f>
        <v>0</v>
      </c>
      <c r="D56" s="1879">
        <f t="shared" si="17"/>
        <v>0</v>
      </c>
      <c r="E56" s="1879">
        <f t="shared" si="17"/>
        <v>0</v>
      </c>
      <c r="F56" s="1879">
        <f t="shared" si="17"/>
        <v>0</v>
      </c>
      <c r="G56" s="1879">
        <f t="shared" si="17"/>
        <v>0</v>
      </c>
      <c r="H56" s="1879">
        <f t="shared" si="17"/>
        <v>0</v>
      </c>
      <c r="I56" s="1879">
        <f t="shared" si="17"/>
        <v>0</v>
      </c>
      <c r="K56" s="2061" t="s">
        <v>296</v>
      </c>
      <c r="L56" s="2062"/>
      <c r="M56" s="2062"/>
      <c r="N56" s="2062"/>
      <c r="T56" s="1758"/>
    </row>
    <row r="57" spans="1:24" s="170" customFormat="1" ht="13.8" thickBot="1">
      <c r="A57" s="922">
        <f t="shared" si="11"/>
        <v>18</v>
      </c>
      <c r="B57" s="1869" t="s">
        <v>664</v>
      </c>
      <c r="C57" s="1879">
        <f t="shared" si="17"/>
        <v>0</v>
      </c>
      <c r="D57" s="1879">
        <f t="shared" si="17"/>
        <v>0</v>
      </c>
      <c r="E57" s="1879">
        <f t="shared" si="17"/>
        <v>8803.4600000000009</v>
      </c>
      <c r="F57" s="1879">
        <f t="shared" si="17"/>
        <v>3297.5400000000009</v>
      </c>
      <c r="G57" s="1879">
        <f t="shared" si="17"/>
        <v>8803.4600000000009</v>
      </c>
      <c r="H57" s="1879">
        <f t="shared" si="17"/>
        <v>3297.5400000000009</v>
      </c>
      <c r="I57" s="1879">
        <f t="shared" si="17"/>
        <v>12101.000000000002</v>
      </c>
      <c r="K57" s="1845" t="s">
        <v>1666</v>
      </c>
      <c r="L57" s="1845" t="s">
        <v>805</v>
      </c>
      <c r="M57" s="1846" t="s">
        <v>1666</v>
      </c>
      <c r="N57" s="1850" t="s">
        <v>805</v>
      </c>
      <c r="T57" s="1758"/>
    </row>
    <row r="58" spans="1:24" s="170" customFormat="1">
      <c r="A58" s="922">
        <f t="shared" si="11"/>
        <v>19</v>
      </c>
      <c r="B58" s="1869" t="s">
        <v>1707</v>
      </c>
      <c r="C58" s="1879">
        <f>C28</f>
        <v>0</v>
      </c>
      <c r="D58" s="1879">
        <f t="shared" si="17"/>
        <v>0</v>
      </c>
      <c r="E58" s="1879">
        <f t="shared" si="17"/>
        <v>0</v>
      </c>
      <c r="F58" s="1879">
        <f t="shared" si="17"/>
        <v>0</v>
      </c>
      <c r="G58" s="1879">
        <f t="shared" si="17"/>
        <v>0</v>
      </c>
      <c r="H58" s="1879">
        <f t="shared" si="17"/>
        <v>0</v>
      </c>
      <c r="I58" s="1879">
        <f t="shared" si="17"/>
        <v>0</v>
      </c>
      <c r="K58" s="1839"/>
      <c r="L58" s="1839"/>
      <c r="M58" s="1851"/>
      <c r="N58" s="1834"/>
      <c r="P58" s="1871" t="s">
        <v>1727</v>
      </c>
      <c r="Q58" s="170" t="s">
        <v>1682</v>
      </c>
      <c r="S58" s="170">
        <v>9302</v>
      </c>
      <c r="T58" s="44" t="s">
        <v>1685</v>
      </c>
      <c r="U58" s="1841"/>
      <c r="V58" s="1841"/>
      <c r="W58" s="1841"/>
      <c r="X58" s="1841"/>
    </row>
    <row r="59" spans="1:24" s="170" customFormat="1">
      <c r="A59" s="922">
        <f t="shared" si="11"/>
        <v>20</v>
      </c>
      <c r="B59" s="1869" t="s">
        <v>1708</v>
      </c>
      <c r="C59" s="1879">
        <f>C29</f>
        <v>0</v>
      </c>
      <c r="D59" s="1879">
        <f t="shared" si="17"/>
        <v>0</v>
      </c>
      <c r="E59" s="1879">
        <f t="shared" si="17"/>
        <v>0</v>
      </c>
      <c r="F59" s="1879">
        <f t="shared" si="17"/>
        <v>0</v>
      </c>
      <c r="G59" s="1879">
        <f t="shared" si="17"/>
        <v>0</v>
      </c>
      <c r="H59" s="1879">
        <f t="shared" si="17"/>
        <v>0</v>
      </c>
      <c r="I59" s="1879">
        <f t="shared" si="17"/>
        <v>0</v>
      </c>
      <c r="K59" s="1841"/>
      <c r="L59" s="1841"/>
      <c r="M59" s="1851"/>
      <c r="N59" s="1856"/>
      <c r="P59" s="1871" t="s">
        <v>1728</v>
      </c>
      <c r="Q59" s="170" t="s">
        <v>1682</v>
      </c>
      <c r="S59" s="170">
        <v>9302</v>
      </c>
      <c r="T59" s="44" t="s">
        <v>1686</v>
      </c>
      <c r="U59" s="1841"/>
      <c r="V59" s="1841"/>
      <c r="W59" s="1841"/>
      <c r="X59" s="1841"/>
    </row>
    <row r="60" spans="1:24" s="170" customFormat="1">
      <c r="A60" s="922">
        <f t="shared" si="11"/>
        <v>21</v>
      </c>
      <c r="B60" s="1869" t="s">
        <v>667</v>
      </c>
      <c r="C60" s="1880">
        <f>SUM(C30:C40)</f>
        <v>-554519.93999999994</v>
      </c>
      <c r="D60" s="1880">
        <f t="shared" ref="D60:I60" si="18">SUM(D30:D40)</f>
        <v>-290082.92</v>
      </c>
      <c r="E60" s="1880">
        <f t="shared" si="18"/>
        <v>6656.3000000000084</v>
      </c>
      <c r="F60" s="1880">
        <f t="shared" si="18"/>
        <v>44553.369999999988</v>
      </c>
      <c r="G60" s="1880">
        <f t="shared" si="18"/>
        <v>-547863.6399999999</v>
      </c>
      <c r="H60" s="1880">
        <f t="shared" si="18"/>
        <v>-245529.55</v>
      </c>
      <c r="I60" s="1880">
        <f t="shared" si="18"/>
        <v>-793393.19</v>
      </c>
      <c r="K60" s="1841"/>
      <c r="L60" s="1841"/>
      <c r="M60" s="1851">
        <v>5807.9999999999982</v>
      </c>
      <c r="N60" s="1856"/>
      <c r="O60" s="1841"/>
      <c r="P60" s="1871" t="s">
        <v>1729</v>
      </c>
      <c r="Q60" s="170" t="s">
        <v>1682</v>
      </c>
      <c r="S60" s="170">
        <v>9302</v>
      </c>
      <c r="T60" s="44" t="s">
        <v>1687</v>
      </c>
      <c r="U60" s="1841"/>
      <c r="V60" s="1841"/>
      <c r="W60" s="1841"/>
      <c r="X60" s="1841"/>
    </row>
    <row r="61" spans="1:24" s="170" customFormat="1" ht="13.8" thickBot="1">
      <c r="A61" s="922">
        <f>A60+1</f>
        <v>22</v>
      </c>
      <c r="B61" s="1868" t="str">
        <f>B41</f>
        <v>Total  Sum Line 1 Subparts</v>
      </c>
      <c r="C61" s="1885">
        <f t="shared" ref="C61:I61" si="19">SUM(C51:C60)</f>
        <v>-615543.6399999999</v>
      </c>
      <c r="D61" s="1885">
        <f t="shared" si="19"/>
        <v>-290597.98</v>
      </c>
      <c r="E61" s="1881">
        <f t="shared" si="19"/>
        <v>-11644.449999999992</v>
      </c>
      <c r="F61" s="1881">
        <f t="shared" si="19"/>
        <v>0</v>
      </c>
      <c r="G61" s="1885">
        <f t="shared" si="19"/>
        <v>-627188.08999999985</v>
      </c>
      <c r="H61" s="1885">
        <f t="shared" si="19"/>
        <v>-290597.98</v>
      </c>
      <c r="I61" s="1885">
        <f t="shared" si="19"/>
        <v>-917786.07</v>
      </c>
      <c r="K61" s="1856"/>
      <c r="L61" s="1856"/>
      <c r="M61" s="1859">
        <v>314.7999999999999</v>
      </c>
      <c r="N61" s="1856"/>
      <c r="O61" s="1841"/>
      <c r="P61" s="1871" t="s">
        <v>1730</v>
      </c>
      <c r="Q61" s="170" t="s">
        <v>1682</v>
      </c>
      <c r="S61" s="170">
        <v>9302</v>
      </c>
      <c r="T61" s="44" t="s">
        <v>1688</v>
      </c>
      <c r="U61" s="1841"/>
      <c r="V61" s="1841"/>
      <c r="W61" s="1841"/>
      <c r="X61" s="1841"/>
    </row>
    <row r="62" spans="1:24" s="170" customFormat="1" ht="13.8" thickTop="1">
      <c r="A62" s="964">
        <f>A61+1</f>
        <v>23</v>
      </c>
      <c r="B62" s="1868"/>
      <c r="C62" s="1868"/>
      <c r="D62" s="1868"/>
      <c r="E62" s="1878"/>
      <c r="F62" s="1878"/>
      <c r="G62" s="1868"/>
      <c r="H62" s="1868"/>
      <c r="I62" s="1886"/>
      <c r="J62" s="169"/>
      <c r="K62" s="1841"/>
      <c r="L62" s="1841"/>
      <c r="M62" s="1851">
        <v>5457.13</v>
      </c>
      <c r="N62" s="1856"/>
      <c r="O62" s="1841"/>
      <c r="P62" s="1871" t="s">
        <v>1731</v>
      </c>
      <c r="Q62" s="170" t="s">
        <v>1682</v>
      </c>
      <c r="S62" s="170">
        <v>9302</v>
      </c>
      <c r="T62" s="44" t="s">
        <v>1689</v>
      </c>
      <c r="U62" s="1841"/>
      <c r="V62" s="1841"/>
      <c r="W62" s="1841"/>
      <c r="X62" s="1841"/>
    </row>
    <row r="63" spans="1:24" s="170" customFormat="1">
      <c r="A63" s="964">
        <f>A62+1</f>
        <v>24</v>
      </c>
      <c r="B63" s="1870" t="s">
        <v>1709</v>
      </c>
      <c r="C63" s="1879"/>
      <c r="D63" s="1879">
        <f>SUM(D51:D59)</f>
        <v>-515.05999999999995</v>
      </c>
      <c r="E63" s="1878"/>
      <c r="F63" s="1878">
        <f>SUM(F51:F59)</f>
        <v>-44553.369999999988</v>
      </c>
      <c r="G63" s="1879"/>
      <c r="H63" s="1879">
        <f>SUM(H51:H59)</f>
        <v>-45068.429999999986</v>
      </c>
      <c r="I63" s="1879"/>
      <c r="J63" s="169"/>
      <c r="K63" s="1841"/>
      <c r="L63" s="1841"/>
      <c r="M63" s="1851"/>
      <c r="N63" s="1856"/>
      <c r="O63" s="1841"/>
      <c r="P63" s="1871" t="s">
        <v>1732</v>
      </c>
      <c r="Q63" s="170" t="s">
        <v>1682</v>
      </c>
      <c r="S63" s="170">
        <v>9302</v>
      </c>
      <c r="T63" s="44" t="s">
        <v>1676</v>
      </c>
      <c r="U63" s="1841"/>
      <c r="V63" s="1841"/>
      <c r="W63" s="1841"/>
      <c r="X63" s="1841"/>
    </row>
    <row r="64" spans="1:24" s="170" customFormat="1">
      <c r="A64" s="964"/>
      <c r="B64" s="1060"/>
      <c r="C64" s="1060"/>
      <c r="D64" s="1060"/>
      <c r="E64" s="1882"/>
      <c r="F64" s="1882"/>
      <c r="G64" s="1061"/>
      <c r="H64" s="1061"/>
      <c r="I64" s="1061"/>
      <c r="J64" s="169"/>
      <c r="K64" s="1841"/>
      <c r="L64" s="1841"/>
      <c r="M64" s="1851"/>
      <c r="N64" s="1856"/>
      <c r="O64" s="1841"/>
      <c r="P64" s="1871" t="s">
        <v>1733</v>
      </c>
      <c r="Q64" s="170" t="s">
        <v>1682</v>
      </c>
      <c r="S64" s="170">
        <v>9302</v>
      </c>
      <c r="T64" s="44" t="s">
        <v>1690</v>
      </c>
      <c r="U64" s="1841"/>
      <c r="V64" s="1841"/>
      <c r="W64" s="1841"/>
      <c r="X64" s="1841"/>
    </row>
    <row r="65" spans="1:24" s="170" customFormat="1">
      <c r="A65" s="964" t="s">
        <v>299</v>
      </c>
      <c r="B65" s="1060"/>
      <c r="C65" s="1060"/>
      <c r="D65" s="1060"/>
      <c r="E65" s="1035"/>
      <c r="F65" s="1035"/>
      <c r="G65" s="1061"/>
      <c r="H65" s="1061"/>
      <c r="I65" s="1061"/>
      <c r="J65" s="169"/>
      <c r="K65" s="1856"/>
      <c r="L65" s="1856"/>
      <c r="M65" s="1859">
        <v>64.52000000000001</v>
      </c>
      <c r="N65" s="1856"/>
      <c r="P65" s="1871" t="s">
        <v>1734</v>
      </c>
      <c r="Q65" s="170" t="s">
        <v>1682</v>
      </c>
      <c r="S65" s="170">
        <v>9302</v>
      </c>
      <c r="T65" s="44" t="s">
        <v>1678</v>
      </c>
      <c r="U65" s="1841"/>
      <c r="V65" s="1841"/>
      <c r="W65" s="1841"/>
      <c r="X65" s="1841"/>
    </row>
    <row r="66" spans="1:24">
      <c r="A66" s="1144" t="s">
        <v>171</v>
      </c>
      <c r="B66" s="646" t="s">
        <v>1698</v>
      </c>
      <c r="C66" s="646"/>
      <c r="D66" s="646"/>
      <c r="E66" s="646"/>
      <c r="F66" s="646"/>
      <c r="G66" s="646"/>
      <c r="H66" s="646"/>
      <c r="I66" s="646"/>
      <c r="K66" s="1856"/>
      <c r="L66" s="1856"/>
      <c r="M66" s="1859"/>
      <c r="N66" s="1856"/>
      <c r="P66" s="1871" t="s">
        <v>1735</v>
      </c>
      <c r="Q66" s="170" t="s">
        <v>1682</v>
      </c>
      <c r="R66" s="170"/>
      <c r="S66" s="170">
        <v>9302</v>
      </c>
      <c r="T66" s="44" t="s">
        <v>1691</v>
      </c>
    </row>
    <row r="67" spans="1:24" ht="13.8" thickBot="1">
      <c r="A67" s="1144"/>
      <c r="B67" s="646"/>
      <c r="C67" s="646"/>
      <c r="D67" s="646"/>
      <c r="E67" s="646"/>
      <c r="F67" s="646"/>
      <c r="G67" s="646"/>
      <c r="H67" s="646"/>
      <c r="I67" s="646"/>
      <c r="J67" s="1038"/>
      <c r="K67" s="1860">
        <f>SUM(K58:K66)</f>
        <v>0</v>
      </c>
      <c r="L67" s="1860">
        <f>SUM(L58:L66)</f>
        <v>0</v>
      </c>
      <c r="M67" s="1860">
        <f>SUM(M58:M66)</f>
        <v>11644.449999999999</v>
      </c>
      <c r="N67" s="1860">
        <f>SUM(N58:N66)</f>
        <v>0</v>
      </c>
      <c r="O67" s="1261"/>
      <c r="P67" s="1261"/>
      <c r="Q67" s="1261"/>
      <c r="R67" s="1261"/>
      <c r="S67" s="1261"/>
      <c r="T67" s="1841"/>
    </row>
    <row r="68" spans="1:24" s="613" customFormat="1" ht="13.8" thickTop="1">
      <c r="A68" s="1146"/>
      <c r="B68" s="1466" t="s">
        <v>174</v>
      </c>
      <c r="C68" s="1466"/>
      <c r="D68" s="1466"/>
      <c r="E68" s="1466"/>
      <c r="F68" s="1466"/>
      <c r="G68" s="1466" t="s">
        <v>891</v>
      </c>
      <c r="H68" s="1466" t="s">
        <v>805</v>
      </c>
      <c r="I68" s="1466" t="s">
        <v>1665</v>
      </c>
      <c r="J68" s="1038"/>
      <c r="K68" s="1841"/>
      <c r="L68" s="1841"/>
      <c r="M68" s="1841"/>
      <c r="N68" s="1841"/>
      <c r="O68" s="1261"/>
      <c r="P68" s="1261"/>
      <c r="Q68" s="1261"/>
      <c r="R68" s="1261"/>
      <c r="S68" s="1261"/>
      <c r="T68" s="1841"/>
    </row>
    <row r="69" spans="1:24" s="613" customFormat="1">
      <c r="A69" s="1037"/>
      <c r="B69" s="616" t="s">
        <v>1484</v>
      </c>
      <c r="C69" s="616"/>
      <c r="D69" s="616"/>
      <c r="E69" s="1883"/>
      <c r="F69" s="1883"/>
      <c r="G69" s="1712">
        <v>178436.24</v>
      </c>
      <c r="H69" s="1712">
        <v>4792.16</v>
      </c>
      <c r="I69" s="1713">
        <f t="shared" ref="I69" si="20">SUM(G69:H69)</f>
        <v>183228.4</v>
      </c>
      <c r="J69" s="169"/>
      <c r="K69" s="1841"/>
      <c r="L69" s="1841"/>
      <c r="M69" s="1841"/>
      <c r="N69" s="1841"/>
      <c r="O69" s="169"/>
      <c r="P69" s="169"/>
      <c r="Q69" s="169"/>
      <c r="R69" s="169"/>
      <c r="S69" s="169"/>
      <c r="T69" s="1841"/>
    </row>
    <row r="70" spans="1:24" ht="13.8" thickBot="1">
      <c r="A70" s="1040"/>
      <c r="B70" s="646" t="s">
        <v>800</v>
      </c>
      <c r="C70" s="646"/>
      <c r="D70" s="646"/>
      <c r="E70" s="1883"/>
      <c r="F70" s="1883"/>
      <c r="G70" s="1714">
        <f>+G41</f>
        <v>-627188.09</v>
      </c>
      <c r="H70" s="1714">
        <f>+H41</f>
        <v>-290597.98</v>
      </c>
      <c r="I70" s="1714">
        <f>+G70+H70</f>
        <v>-917786.07</v>
      </c>
      <c r="K70" s="1841"/>
      <c r="L70" s="1841"/>
      <c r="M70" s="1841"/>
      <c r="N70" s="1841"/>
      <c r="T70" s="1841"/>
    </row>
    <row r="71" spans="1:24" ht="13.8" thickTop="1">
      <c r="A71" s="1040"/>
      <c r="B71" s="646" t="s">
        <v>1485</v>
      </c>
      <c r="C71" s="646"/>
      <c r="D71" s="646"/>
      <c r="E71" s="1883"/>
      <c r="F71" s="1883"/>
      <c r="G71" s="1711">
        <f>+G69+G70</f>
        <v>-448751.85</v>
      </c>
      <c r="H71" s="1711">
        <f t="shared" ref="H71:I71" si="21">+H69+H70</f>
        <v>-285805.82</v>
      </c>
      <c r="I71" s="1711">
        <f t="shared" si="21"/>
        <v>-734557.66999999993</v>
      </c>
      <c r="K71" s="1841"/>
      <c r="L71" s="1841"/>
      <c r="M71" s="1841"/>
      <c r="N71" s="1841"/>
      <c r="T71" s="1841"/>
    </row>
    <row r="72" spans="1:24">
      <c r="A72" s="1040"/>
      <c r="B72" s="646"/>
      <c r="C72" s="646"/>
      <c r="D72" s="646"/>
      <c r="G72" s="646"/>
      <c r="H72" s="646"/>
      <c r="I72" s="646"/>
      <c r="K72" s="1841"/>
      <c r="L72" s="1841"/>
      <c r="M72" s="1841"/>
      <c r="N72" s="1841"/>
      <c r="T72" s="170"/>
    </row>
    <row r="73" spans="1:24">
      <c r="A73" s="169"/>
      <c r="K73" s="1841"/>
      <c r="L73" s="1841"/>
      <c r="M73" s="1841"/>
      <c r="N73" s="1841"/>
    </row>
    <row r="74" spans="1:24">
      <c r="K74" s="1841"/>
      <c r="L74" s="1841"/>
      <c r="M74" s="1841"/>
      <c r="N74" s="1841"/>
      <c r="T74" s="1639"/>
    </row>
    <row r="75" spans="1:24">
      <c r="K75" s="170"/>
      <c r="L75" s="170"/>
      <c r="M75" s="170"/>
      <c r="N75" s="170"/>
      <c r="T75" s="1639"/>
    </row>
    <row r="76" spans="1:24">
      <c r="K76" s="170"/>
      <c r="L76" s="170"/>
      <c r="M76" s="170"/>
      <c r="N76" s="170"/>
    </row>
    <row r="77" spans="1:24">
      <c r="K77" s="170"/>
      <c r="L77" s="170"/>
      <c r="M77" s="170"/>
      <c r="N77" s="170"/>
    </row>
    <row r="78" spans="1:24">
      <c r="K78" s="170"/>
      <c r="L78" s="170"/>
      <c r="M78" s="170"/>
      <c r="N78" s="170"/>
    </row>
    <row r="79" spans="1:24">
      <c r="K79" s="170"/>
      <c r="L79" s="170"/>
      <c r="M79" s="170"/>
      <c r="N79" s="170"/>
    </row>
    <row r="80" spans="1:24">
      <c r="K80" s="170"/>
      <c r="L80" s="170"/>
      <c r="M80" s="170"/>
      <c r="N80" s="170"/>
    </row>
    <row r="81" spans="11:14">
      <c r="K81" s="170"/>
      <c r="L81" s="170"/>
      <c r="M81" s="170"/>
      <c r="N81" s="170"/>
    </row>
    <row r="82" spans="11:14">
      <c r="K82" s="170"/>
      <c r="L82" s="170"/>
      <c r="M82" s="170"/>
      <c r="N82" s="170"/>
    </row>
    <row r="83" spans="11:14">
      <c r="K83" s="170"/>
      <c r="L83" s="170"/>
      <c r="M83" s="170"/>
      <c r="N83" s="170"/>
    </row>
    <row r="85" spans="11:14">
      <c r="K85" s="1261"/>
      <c r="L85" s="1261"/>
      <c r="M85" s="1261"/>
      <c r="N85" s="1261"/>
    </row>
    <row r="86" spans="11:14">
      <c r="K86" s="1261"/>
      <c r="L86" s="1261"/>
      <c r="M86" s="1261"/>
      <c r="N86" s="1261"/>
    </row>
  </sheetData>
  <mergeCells count="14">
    <mergeCell ref="A1:I1"/>
    <mergeCell ref="A2:I2"/>
    <mergeCell ref="A3:I3"/>
    <mergeCell ref="G4:I4"/>
    <mergeCell ref="C5:D5"/>
    <mergeCell ref="E5:F5"/>
    <mergeCell ref="K45:N45"/>
    <mergeCell ref="K50:N50"/>
    <mergeCell ref="K56:N56"/>
    <mergeCell ref="K6:N6"/>
    <mergeCell ref="K11:N11"/>
    <mergeCell ref="K16:N16"/>
    <mergeCell ref="K30:N30"/>
    <mergeCell ref="K39:N39"/>
  </mergeCells>
  <printOptions horizontalCentered="1"/>
  <pageMargins left="0.5" right="0.5" top="0.7" bottom="0.7" header="0.3" footer="0.5"/>
  <pageSetup scale="80" orientation="portrait" r:id="rId1"/>
  <headerFooter>
    <oddFooter>&amp;R&amp;A</oddFooter>
  </headerFooter>
  <rowBreaks count="1" manualBreakCount="1">
    <brk id="64"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workbookViewId="0">
      <selection activeCell="L6" sqref="L6"/>
    </sheetView>
  </sheetViews>
  <sheetFormatPr defaultColWidth="8.88671875" defaultRowHeight="13.2"/>
  <cols>
    <col min="1" max="1" width="6.44140625" style="44" bestFit="1" customWidth="1"/>
    <col min="2" max="2" width="33.44140625" style="44" customWidth="1"/>
    <col min="3" max="3" width="14.88671875" style="256" customWidth="1"/>
    <col min="4" max="4" width="26.33203125" style="763" customWidth="1"/>
    <col min="5" max="5" width="10.88671875" style="44" customWidth="1"/>
    <col min="6" max="6" width="18.109375" style="43" customWidth="1"/>
    <col min="7" max="7" width="20.33203125" style="43" customWidth="1"/>
    <col min="8" max="8" width="8.88671875" style="44"/>
    <col min="9" max="9" width="21.109375" style="44" customWidth="1"/>
    <col min="10" max="10" width="19.109375" style="44" customWidth="1"/>
    <col min="11" max="16384" width="8.88671875" style="44"/>
  </cols>
  <sheetData>
    <row r="1" spans="1:10">
      <c r="A1" s="2072" t="str">
        <f>+'MISO Cover'!C6</f>
        <v>Entergy New Orleans, Inc.</v>
      </c>
      <c r="B1" s="2072"/>
      <c r="C1" s="2072"/>
      <c r="D1" s="2072"/>
      <c r="E1" s="181"/>
      <c r="F1" s="563"/>
      <c r="G1" s="563"/>
      <c r="H1" s="181"/>
      <c r="I1" s="181"/>
      <c r="J1" s="181"/>
    </row>
    <row r="2" spans="1:10" s="522" customFormat="1">
      <c r="A2" s="2074" t="s">
        <v>649</v>
      </c>
      <c r="B2" s="2074"/>
      <c r="C2" s="2074"/>
      <c r="D2" s="2074"/>
      <c r="E2" s="512"/>
      <c r="F2" s="867"/>
      <c r="G2" s="867"/>
      <c r="H2" s="781"/>
    </row>
    <row r="3" spans="1:10">
      <c r="A3" s="2073" t="str">
        <f>+'MISO Cover'!K4</f>
        <v>For  the 12 Months Ended 12/31/2016</v>
      </c>
      <c r="B3" s="2073"/>
      <c r="C3" s="2073"/>
      <c r="D3" s="2073"/>
      <c r="E3" s="513"/>
      <c r="F3" s="868"/>
      <c r="G3" s="868"/>
      <c r="H3" s="782"/>
      <c r="I3" s="782"/>
      <c r="J3" s="782"/>
    </row>
    <row r="4" spans="1:10">
      <c r="A4" s="762"/>
      <c r="B4" s="762"/>
      <c r="C4" s="762"/>
      <c r="D4" s="762"/>
      <c r="E4" s="762"/>
      <c r="F4" s="868"/>
      <c r="G4" s="868"/>
      <c r="H4" s="782"/>
      <c r="I4" s="782"/>
      <c r="J4" s="782"/>
    </row>
    <row r="5" spans="1:10">
      <c r="B5" s="503" t="s">
        <v>68</v>
      </c>
      <c r="C5" s="504" t="s">
        <v>115</v>
      </c>
      <c r="D5" s="503" t="s">
        <v>56</v>
      </c>
      <c r="E5" s="503"/>
      <c r="F5" s="849"/>
      <c r="G5" s="849"/>
      <c r="H5" s="503"/>
      <c r="I5" s="503"/>
      <c r="J5" s="503"/>
    </row>
    <row r="6" spans="1:10" s="505" customFormat="1">
      <c r="A6" s="505" t="s">
        <v>281</v>
      </c>
      <c r="B6" s="1464" t="s">
        <v>113</v>
      </c>
      <c r="C6" s="1465" t="s">
        <v>127</v>
      </c>
      <c r="D6" s="1465" t="s">
        <v>141</v>
      </c>
      <c r="E6" s="506"/>
      <c r="F6" s="869"/>
      <c r="G6" s="870"/>
      <c r="H6" s="783"/>
      <c r="I6" s="783"/>
      <c r="J6" s="783"/>
    </row>
    <row r="7" spans="1:10">
      <c r="A7" s="206">
        <v>1</v>
      </c>
      <c r="B7" s="510" t="s">
        <v>64</v>
      </c>
      <c r="C7" s="504"/>
      <c r="D7" s="508"/>
      <c r="E7" s="508"/>
      <c r="F7" s="871"/>
      <c r="G7" s="871"/>
      <c r="H7" s="503"/>
      <c r="I7" s="503"/>
      <c r="J7" s="503"/>
    </row>
    <row r="8" spans="1:10">
      <c r="A8" s="206">
        <f>+A7+0.1</f>
        <v>1.1000000000000001</v>
      </c>
      <c r="B8" s="507" t="s">
        <v>210</v>
      </c>
      <c r="C8" s="509">
        <v>19242.100000000002</v>
      </c>
      <c r="D8" s="701" t="s">
        <v>592</v>
      </c>
      <c r="E8" s="1719" t="s">
        <v>1501</v>
      </c>
      <c r="F8" s="871"/>
      <c r="G8" s="871"/>
      <c r="H8" s="503"/>
      <c r="I8" s="503"/>
      <c r="J8" s="503"/>
    </row>
    <row r="9" spans="1:10">
      <c r="A9" s="206">
        <f>+A8+0.1</f>
        <v>1.2000000000000002</v>
      </c>
      <c r="B9" s="652" t="s">
        <v>211</v>
      </c>
      <c r="C9" s="653">
        <v>1276216.8200000005</v>
      </c>
      <c r="D9" s="701" t="s">
        <v>724</v>
      </c>
      <c r="E9" s="699" t="s">
        <v>1502</v>
      </c>
      <c r="F9" s="871"/>
      <c r="G9" s="871"/>
      <c r="H9" s="503"/>
      <c r="I9" s="503"/>
      <c r="J9" s="503"/>
    </row>
    <row r="10" spans="1:10">
      <c r="A10" s="206">
        <f>+A7+1</f>
        <v>2</v>
      </c>
      <c r="B10" s="972" t="s">
        <v>114</v>
      </c>
      <c r="C10" s="973">
        <f>+C8+C9</f>
        <v>1295458.9200000006</v>
      </c>
      <c r="D10" s="974" t="str">
        <f>+"Sum Ln "&amp;A7&amp;" Subparts"</f>
        <v>Sum Ln 1 Subparts</v>
      </c>
    </row>
    <row r="11" spans="1:10">
      <c r="A11" s="206">
        <f>+A10+1</f>
        <v>3</v>
      </c>
      <c r="D11" s="574"/>
    </row>
    <row r="12" spans="1:10">
      <c r="A12" s="206">
        <f>+A11+1</f>
        <v>4</v>
      </c>
      <c r="B12" s="510" t="s">
        <v>65</v>
      </c>
      <c r="D12" s="574"/>
    </row>
    <row r="13" spans="1:10">
      <c r="A13" s="206">
        <f>+A12+0.01</f>
        <v>4.01</v>
      </c>
      <c r="B13" s="507" t="s">
        <v>210</v>
      </c>
      <c r="C13" s="509">
        <v>8600848.3600000031</v>
      </c>
      <c r="D13" s="701" t="s">
        <v>593</v>
      </c>
      <c r="E13" s="44" t="s">
        <v>1503</v>
      </c>
    </row>
    <row r="14" spans="1:10">
      <c r="A14" s="206">
        <f t="shared" ref="A14:A24" si="0">+A13+0.01</f>
        <v>4.0199999999999996</v>
      </c>
      <c r="B14" s="44" t="s">
        <v>212</v>
      </c>
      <c r="C14" s="509">
        <v>3051902.7799999984</v>
      </c>
      <c r="D14" s="701" t="s">
        <v>724</v>
      </c>
      <c r="E14" s="699" t="s">
        <v>1504</v>
      </c>
    </row>
    <row r="15" spans="1:10">
      <c r="A15" s="206">
        <f t="shared" si="0"/>
        <v>4.0299999999999994</v>
      </c>
      <c r="B15" s="44" t="s">
        <v>213</v>
      </c>
      <c r="C15" s="78">
        <f>+C9</f>
        <v>1276216.8200000005</v>
      </c>
      <c r="D15" s="701" t="str">
        <f>+"Line "&amp;A9</f>
        <v>Line 1.2</v>
      </c>
    </row>
    <row r="16" spans="1:10">
      <c r="A16" s="206">
        <f t="shared" si="0"/>
        <v>4.0399999999999991</v>
      </c>
      <c r="B16" s="44" t="s">
        <v>214</v>
      </c>
      <c r="C16" s="509">
        <v>0</v>
      </c>
      <c r="D16" s="701" t="s">
        <v>724</v>
      </c>
      <c r="E16" s="44" t="s">
        <v>1505</v>
      </c>
    </row>
    <row r="17" spans="1:10">
      <c r="A17" s="206">
        <f t="shared" si="0"/>
        <v>4.0499999999999989</v>
      </c>
      <c r="B17" s="44" t="s">
        <v>215</v>
      </c>
      <c r="C17" s="509">
        <v>1990471.1799999992</v>
      </c>
      <c r="D17" s="701" t="s">
        <v>724</v>
      </c>
      <c r="E17" s="44" t="s">
        <v>1506</v>
      </c>
    </row>
    <row r="18" spans="1:10">
      <c r="A18" s="206">
        <f t="shared" si="0"/>
        <v>4.0599999999999987</v>
      </c>
      <c r="B18" s="44" t="s">
        <v>216</v>
      </c>
      <c r="C18" s="509">
        <v>1365055.8500000003</v>
      </c>
      <c r="D18" s="701" t="s">
        <v>724</v>
      </c>
      <c r="E18" s="699" t="s">
        <v>1507</v>
      </c>
    </row>
    <row r="19" spans="1:10">
      <c r="A19" s="206">
        <f t="shared" si="0"/>
        <v>4.0699999999999985</v>
      </c>
      <c r="B19" s="44" t="s">
        <v>217</v>
      </c>
      <c r="C19" s="509">
        <v>182900.42999999996</v>
      </c>
      <c r="D19" s="701" t="s">
        <v>724</v>
      </c>
      <c r="E19" s="699" t="s">
        <v>1508</v>
      </c>
    </row>
    <row r="20" spans="1:10">
      <c r="A20" s="206">
        <f t="shared" si="0"/>
        <v>4.0799999999999983</v>
      </c>
      <c r="B20" s="44" t="s">
        <v>218</v>
      </c>
      <c r="C20" s="509">
        <v>41914.76999999999</v>
      </c>
      <c r="D20" s="701" t="s">
        <v>724</v>
      </c>
      <c r="E20" s="699" t="s">
        <v>1509</v>
      </c>
    </row>
    <row r="21" spans="1:10">
      <c r="A21" s="206">
        <f t="shared" si="0"/>
        <v>4.0899999999999981</v>
      </c>
      <c r="B21" s="44" t="s">
        <v>278</v>
      </c>
      <c r="C21" s="509">
        <v>6865423.2000000039</v>
      </c>
      <c r="D21" s="701" t="s">
        <v>724</v>
      </c>
      <c r="E21" s="699" t="s">
        <v>1510</v>
      </c>
    </row>
    <row r="22" spans="1:10">
      <c r="A22" s="889">
        <f t="shared" si="0"/>
        <v>4.0999999999999979</v>
      </c>
      <c r="B22" s="44" t="s">
        <v>219</v>
      </c>
      <c r="C22" s="509">
        <v>0</v>
      </c>
      <c r="D22" s="701" t="s">
        <v>724</v>
      </c>
      <c r="E22" s="699" t="s">
        <v>1511</v>
      </c>
      <c r="F22" s="871"/>
      <c r="G22" s="871"/>
      <c r="H22" s="503"/>
      <c r="I22" s="503"/>
      <c r="J22" s="503"/>
    </row>
    <row r="23" spans="1:10">
      <c r="A23" s="889">
        <f t="shared" si="0"/>
        <v>4.1099999999999977</v>
      </c>
      <c r="B23" s="44" t="s">
        <v>220</v>
      </c>
      <c r="C23" s="509">
        <v>0</v>
      </c>
      <c r="D23" s="701" t="s">
        <v>724</v>
      </c>
      <c r="E23" s="699" t="s">
        <v>1512</v>
      </c>
      <c r="F23" s="871"/>
      <c r="G23" s="871"/>
      <c r="H23" s="503"/>
      <c r="I23" s="503"/>
      <c r="J23" s="503"/>
    </row>
    <row r="24" spans="1:10">
      <c r="A24" s="1286">
        <f t="shared" si="0"/>
        <v>4.1199999999999974</v>
      </c>
      <c r="B24" s="784" t="s">
        <v>905</v>
      </c>
      <c r="C24" s="208"/>
      <c r="D24" s="701"/>
      <c r="E24" s="699"/>
      <c r="F24" s="871"/>
      <c r="G24" s="871"/>
      <c r="H24" s="503"/>
      <c r="I24" s="503"/>
      <c r="J24" s="503"/>
    </row>
    <row r="25" spans="1:10">
      <c r="A25" s="1286" t="s">
        <v>899</v>
      </c>
      <c r="B25" s="784" t="s">
        <v>905</v>
      </c>
      <c r="C25" s="208"/>
      <c r="D25" s="701"/>
      <c r="E25" s="508"/>
      <c r="F25" s="871"/>
      <c r="G25" s="871"/>
      <c r="H25" s="503"/>
      <c r="I25" s="503"/>
      <c r="J25" s="503"/>
    </row>
    <row r="26" spans="1:10">
      <c r="A26" s="1286" t="s">
        <v>900</v>
      </c>
      <c r="B26" s="1277" t="s">
        <v>905</v>
      </c>
      <c r="C26" s="264"/>
      <c r="D26" s="701"/>
      <c r="E26" s="508"/>
      <c r="F26" s="871"/>
      <c r="G26" s="871"/>
      <c r="H26" s="503"/>
      <c r="I26" s="503"/>
      <c r="J26" s="503"/>
    </row>
    <row r="27" spans="1:10">
      <c r="A27" s="206">
        <f>+A12+1</f>
        <v>5</v>
      </c>
      <c r="B27" s="972" t="s">
        <v>7</v>
      </c>
      <c r="C27" s="78">
        <f>SUM(C13:C26)</f>
        <v>23374733.390000004</v>
      </c>
      <c r="D27" s="974" t="str">
        <f>+"Sum Ln "&amp;A12&amp;" Subparts"</f>
        <v>Sum Ln 4 Subparts</v>
      </c>
    </row>
    <row r="28" spans="1:10">
      <c r="A28" s="206">
        <f>+A27+1</f>
        <v>6</v>
      </c>
      <c r="D28" s="284"/>
    </row>
    <row r="29" spans="1:10">
      <c r="A29" s="206">
        <f>+A28+1</f>
        <v>7</v>
      </c>
      <c r="B29" s="511" t="s">
        <v>496</v>
      </c>
      <c r="D29" s="284"/>
    </row>
    <row r="30" spans="1:10">
      <c r="A30" s="206">
        <f>+A29+0.1</f>
        <v>7.1</v>
      </c>
      <c r="B30" s="507" t="s">
        <v>210</v>
      </c>
      <c r="C30" s="509">
        <v>1754210.6199999999</v>
      </c>
      <c r="D30" s="701" t="s">
        <v>594</v>
      </c>
      <c r="E30" s="699" t="s">
        <v>1513</v>
      </c>
    </row>
    <row r="31" spans="1:10">
      <c r="A31" s="206">
        <f>+A30+0.1</f>
        <v>7.1999999999999993</v>
      </c>
      <c r="B31" s="44" t="s">
        <v>278</v>
      </c>
      <c r="C31" s="78">
        <f>+C21</f>
        <v>6865423.2000000039</v>
      </c>
      <c r="D31" s="701" t="str">
        <f>+"Line "&amp;A21</f>
        <v>Line 4.09</v>
      </c>
    </row>
    <row r="32" spans="1:10">
      <c r="A32" s="206">
        <f>+A31+0.1</f>
        <v>7.2999999999999989</v>
      </c>
      <c r="B32" s="555" t="s">
        <v>220</v>
      </c>
      <c r="C32" s="564">
        <f>+C23</f>
        <v>0</v>
      </c>
      <c r="D32" s="701" t="str">
        <f>+"Line "&amp;A23</f>
        <v>Line 4.11</v>
      </c>
    </row>
    <row r="33" spans="1:4">
      <c r="A33" s="206">
        <f>+A29+1</f>
        <v>8</v>
      </c>
      <c r="B33" s="972" t="str">
        <f>+"Total "&amp;B29</f>
        <v>Total A&amp;G Wages Expense</v>
      </c>
      <c r="C33" s="973">
        <f>SUM(C30:C32)</f>
        <v>8619633.820000004</v>
      </c>
      <c r="D33" s="974" t="str">
        <f>+"Sum Ln "&amp;A29&amp;" Subparts"</f>
        <v>Sum Ln 7 Subparts</v>
      </c>
    </row>
    <row r="34" spans="1:4">
      <c r="A34" s="763"/>
    </row>
    <row r="35" spans="1:4">
      <c r="A35" s="43" t="s">
        <v>299</v>
      </c>
      <c r="B35" s="43"/>
    </row>
    <row r="36" spans="1:4">
      <c r="A36" s="228" t="s">
        <v>171</v>
      </c>
      <c r="B36" s="43" t="s">
        <v>513</v>
      </c>
    </row>
    <row r="37" spans="1:4">
      <c r="A37" s="763"/>
    </row>
  </sheetData>
  <mergeCells count="3">
    <mergeCell ref="A1:D1"/>
    <mergeCell ref="A3:D3"/>
    <mergeCell ref="A2:D2"/>
  </mergeCells>
  <printOptions horizontalCentered="1"/>
  <pageMargins left="0.5" right="0.5" top="0.5" bottom="0.75" header="0.3" footer="0.5"/>
  <pageSetup orientation="portrait"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O52"/>
  <sheetViews>
    <sheetView topLeftCell="A16" zoomScaleNormal="100" zoomScaleSheetLayoutView="75" workbookViewId="0">
      <selection activeCell="L6" sqref="L6"/>
    </sheetView>
  </sheetViews>
  <sheetFormatPr defaultColWidth="8.88671875" defaultRowHeight="13.2"/>
  <cols>
    <col min="1" max="1" width="6.44140625" style="522" customWidth="1"/>
    <col min="2" max="2" width="9.44140625" style="522" customWidth="1"/>
    <col min="3" max="3" width="14.109375" style="522" bestFit="1" customWidth="1"/>
    <col min="4" max="4" width="15.109375" style="522" bestFit="1" customWidth="1"/>
    <col min="5" max="5" width="11.44140625" style="522" bestFit="1" customWidth="1"/>
    <col min="6" max="6" width="15.5546875" style="256" bestFit="1" customWidth="1"/>
    <col min="7" max="7" width="15.109375" style="256" bestFit="1" customWidth="1"/>
    <col min="8" max="8" width="13.109375" style="522" bestFit="1" customWidth="1"/>
    <col min="9" max="9" width="12.33203125" style="522" bestFit="1" customWidth="1"/>
    <col min="10" max="10" width="12.44140625" style="522" bestFit="1" customWidth="1"/>
    <col min="11" max="11" width="11.44140625" style="522" bestFit="1" customWidth="1"/>
    <col min="12" max="12" width="15.88671875" style="522" bestFit="1" customWidth="1"/>
    <col min="13" max="13" width="14.33203125" style="522" customWidth="1"/>
    <col min="14" max="26" width="8.88671875" style="522"/>
    <col min="27" max="27" width="11.5546875" style="522" customWidth="1"/>
    <col min="28" max="16384" width="8.88671875" style="522"/>
  </cols>
  <sheetData>
    <row r="1" spans="1:13">
      <c r="A1" s="2038" t="str">
        <f>+'MISO Cover'!C6</f>
        <v>Entergy New Orleans, Inc.</v>
      </c>
      <c r="B1" s="2038"/>
      <c r="C1" s="2038"/>
      <c r="D1" s="2038"/>
      <c r="E1" s="2038"/>
      <c r="F1" s="2038"/>
      <c r="G1" s="2038"/>
      <c r="H1" s="2038"/>
      <c r="I1" s="2038"/>
      <c r="J1" s="2038"/>
      <c r="K1" s="2038"/>
      <c r="L1" s="2038"/>
    </row>
    <row r="2" spans="1:13">
      <c r="A2" s="2076" t="s">
        <v>1443</v>
      </c>
      <c r="B2" s="2076"/>
      <c r="C2" s="2076"/>
      <c r="D2" s="2076"/>
      <c r="E2" s="2076"/>
      <c r="F2" s="2076"/>
      <c r="G2" s="2076"/>
      <c r="H2" s="2076"/>
      <c r="I2" s="2076"/>
      <c r="J2" s="2076"/>
      <c r="K2" s="2076"/>
      <c r="L2" s="2076"/>
      <c r="M2" s="527" t="s">
        <v>1445</v>
      </c>
    </row>
    <row r="3" spans="1:13">
      <c r="A3" s="2077" t="str">
        <f>+'MISO Cover'!K4</f>
        <v>For  the 12 Months Ended 12/31/2016</v>
      </c>
      <c r="B3" s="2077"/>
      <c r="C3" s="2077"/>
      <c r="D3" s="2077"/>
      <c r="E3" s="2077"/>
      <c r="F3" s="2077"/>
      <c r="G3" s="2077"/>
      <c r="H3" s="2077"/>
      <c r="I3" s="2077"/>
      <c r="J3" s="2077"/>
      <c r="K3" s="2077"/>
      <c r="L3" s="2077"/>
    </row>
    <row r="4" spans="1:13">
      <c r="A4" s="532"/>
      <c r="B4" s="532"/>
      <c r="C4" s="532"/>
      <c r="D4" s="532"/>
      <c r="E4" s="532"/>
    </row>
    <row r="5" spans="1:13" s="537" customFormat="1">
      <c r="A5" s="641" t="s">
        <v>281</v>
      </c>
      <c r="B5" s="624" t="s">
        <v>68</v>
      </c>
      <c r="C5" s="624" t="s">
        <v>115</v>
      </c>
      <c r="D5" s="641" t="s">
        <v>56</v>
      </c>
      <c r="E5" s="641" t="s">
        <v>69</v>
      </c>
      <c r="F5" s="641" t="s">
        <v>67</v>
      </c>
      <c r="G5" s="641" t="s">
        <v>157</v>
      </c>
      <c r="H5" s="641" t="s">
        <v>70</v>
      </c>
      <c r="I5" s="641" t="s">
        <v>170</v>
      </c>
      <c r="J5" s="641" t="s">
        <v>60</v>
      </c>
      <c r="K5" s="642" t="s">
        <v>61</v>
      </c>
      <c r="L5" s="642" t="s">
        <v>72</v>
      </c>
    </row>
    <row r="6" spans="1:13" s="537" customFormat="1" ht="15.6" customHeight="1">
      <c r="A6" s="719">
        <v>1</v>
      </c>
      <c r="B6" s="643" t="s">
        <v>725</v>
      </c>
      <c r="C6" s="624"/>
      <c r="D6" s="641"/>
      <c r="E6" s="641"/>
      <c r="F6" s="624" t="s">
        <v>530</v>
      </c>
      <c r="G6" s="641"/>
      <c r="H6" s="641"/>
      <c r="I6" s="641"/>
      <c r="J6" s="641"/>
      <c r="K6" s="642"/>
      <c r="L6" s="705" t="s">
        <v>550</v>
      </c>
    </row>
    <row r="7" spans="1:13" s="538" customFormat="1" ht="30" customHeight="1">
      <c r="A7" s="719">
        <f>+A6+1</f>
        <v>2</v>
      </c>
      <c r="B7" s="522"/>
      <c r="C7" s="577" t="s">
        <v>414</v>
      </c>
      <c r="D7" s="577" t="s">
        <v>529</v>
      </c>
      <c r="E7" s="1464" t="s">
        <v>442</v>
      </c>
      <c r="F7" s="1464" t="s">
        <v>413</v>
      </c>
      <c r="G7" s="1464" t="s">
        <v>137</v>
      </c>
      <c r="H7" s="1464" t="s">
        <v>1801</v>
      </c>
      <c r="I7" s="1464" t="s">
        <v>265</v>
      </c>
      <c r="J7" s="1464" t="s">
        <v>22</v>
      </c>
      <c r="K7" s="1464" t="s">
        <v>192</v>
      </c>
      <c r="L7" s="1464" t="s">
        <v>114</v>
      </c>
    </row>
    <row r="8" spans="1:13" s="534" customFormat="1">
      <c r="A8" s="719">
        <f>+A7+1</f>
        <v>3</v>
      </c>
      <c r="B8" s="529" t="s">
        <v>141</v>
      </c>
      <c r="C8" s="167" t="s">
        <v>521</v>
      </c>
      <c r="D8" s="167"/>
      <c r="E8" s="167"/>
      <c r="F8" s="167" t="s">
        <v>520</v>
      </c>
      <c r="G8" s="167" t="s">
        <v>522</v>
      </c>
      <c r="H8" s="167"/>
      <c r="I8" s="167"/>
      <c r="J8" s="167" t="s">
        <v>523</v>
      </c>
      <c r="K8" s="167" t="s">
        <v>524</v>
      </c>
      <c r="L8" s="530"/>
    </row>
    <row r="9" spans="1:13" s="530" customFormat="1">
      <c r="A9" s="719">
        <f t="shared" ref="A9:A20" si="0">+A8+1</f>
        <v>4</v>
      </c>
      <c r="B9" s="1376" t="s">
        <v>38</v>
      </c>
      <c r="C9" s="715">
        <v>85187606.419999897</v>
      </c>
      <c r="D9" s="715">
        <v>166630461</v>
      </c>
      <c r="E9" s="715">
        <v>142369.13</v>
      </c>
      <c r="F9" s="527">
        <f t="shared" ref="F9:F21" si="1">+D9+E9</f>
        <v>166772830.13</v>
      </c>
      <c r="G9" s="715">
        <v>133917321.66</v>
      </c>
      <c r="H9" s="715">
        <f>+'WP04 Support 2'!E9</f>
        <v>3547347.9200000018</v>
      </c>
      <c r="I9" s="715"/>
      <c r="J9" s="715">
        <v>621719760.58000004</v>
      </c>
      <c r="K9" s="715">
        <v>43641010.25</v>
      </c>
      <c r="L9" s="531">
        <f>+C9+D9+G9+J9+K9</f>
        <v>1051096159.91</v>
      </c>
    </row>
    <row r="10" spans="1:13">
      <c r="A10" s="719">
        <f t="shared" si="0"/>
        <v>5</v>
      </c>
      <c r="B10" s="1376" t="s">
        <v>28</v>
      </c>
      <c r="C10" s="715">
        <v>85199611.989999905</v>
      </c>
      <c r="D10" s="715">
        <v>166676438.18000001</v>
      </c>
      <c r="E10" s="715">
        <v>142369.13</v>
      </c>
      <c r="F10" s="527">
        <f t="shared" si="1"/>
        <v>166818807.31</v>
      </c>
      <c r="G10" s="715">
        <v>143339636.58000001</v>
      </c>
      <c r="H10" s="715">
        <f>+'WP04 Support 2'!E10</f>
        <v>3547347.9200000018</v>
      </c>
      <c r="I10" s="715"/>
      <c r="J10" s="715">
        <v>625375614.57000005</v>
      </c>
      <c r="K10" s="715">
        <v>43932306.119999997</v>
      </c>
      <c r="L10" s="531">
        <f t="shared" ref="L10:L20" si="2">+C10+D10+G10+J10+K10</f>
        <v>1064523607.4399999</v>
      </c>
    </row>
    <row r="11" spans="1:13">
      <c r="A11" s="719">
        <f t="shared" si="0"/>
        <v>6</v>
      </c>
      <c r="B11" s="1376" t="s">
        <v>29</v>
      </c>
      <c r="C11" s="715">
        <v>86441779.239999905</v>
      </c>
      <c r="D11" s="715">
        <v>166669686.81</v>
      </c>
      <c r="E11" s="715">
        <v>142369.13</v>
      </c>
      <c r="F11" s="527">
        <f t="shared" si="1"/>
        <v>166812055.94</v>
      </c>
      <c r="G11" s="715">
        <v>142604006.71000001</v>
      </c>
      <c r="H11" s="715">
        <f>+'WP04 Support 2'!E11</f>
        <v>3547347.9200000018</v>
      </c>
      <c r="I11" s="715"/>
      <c r="J11" s="715">
        <v>624617296.53999996</v>
      </c>
      <c r="K11" s="715">
        <v>43937047.420000002</v>
      </c>
      <c r="L11" s="531">
        <f t="shared" si="2"/>
        <v>1064269816.7199998</v>
      </c>
    </row>
    <row r="12" spans="1:13">
      <c r="A12" s="719">
        <f t="shared" si="0"/>
        <v>7</v>
      </c>
      <c r="B12" s="1376" t="s">
        <v>30</v>
      </c>
      <c r="C12" s="715">
        <v>86493006.629999906</v>
      </c>
      <c r="D12" s="715">
        <v>460963629.01999998</v>
      </c>
      <c r="E12" s="715">
        <v>142369.13</v>
      </c>
      <c r="F12" s="527">
        <f t="shared" si="1"/>
        <v>461105998.14999998</v>
      </c>
      <c r="G12" s="715">
        <v>152023996.34</v>
      </c>
      <c r="H12" s="1999">
        <f>+'WP04 Support 2'!E12</f>
        <v>6855559.8499999996</v>
      </c>
      <c r="I12" s="715"/>
      <c r="J12" s="715">
        <v>625204472.47000003</v>
      </c>
      <c r="K12" s="715">
        <v>44196453.409999996</v>
      </c>
      <c r="L12" s="531">
        <f t="shared" si="2"/>
        <v>1368881557.8700001</v>
      </c>
    </row>
    <row r="13" spans="1:13">
      <c r="A13" s="719">
        <f t="shared" si="0"/>
        <v>8</v>
      </c>
      <c r="B13" s="1376" t="s">
        <v>31</v>
      </c>
      <c r="C13" s="715">
        <v>86877722.579999894</v>
      </c>
      <c r="D13" s="715">
        <v>460963629.01999998</v>
      </c>
      <c r="E13" s="715">
        <v>142369.13</v>
      </c>
      <c r="F13" s="527">
        <f t="shared" si="1"/>
        <v>461105998.14999998</v>
      </c>
      <c r="G13" s="715">
        <v>150507289.41</v>
      </c>
      <c r="H13" s="1999">
        <f>+'WP04 Support 2'!E13</f>
        <v>6855559.8499999996</v>
      </c>
      <c r="I13" s="715"/>
      <c r="J13" s="715">
        <v>626291486.51999998</v>
      </c>
      <c r="K13" s="715">
        <v>44174341.039999999</v>
      </c>
      <c r="L13" s="531">
        <f t="shared" si="2"/>
        <v>1368814468.5699997</v>
      </c>
    </row>
    <row r="14" spans="1:13">
      <c r="A14" s="719">
        <f t="shared" si="0"/>
        <v>9</v>
      </c>
      <c r="B14" s="1376" t="s">
        <v>27</v>
      </c>
      <c r="C14" s="715">
        <v>86894325.359999895</v>
      </c>
      <c r="D14" s="715">
        <v>460965905.80000001</v>
      </c>
      <c r="E14" s="715">
        <v>142369.13</v>
      </c>
      <c r="F14" s="527">
        <f t="shared" si="1"/>
        <v>461108274.93000001</v>
      </c>
      <c r="G14" s="715">
        <v>150283844.65000001</v>
      </c>
      <c r="H14" s="1999">
        <f>+'WP04 Support 2'!E14</f>
        <v>6855559.8499999996</v>
      </c>
      <c r="I14" s="715"/>
      <c r="J14" s="715">
        <v>627281687.75</v>
      </c>
      <c r="K14" s="715">
        <v>44263022.090000004</v>
      </c>
      <c r="L14" s="531">
        <f t="shared" si="2"/>
        <v>1369688785.6499999</v>
      </c>
    </row>
    <row r="15" spans="1:13">
      <c r="A15" s="719">
        <f t="shared" si="0"/>
        <v>10</v>
      </c>
      <c r="B15" s="1376" t="s">
        <v>32</v>
      </c>
      <c r="C15" s="715">
        <v>87272873.819999903</v>
      </c>
      <c r="D15" s="715">
        <v>307760878.86000001</v>
      </c>
      <c r="E15" s="715">
        <v>142369.13</v>
      </c>
      <c r="F15" s="527">
        <f t="shared" si="1"/>
        <v>307903247.99000001</v>
      </c>
      <c r="G15" s="715">
        <v>146593633.47</v>
      </c>
      <c r="H15" s="1999">
        <f>+'WP04 Support 2'!E15</f>
        <v>3308212.3100000005</v>
      </c>
      <c r="I15" s="715"/>
      <c r="J15" s="715">
        <v>629138748.78999996</v>
      </c>
      <c r="K15" s="715">
        <v>44090209.18</v>
      </c>
      <c r="L15" s="531">
        <f t="shared" si="2"/>
        <v>1214856344.1200001</v>
      </c>
    </row>
    <row r="16" spans="1:13">
      <c r="A16" s="719">
        <f t="shared" si="0"/>
        <v>11</v>
      </c>
      <c r="B16" s="1376" t="s">
        <v>33</v>
      </c>
      <c r="C16" s="715">
        <v>87645934.799999893</v>
      </c>
      <c r="D16" s="715">
        <v>313834203.31999999</v>
      </c>
      <c r="E16" s="715">
        <v>142369.13</v>
      </c>
      <c r="F16" s="527">
        <f t="shared" si="1"/>
        <v>313976572.44999999</v>
      </c>
      <c r="G16" s="715">
        <v>146786625.88999999</v>
      </c>
      <c r="H16" s="1999">
        <f>+'WP04 Support 2'!E16</f>
        <v>3308212.3100000005</v>
      </c>
      <c r="I16" s="715"/>
      <c r="J16" s="715">
        <v>630402402.11000001</v>
      </c>
      <c r="K16" s="715">
        <v>44465927.439999998</v>
      </c>
      <c r="L16" s="531">
        <f t="shared" si="2"/>
        <v>1223135093.5599999</v>
      </c>
    </row>
    <row r="17" spans="1:14">
      <c r="A17" s="719">
        <f t="shared" si="0"/>
        <v>12</v>
      </c>
      <c r="B17" s="1376" t="s">
        <v>34</v>
      </c>
      <c r="C17" s="715">
        <v>87800896.439999893</v>
      </c>
      <c r="D17" s="715">
        <v>314138070.13999999</v>
      </c>
      <c r="E17" s="715">
        <v>142369.13</v>
      </c>
      <c r="F17" s="527">
        <f t="shared" si="1"/>
        <v>314280439.26999998</v>
      </c>
      <c r="G17" s="715">
        <v>146743621.30000001</v>
      </c>
      <c r="H17" s="1999">
        <f>+'WP04 Support 2'!E17</f>
        <v>3308212.3100000005</v>
      </c>
      <c r="I17" s="715"/>
      <c r="J17" s="715">
        <v>632896169.66999996</v>
      </c>
      <c r="K17" s="715">
        <v>44488965.609999999</v>
      </c>
      <c r="L17" s="531">
        <f t="shared" si="2"/>
        <v>1226067723.1599996</v>
      </c>
    </row>
    <row r="18" spans="1:14">
      <c r="A18" s="719">
        <f t="shared" si="0"/>
        <v>13</v>
      </c>
      <c r="B18" s="1376" t="s">
        <v>35</v>
      </c>
      <c r="C18" s="715">
        <v>87984634.209999904</v>
      </c>
      <c r="D18" s="715">
        <v>314230000.93000001</v>
      </c>
      <c r="E18" s="715">
        <v>142369.13</v>
      </c>
      <c r="F18" s="527">
        <f t="shared" si="1"/>
        <v>314372370.06</v>
      </c>
      <c r="G18" s="715">
        <v>147032197.11000001</v>
      </c>
      <c r="H18" s="1999">
        <f>+'WP04 Support 2'!E18</f>
        <v>3308211.9100000011</v>
      </c>
      <c r="I18" s="715"/>
      <c r="J18" s="715">
        <v>635562875.35000002</v>
      </c>
      <c r="K18" s="715">
        <v>44550808.490000002</v>
      </c>
      <c r="L18" s="531">
        <f t="shared" si="2"/>
        <v>1229360516.0899999</v>
      </c>
    </row>
    <row r="19" spans="1:14">
      <c r="A19" s="719">
        <f t="shared" si="0"/>
        <v>14</v>
      </c>
      <c r="B19" s="1376" t="s">
        <v>36</v>
      </c>
      <c r="C19" s="715">
        <v>88071724.609999895</v>
      </c>
      <c r="D19" s="715">
        <v>303197311.86000001</v>
      </c>
      <c r="E19" s="715">
        <v>142369.13</v>
      </c>
      <c r="F19" s="527">
        <f t="shared" si="1"/>
        <v>303339680.99000001</v>
      </c>
      <c r="G19" s="715">
        <v>147257176.05000001</v>
      </c>
      <c r="H19" s="1999">
        <f>+'WP04 Support 2'!E19</f>
        <v>3308211.9100000011</v>
      </c>
      <c r="I19" s="715"/>
      <c r="J19" s="715">
        <v>639467859.49000001</v>
      </c>
      <c r="K19" s="715">
        <v>44566678.25</v>
      </c>
      <c r="L19" s="531">
        <f t="shared" si="2"/>
        <v>1222560750.26</v>
      </c>
    </row>
    <row r="20" spans="1:14">
      <c r="A20" s="719">
        <f t="shared" si="0"/>
        <v>15</v>
      </c>
      <c r="B20" s="1376" t="s">
        <v>37</v>
      </c>
      <c r="C20" s="715">
        <v>88084214.349999905</v>
      </c>
      <c r="D20" s="715">
        <v>303313461.24000001</v>
      </c>
      <c r="E20" s="715">
        <v>142369.13</v>
      </c>
      <c r="F20" s="527">
        <f t="shared" si="1"/>
        <v>303455830.37</v>
      </c>
      <c r="G20" s="715">
        <v>147476440.94999999</v>
      </c>
      <c r="H20" s="1999">
        <f>+'WP04 Support 2'!E20</f>
        <v>3308211.9100000011</v>
      </c>
      <c r="I20" s="715"/>
      <c r="J20" s="715">
        <v>645704537.62</v>
      </c>
      <c r="K20" s="715">
        <v>44653116.109999999</v>
      </c>
      <c r="L20" s="531">
        <f t="shared" si="2"/>
        <v>1229231770.2699997</v>
      </c>
    </row>
    <row r="21" spans="1:14">
      <c r="A21" s="719">
        <f t="shared" ref="A21:A28" si="3">+A20+1</f>
        <v>16</v>
      </c>
      <c r="B21" s="1376" t="s">
        <v>38</v>
      </c>
      <c r="C21" s="715">
        <v>88806706.299999893</v>
      </c>
      <c r="D21" s="715">
        <v>305177753.97000003</v>
      </c>
      <c r="E21" s="715">
        <v>142369.13</v>
      </c>
      <c r="F21" s="527">
        <f t="shared" si="1"/>
        <v>305320123.10000002</v>
      </c>
      <c r="G21" s="715">
        <v>147718471.46000001</v>
      </c>
      <c r="H21" s="1999">
        <f>+'WP04 Support 2'!E21</f>
        <v>3308211.9100000011</v>
      </c>
      <c r="I21" s="715"/>
      <c r="J21" s="715">
        <v>649669827.10000002</v>
      </c>
      <c r="K21" s="715">
        <v>45882379.719999999</v>
      </c>
      <c r="L21" s="531">
        <f>+C21+D21+G21+J21+K21</f>
        <v>1237255138.55</v>
      </c>
    </row>
    <row r="22" spans="1:14">
      <c r="A22" s="719">
        <f t="shared" si="3"/>
        <v>17</v>
      </c>
      <c r="B22" s="535" t="s">
        <v>141</v>
      </c>
      <c r="C22" s="167" t="s">
        <v>488</v>
      </c>
      <c r="D22" s="167"/>
      <c r="E22" s="167"/>
      <c r="F22" s="167" t="s">
        <v>531</v>
      </c>
      <c r="G22" s="1415" t="s">
        <v>951</v>
      </c>
      <c r="H22" s="1415"/>
      <c r="I22" s="167"/>
      <c r="J22" s="167" t="s">
        <v>526</v>
      </c>
      <c r="K22" s="167" t="s">
        <v>525</v>
      </c>
      <c r="L22" s="530"/>
    </row>
    <row r="23" spans="1:14" s="530" customFormat="1">
      <c r="A23" s="719">
        <f t="shared" si="3"/>
        <v>18</v>
      </c>
      <c r="B23" s="535" t="s">
        <v>415</v>
      </c>
      <c r="C23" s="1377">
        <f>SUM(C9:C21)/13</f>
        <v>87135464.365384519</v>
      </c>
      <c r="D23" s="1377">
        <f t="shared" ref="D23:L23" si="4">SUM(D9:D21)/13</f>
        <v>311117033.08846158</v>
      </c>
      <c r="E23" s="1377">
        <f t="shared" si="4"/>
        <v>142369.12999999995</v>
      </c>
      <c r="F23" s="1377">
        <f t="shared" si="4"/>
        <v>311259402.21846151</v>
      </c>
      <c r="G23" s="1377">
        <f t="shared" si="4"/>
        <v>146329558.58307692</v>
      </c>
      <c r="H23" s="1377">
        <f t="shared" si="4"/>
        <v>4182015.9907692331</v>
      </c>
      <c r="I23" s="1377">
        <f t="shared" si="4"/>
        <v>0</v>
      </c>
      <c r="J23" s="1377">
        <f t="shared" si="4"/>
        <v>631794826.04307687</v>
      </c>
      <c r="K23" s="1377">
        <f t="shared" si="4"/>
        <v>44372481.933076926</v>
      </c>
      <c r="L23" s="1377">
        <f t="shared" si="4"/>
        <v>1220749364.0130768</v>
      </c>
      <c r="N23" s="522"/>
    </row>
    <row r="24" spans="1:14">
      <c r="A24" s="719">
        <f t="shared" si="3"/>
        <v>19</v>
      </c>
      <c r="B24" s="536"/>
      <c r="C24" s="256"/>
      <c r="D24" s="256"/>
      <c r="E24" s="256"/>
      <c r="H24" s="256"/>
      <c r="I24" s="256"/>
      <c r="J24" s="256"/>
      <c r="K24" s="256"/>
      <c r="L24" s="256"/>
    </row>
    <row r="25" spans="1:14">
      <c r="A25" s="719">
        <f t="shared" si="3"/>
        <v>20</v>
      </c>
      <c r="B25" s="536"/>
      <c r="C25" s="1729"/>
      <c r="D25" s="1729"/>
      <c r="E25" s="1729"/>
      <c r="F25" s="1729"/>
      <c r="G25" s="1729"/>
      <c r="H25" s="1729"/>
      <c r="I25" s="1729"/>
      <c r="J25" s="1729"/>
      <c r="K25" s="1729"/>
      <c r="L25" s="1729"/>
    </row>
    <row r="26" spans="1:14">
      <c r="A26" s="719">
        <f t="shared" si="3"/>
        <v>21</v>
      </c>
      <c r="B26" s="643" t="s">
        <v>1359</v>
      </c>
      <c r="C26" s="644"/>
      <c r="D26" s="645"/>
      <c r="E26" s="645"/>
      <c r="F26" s="645"/>
      <c r="G26" s="645"/>
      <c r="H26" s="645"/>
      <c r="I26" s="645"/>
      <c r="J26" s="645"/>
      <c r="K26" s="538"/>
      <c r="L26" s="538"/>
      <c r="M26" s="527" t="s">
        <v>1445</v>
      </c>
    </row>
    <row r="27" spans="1:14" s="538" customFormat="1" ht="30" customHeight="1">
      <c r="A27" s="719">
        <f t="shared" si="3"/>
        <v>22</v>
      </c>
      <c r="B27" s="522"/>
      <c r="C27" s="577" t="s">
        <v>414</v>
      </c>
      <c r="D27" s="577" t="s">
        <v>529</v>
      </c>
      <c r="E27" s="1464" t="s">
        <v>442</v>
      </c>
      <c r="F27" s="1464" t="s">
        <v>413</v>
      </c>
      <c r="G27" s="1464" t="s">
        <v>137</v>
      </c>
      <c r="H27" s="1464" t="s">
        <v>1798</v>
      </c>
      <c r="I27" s="1464" t="s">
        <v>265</v>
      </c>
      <c r="J27" s="1464" t="s">
        <v>22</v>
      </c>
      <c r="K27" s="1464" t="s">
        <v>192</v>
      </c>
      <c r="L27" s="1464" t="s">
        <v>114</v>
      </c>
      <c r="N27" s="522"/>
    </row>
    <row r="28" spans="1:14">
      <c r="A28" s="719">
        <f t="shared" si="3"/>
        <v>23</v>
      </c>
      <c r="B28" s="533" t="str">
        <f>+B9</f>
        <v>Dec</v>
      </c>
      <c r="C28" s="715">
        <v>68458967</v>
      </c>
      <c r="D28" s="715">
        <v>174042092</v>
      </c>
      <c r="E28" s="715">
        <v>-163751</v>
      </c>
      <c r="F28" s="527">
        <f t="shared" ref="F28:F40" si="5">+D28+E28</f>
        <v>173878341</v>
      </c>
      <c r="G28" s="715">
        <v>69660296</v>
      </c>
      <c r="H28" s="715">
        <f>+'WP04 Support 2'!E28</f>
        <v>2946583</v>
      </c>
      <c r="I28" s="715"/>
      <c r="J28" s="715">
        <v>198082317</v>
      </c>
      <c r="K28" s="715">
        <v>-3781481</v>
      </c>
      <c r="L28" s="531">
        <f t="shared" ref="L28:L39" si="6">+C28+D28+G28+J28+K28</f>
        <v>506462191</v>
      </c>
      <c r="M28" s="256"/>
    </row>
    <row r="29" spans="1:14">
      <c r="A29" s="719">
        <f t="shared" ref="A29:A42" si="7">+A28+1</f>
        <v>24</v>
      </c>
      <c r="B29" s="533" t="str">
        <f t="shared" ref="B29:B40" si="8">+B10</f>
        <v>Jan</v>
      </c>
      <c r="C29" s="715">
        <v>68808686</v>
      </c>
      <c r="D29" s="715">
        <v>174473856</v>
      </c>
      <c r="E29" s="715">
        <v>-165452</v>
      </c>
      <c r="F29" s="527">
        <f t="shared" si="5"/>
        <v>174308404</v>
      </c>
      <c r="G29" s="715">
        <v>69829429</v>
      </c>
      <c r="H29" s="715">
        <f>+'WP04 Support 2'!E29</f>
        <v>3041820</v>
      </c>
      <c r="I29" s="715"/>
      <c r="J29" s="715">
        <v>199382679</v>
      </c>
      <c r="K29" s="715">
        <v>5300942</v>
      </c>
      <c r="L29" s="531">
        <f t="shared" si="6"/>
        <v>517795592</v>
      </c>
    </row>
    <row r="30" spans="1:14">
      <c r="A30" s="719">
        <f t="shared" si="7"/>
        <v>25</v>
      </c>
      <c r="B30" s="533" t="str">
        <f t="shared" si="8"/>
        <v>Feb</v>
      </c>
      <c r="C30" s="715">
        <v>69170537</v>
      </c>
      <c r="D30" s="715">
        <v>174907586</v>
      </c>
      <c r="E30" s="715">
        <v>-167152</v>
      </c>
      <c r="F30" s="527">
        <f t="shared" si="5"/>
        <v>174740434</v>
      </c>
      <c r="G30" s="715">
        <v>68763640</v>
      </c>
      <c r="H30" s="715">
        <f>+'WP04 Support 2'!E30</f>
        <v>3041820</v>
      </c>
      <c r="I30" s="715"/>
      <c r="J30" s="715">
        <v>198686537</v>
      </c>
      <c r="K30" s="715">
        <v>5383361</v>
      </c>
      <c r="L30" s="531">
        <f t="shared" si="6"/>
        <v>516911661</v>
      </c>
    </row>
    <row r="31" spans="1:14">
      <c r="A31" s="719">
        <f t="shared" si="7"/>
        <v>26</v>
      </c>
      <c r="B31" s="533" t="str">
        <f t="shared" si="8"/>
        <v>Mar</v>
      </c>
      <c r="C31" s="715">
        <v>69553083</v>
      </c>
      <c r="D31" s="715">
        <v>261921856</v>
      </c>
      <c r="E31" s="715">
        <v>-168853</v>
      </c>
      <c r="F31" s="527">
        <f t="shared" si="5"/>
        <v>261753003</v>
      </c>
      <c r="G31" s="715">
        <v>68714765</v>
      </c>
      <c r="H31" s="1999">
        <f>+'WP04 Support 2'!E31</f>
        <v>3014451.05</v>
      </c>
      <c r="I31" s="715"/>
      <c r="J31" s="715">
        <v>199618357</v>
      </c>
      <c r="K31" s="715">
        <v>5465914.9999999991</v>
      </c>
      <c r="L31" s="531">
        <f t="shared" si="6"/>
        <v>605273976</v>
      </c>
    </row>
    <row r="32" spans="1:14">
      <c r="A32" s="719">
        <f t="shared" si="7"/>
        <v>27</v>
      </c>
      <c r="B32" s="533" t="str">
        <f t="shared" si="8"/>
        <v>Apr</v>
      </c>
      <c r="C32" s="715">
        <v>69930442</v>
      </c>
      <c r="D32" s="715">
        <v>263323211</v>
      </c>
      <c r="E32" s="715">
        <v>-170554</v>
      </c>
      <c r="F32" s="527">
        <f t="shared" si="5"/>
        <v>263152657</v>
      </c>
      <c r="G32" s="715">
        <v>66955810</v>
      </c>
      <c r="H32" s="1999">
        <f>+'WP04 Support 2'!E32</f>
        <v>3022969.07</v>
      </c>
      <c r="I32" s="715"/>
      <c r="J32" s="715">
        <v>200678909</v>
      </c>
      <c r="K32" s="715">
        <v>5522693.9999999991</v>
      </c>
      <c r="L32" s="531">
        <f t="shared" si="6"/>
        <v>606411066</v>
      </c>
    </row>
    <row r="33" spans="1:15">
      <c r="A33" s="719">
        <f t="shared" si="7"/>
        <v>28</v>
      </c>
      <c r="B33" s="533" t="str">
        <f t="shared" si="8"/>
        <v>May</v>
      </c>
      <c r="C33" s="715">
        <v>70311948</v>
      </c>
      <c r="D33" s="715">
        <v>264724087</v>
      </c>
      <c r="E33" s="715">
        <v>-172254</v>
      </c>
      <c r="F33" s="527">
        <f t="shared" si="5"/>
        <v>264551833</v>
      </c>
      <c r="G33" s="715">
        <v>67131424</v>
      </c>
      <c r="H33" s="1999">
        <f>+'WP04 Support 2'!E33</f>
        <v>3031487.09</v>
      </c>
      <c r="I33" s="715"/>
      <c r="J33" s="715">
        <v>202172090</v>
      </c>
      <c r="K33" s="715">
        <v>5606536</v>
      </c>
      <c r="L33" s="531">
        <f t="shared" si="6"/>
        <v>609946085</v>
      </c>
    </row>
    <row r="34" spans="1:15">
      <c r="A34" s="719">
        <f t="shared" si="7"/>
        <v>29</v>
      </c>
      <c r="B34" s="533" t="str">
        <f t="shared" si="8"/>
        <v>Jun</v>
      </c>
      <c r="C34" s="715">
        <v>70693696</v>
      </c>
      <c r="D34" s="715">
        <v>112473857</v>
      </c>
      <c r="E34" s="715">
        <v>-173955</v>
      </c>
      <c r="F34" s="527">
        <f t="shared" si="5"/>
        <v>112299902</v>
      </c>
      <c r="G34" s="715">
        <v>63003404</v>
      </c>
      <c r="H34" s="1999">
        <f>+'WP04 Support 2'!E34</f>
        <v>-507342.43000000005</v>
      </c>
      <c r="I34" s="715"/>
      <c r="J34" s="715">
        <v>203268266</v>
      </c>
      <c r="K34" s="715">
        <v>5508208.0000000009</v>
      </c>
      <c r="L34" s="531">
        <f t="shared" si="6"/>
        <v>454947431</v>
      </c>
    </row>
    <row r="35" spans="1:15">
      <c r="A35" s="719">
        <f t="shared" si="7"/>
        <v>30</v>
      </c>
      <c r="B35" s="533" t="str">
        <f t="shared" si="8"/>
        <v>Jul</v>
      </c>
      <c r="C35" s="715">
        <v>71081737</v>
      </c>
      <c r="D35" s="715">
        <v>113413570</v>
      </c>
      <c r="E35" s="715">
        <v>-175655</v>
      </c>
      <c r="F35" s="527">
        <f t="shared" si="5"/>
        <v>113237915</v>
      </c>
      <c r="G35" s="715">
        <v>63065854</v>
      </c>
      <c r="H35" s="1999">
        <f>+'WP04 Support 2'!E35</f>
        <v>-503231.98</v>
      </c>
      <c r="I35" s="715"/>
      <c r="J35" s="715">
        <v>204568179</v>
      </c>
      <c r="K35" s="715">
        <v>5589445</v>
      </c>
      <c r="L35" s="531">
        <f t="shared" si="6"/>
        <v>457718785</v>
      </c>
    </row>
    <row r="36" spans="1:15">
      <c r="A36" s="719">
        <f t="shared" si="7"/>
        <v>31</v>
      </c>
      <c r="B36" s="533" t="str">
        <f t="shared" si="8"/>
        <v>Aug</v>
      </c>
      <c r="C36" s="715">
        <v>71475968</v>
      </c>
      <c r="D36" s="715">
        <v>114344383</v>
      </c>
      <c r="E36" s="715">
        <v>-177356</v>
      </c>
      <c r="F36" s="527">
        <f t="shared" si="5"/>
        <v>114167027</v>
      </c>
      <c r="G36" s="715">
        <v>63163209</v>
      </c>
      <c r="H36" s="1999">
        <f>+'WP04 Support 2'!E36</f>
        <v>-499121.53</v>
      </c>
      <c r="I36" s="715"/>
      <c r="J36" s="715">
        <v>206276935</v>
      </c>
      <c r="K36" s="715">
        <v>5671810</v>
      </c>
      <c r="L36" s="531">
        <f t="shared" si="6"/>
        <v>460932305</v>
      </c>
    </row>
    <row r="37" spans="1:15">
      <c r="A37" s="719">
        <f t="shared" si="7"/>
        <v>32</v>
      </c>
      <c r="B37" s="533" t="str">
        <f t="shared" si="8"/>
        <v>Sep</v>
      </c>
      <c r="C37" s="715">
        <v>71872028</v>
      </c>
      <c r="D37" s="715">
        <v>110380786</v>
      </c>
      <c r="E37" s="715">
        <v>-179056</v>
      </c>
      <c r="F37" s="527">
        <f t="shared" si="5"/>
        <v>110201730</v>
      </c>
      <c r="G37" s="715">
        <v>63348011</v>
      </c>
      <c r="H37" s="1999">
        <f>+'WP04 Support 2'!E37</f>
        <v>-495011.07999999996</v>
      </c>
      <c r="I37" s="715"/>
      <c r="J37" s="715">
        <v>207655434</v>
      </c>
      <c r="K37" s="715">
        <v>5755313.9999999991</v>
      </c>
      <c r="L37" s="531">
        <f t="shared" si="6"/>
        <v>459011573</v>
      </c>
    </row>
    <row r="38" spans="1:15">
      <c r="A38" s="719">
        <f t="shared" si="7"/>
        <v>33</v>
      </c>
      <c r="B38" s="533" t="str">
        <f t="shared" si="8"/>
        <v>Oct</v>
      </c>
      <c r="C38" s="715">
        <v>72270283</v>
      </c>
      <c r="D38" s="715">
        <v>99333909</v>
      </c>
      <c r="E38" s="715">
        <v>-180757</v>
      </c>
      <c r="F38" s="527">
        <f t="shared" si="5"/>
        <v>99153152</v>
      </c>
      <c r="G38" s="715">
        <v>63527745</v>
      </c>
      <c r="H38" s="1999">
        <f>+'WP04 Support 2'!E38</f>
        <v>-490900.63</v>
      </c>
      <c r="I38" s="715"/>
      <c r="J38" s="715">
        <v>209005012</v>
      </c>
      <c r="K38" s="715">
        <v>5834132</v>
      </c>
      <c r="L38" s="531">
        <f t="shared" si="6"/>
        <v>449971081</v>
      </c>
    </row>
    <row r="39" spans="1:15">
      <c r="A39" s="719">
        <f t="shared" si="7"/>
        <v>34</v>
      </c>
      <c r="B39" s="533" t="str">
        <f t="shared" si="8"/>
        <v>Nov</v>
      </c>
      <c r="C39" s="715">
        <v>72670013</v>
      </c>
      <c r="D39" s="715">
        <v>100229029</v>
      </c>
      <c r="E39" s="715">
        <v>-182458</v>
      </c>
      <c r="F39" s="527">
        <f t="shared" si="5"/>
        <v>100046571</v>
      </c>
      <c r="G39" s="715">
        <v>63701677</v>
      </c>
      <c r="H39" s="1999">
        <f>+'WP04 Support 2'!E39</f>
        <v>-486790.18</v>
      </c>
      <c r="I39" s="715"/>
      <c r="J39" s="715">
        <v>210431163</v>
      </c>
      <c r="K39" s="715">
        <v>6466214</v>
      </c>
      <c r="L39" s="531">
        <f t="shared" si="6"/>
        <v>453498096</v>
      </c>
      <c r="M39" s="872"/>
    </row>
    <row r="40" spans="1:15">
      <c r="A40" s="719">
        <f t="shared" si="7"/>
        <v>35</v>
      </c>
      <c r="B40" s="533" t="str">
        <f t="shared" si="8"/>
        <v>Dec</v>
      </c>
      <c r="C40" s="715">
        <v>73074597</v>
      </c>
      <c r="D40" s="715">
        <v>101130553</v>
      </c>
      <c r="E40" s="715">
        <v>-184158</v>
      </c>
      <c r="F40" s="527">
        <f t="shared" si="5"/>
        <v>100946395</v>
      </c>
      <c r="G40" s="715">
        <v>63839585</v>
      </c>
      <c r="H40" s="1999">
        <f>+'WP04 Support 2'!E40</f>
        <v>-482679.73</v>
      </c>
      <c r="I40" s="715"/>
      <c r="J40" s="715">
        <v>210849687</v>
      </c>
      <c r="K40" s="715">
        <v>6358391.9999999991</v>
      </c>
      <c r="L40" s="528">
        <f>+C40+D40+G40+J40+K40</f>
        <v>455252814</v>
      </c>
      <c r="M40" s="936"/>
      <c r="O40" s="815"/>
    </row>
    <row r="41" spans="1:15" s="530" customFormat="1">
      <c r="A41" s="719">
        <f t="shared" si="7"/>
        <v>36</v>
      </c>
      <c r="B41" s="535" t="s">
        <v>141</v>
      </c>
      <c r="C41" s="1415"/>
      <c r="D41" s="1415"/>
      <c r="E41" s="1415"/>
      <c r="F41" s="1415"/>
      <c r="G41" s="1415"/>
      <c r="H41" s="1415"/>
      <c r="I41" s="1415"/>
      <c r="J41" s="1415"/>
      <c r="K41" s="1415"/>
      <c r="M41" s="527" t="s">
        <v>1446</v>
      </c>
      <c r="N41" s="522"/>
      <c r="O41" s="937"/>
    </row>
    <row r="42" spans="1:15">
      <c r="A42" s="719">
        <f t="shared" si="7"/>
        <v>37</v>
      </c>
      <c r="B42" s="535" t="s">
        <v>415</v>
      </c>
      <c r="C42" s="1377">
        <f>SUM(C28:C40)/13</f>
        <v>70720921.923076928</v>
      </c>
      <c r="D42" s="1377">
        <f t="shared" ref="D42:L42" si="9">SUM(D28:D40)/13</f>
        <v>158822982.69230768</v>
      </c>
      <c r="E42" s="1377">
        <f t="shared" si="9"/>
        <v>-173954.69230769231</v>
      </c>
      <c r="F42" s="1377">
        <f t="shared" si="9"/>
        <v>158649028</v>
      </c>
      <c r="G42" s="1377">
        <f t="shared" si="9"/>
        <v>65746526.846153848</v>
      </c>
      <c r="H42" s="1377">
        <f t="shared" si="9"/>
        <v>1125696.3576923078</v>
      </c>
      <c r="I42" s="1377">
        <f t="shared" si="9"/>
        <v>0</v>
      </c>
      <c r="J42" s="1377">
        <f t="shared" si="9"/>
        <v>203898120.38461539</v>
      </c>
      <c r="K42" s="1377">
        <f t="shared" si="9"/>
        <v>4975498.615384615</v>
      </c>
      <c r="L42" s="1377">
        <f t="shared" si="9"/>
        <v>504164050.46153843</v>
      </c>
      <c r="M42" s="938"/>
      <c r="O42" s="530"/>
    </row>
    <row r="43" spans="1:15">
      <c r="A43" s="720"/>
      <c r="D43" s="526"/>
      <c r="E43" s="526"/>
      <c r="M43" s="938"/>
      <c r="O43" s="815"/>
    </row>
    <row r="44" spans="1:15">
      <c r="A44" s="522" t="s">
        <v>299</v>
      </c>
      <c r="D44" s="527"/>
      <c r="E44" s="527"/>
      <c r="M44" s="531"/>
    </row>
    <row r="45" spans="1:15" ht="26.4" customHeight="1">
      <c r="A45" s="980" t="s">
        <v>171</v>
      </c>
      <c r="B45" s="2075" t="s">
        <v>527</v>
      </c>
      <c r="C45" s="2075"/>
      <c r="D45" s="2075"/>
      <c r="E45" s="2075"/>
      <c r="F45" s="2075"/>
      <c r="G45" s="2075"/>
      <c r="H45" s="2075"/>
      <c r="I45" s="2075"/>
      <c r="J45" s="2075"/>
      <c r="K45" s="2075"/>
      <c r="L45" s="2075"/>
    </row>
    <row r="46" spans="1:15" ht="27" customHeight="1">
      <c r="A46" s="980" t="s">
        <v>320</v>
      </c>
      <c r="B46" s="2078" t="s">
        <v>1360</v>
      </c>
      <c r="C46" s="2078"/>
      <c r="D46" s="2078"/>
      <c r="E46" s="2078"/>
      <c r="F46" s="2078"/>
      <c r="G46" s="2078"/>
      <c r="H46" s="2078"/>
      <c r="I46" s="2078"/>
      <c r="J46" s="2078"/>
      <c r="K46" s="2078"/>
      <c r="L46" s="2078"/>
      <c r="M46" s="527" t="s">
        <v>1444</v>
      </c>
    </row>
    <row r="47" spans="1:15">
      <c r="A47" s="1998" t="s">
        <v>321</v>
      </c>
      <c r="B47" s="1898" t="s">
        <v>1799</v>
      </c>
      <c r="E47" s="527"/>
    </row>
    <row r="48" spans="1:15">
      <c r="E48" s="527"/>
    </row>
    <row r="49" spans="4:5">
      <c r="E49" s="526"/>
    </row>
    <row r="50" spans="4:5">
      <c r="E50" s="526"/>
    </row>
    <row r="51" spans="4:5">
      <c r="D51" s="526"/>
      <c r="E51" s="526"/>
    </row>
    <row r="52" spans="4:5">
      <c r="D52" s="526"/>
      <c r="E52" s="526"/>
    </row>
  </sheetData>
  <mergeCells count="5">
    <mergeCell ref="B45:L45"/>
    <mergeCell ref="A2:L2"/>
    <mergeCell ref="A1:L1"/>
    <mergeCell ref="A3:L3"/>
    <mergeCell ref="B46:L46"/>
  </mergeCells>
  <printOptions horizontalCentered="1"/>
  <pageMargins left="0.7" right="0.7" top="0.7" bottom="0.7" header="0.3" footer="0.5"/>
  <pageSetup scale="80"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E1" workbookViewId="0">
      <selection activeCell="L6" sqref="L6"/>
    </sheetView>
  </sheetViews>
  <sheetFormatPr defaultRowHeight="13.2"/>
  <cols>
    <col min="1" max="1" width="3.21875" style="197" bestFit="1" customWidth="1"/>
    <col min="2" max="2" width="12.88671875" bestFit="1" customWidth="1"/>
    <col min="3" max="3" width="12.44140625" bestFit="1" customWidth="1"/>
    <col min="4" max="4" width="12.6640625" bestFit="1" customWidth="1"/>
    <col min="5" max="5" width="13.21875" bestFit="1" customWidth="1"/>
    <col min="6" max="6" width="10.44140625" bestFit="1" customWidth="1"/>
    <col min="7" max="7" width="11.77734375" bestFit="1" customWidth="1"/>
    <col min="8" max="8" width="11" bestFit="1" customWidth="1"/>
    <col min="9" max="9" width="11.109375" customWidth="1"/>
    <col min="10" max="10" width="12.33203125" customWidth="1"/>
    <col min="11" max="11" width="12.44140625" bestFit="1" customWidth="1"/>
    <col min="12" max="12" width="12.21875" customWidth="1"/>
    <col min="13" max="13" width="11.44140625" customWidth="1"/>
    <col min="14" max="14" width="11" customWidth="1"/>
  </cols>
  <sheetData>
    <row r="1" spans="1:17" s="522" customFormat="1">
      <c r="A1" s="2038" t="str">
        <f>+'MISO Cover'!C6</f>
        <v>Entergy New Orleans, Inc.</v>
      </c>
      <c r="B1" s="2038"/>
      <c r="C1" s="2038"/>
      <c r="D1" s="2038"/>
      <c r="E1" s="2038"/>
      <c r="F1" s="2038"/>
      <c r="G1" s="2038"/>
      <c r="H1" s="2038"/>
      <c r="I1" s="2038"/>
      <c r="J1" s="2038"/>
      <c r="K1" s="2038"/>
      <c r="L1" s="2038"/>
      <c r="M1" s="1795"/>
    </row>
    <row r="2" spans="1:17" s="522" customFormat="1">
      <c r="A2" s="2076" t="s">
        <v>1529</v>
      </c>
      <c r="B2" s="2076"/>
      <c r="C2" s="2076"/>
      <c r="D2" s="2076"/>
      <c r="E2" s="2076"/>
      <c r="F2" s="2076"/>
      <c r="G2" s="2076"/>
      <c r="H2" s="2076"/>
      <c r="I2" s="2076"/>
      <c r="J2" s="2076"/>
      <c r="K2" s="2076"/>
      <c r="L2" s="2076"/>
      <c r="M2" s="1797"/>
      <c r="N2" s="527" t="s">
        <v>1530</v>
      </c>
    </row>
    <row r="3" spans="1:17" s="522" customFormat="1">
      <c r="A3" s="2077" t="str">
        <f>+'MISO Cover'!K4</f>
        <v>For  the 12 Months Ended 12/31/2016</v>
      </c>
      <c r="B3" s="2077"/>
      <c r="C3" s="2077"/>
      <c r="D3" s="2077"/>
      <c r="E3" s="2077"/>
      <c r="F3" s="2077"/>
      <c r="G3" s="2077"/>
      <c r="H3" s="2077"/>
      <c r="I3" s="2077"/>
      <c r="J3" s="2077"/>
      <c r="K3" s="2077"/>
      <c r="L3" s="2077"/>
      <c r="M3" s="1798"/>
    </row>
    <row r="4" spans="1:17" s="1791" customFormat="1">
      <c r="A4" s="1789"/>
      <c r="B4" s="1790"/>
      <c r="C4" s="1790"/>
      <c r="D4" s="1790"/>
      <c r="E4" s="1790"/>
      <c r="F4" s="1790"/>
      <c r="G4" s="1790"/>
      <c r="H4" s="1790"/>
      <c r="I4" s="1790"/>
      <c r="J4" s="1790"/>
      <c r="K4" s="1798" t="s">
        <v>1625</v>
      </c>
      <c r="L4" s="1799" t="s">
        <v>1626</v>
      </c>
      <c r="M4" s="1799"/>
    </row>
    <row r="5" spans="1:17" s="1791" customFormat="1">
      <c r="A5" s="1789" t="s">
        <v>68</v>
      </c>
      <c r="B5" s="1790" t="s">
        <v>115</v>
      </c>
      <c r="C5" s="1790" t="s">
        <v>56</v>
      </c>
      <c r="D5" s="1790" t="s">
        <v>69</v>
      </c>
      <c r="E5" s="1790" t="s">
        <v>67</v>
      </c>
      <c r="F5" s="1790" t="s">
        <v>157</v>
      </c>
      <c r="G5" s="1790" t="s">
        <v>70</v>
      </c>
      <c r="H5" s="1790" t="s">
        <v>170</v>
      </c>
      <c r="I5" s="1790" t="s">
        <v>60</v>
      </c>
      <c r="J5" s="1790" t="s">
        <v>61</v>
      </c>
      <c r="K5" s="1790" t="s">
        <v>72</v>
      </c>
      <c r="L5" s="1797" t="s">
        <v>99</v>
      </c>
      <c r="M5" s="1797"/>
    </row>
    <row r="6" spans="1:17" s="1794" customFormat="1" ht="43.2">
      <c r="A6" s="1792" t="s">
        <v>281</v>
      </c>
      <c r="B6" s="1793" t="s">
        <v>1428</v>
      </c>
      <c r="C6" s="1793" t="s">
        <v>1531</v>
      </c>
      <c r="D6" s="1793" t="s">
        <v>1532</v>
      </c>
      <c r="E6" s="1793" t="s">
        <v>1533</v>
      </c>
      <c r="F6" s="1793" t="s">
        <v>1534</v>
      </c>
      <c r="G6" s="1793" t="s">
        <v>1535</v>
      </c>
      <c r="H6" s="1793" t="s">
        <v>1542</v>
      </c>
      <c r="I6" s="1793" t="s">
        <v>1536</v>
      </c>
      <c r="J6" s="1793" t="s">
        <v>1537</v>
      </c>
      <c r="K6" s="1804" t="s">
        <v>1538</v>
      </c>
      <c r="L6" s="1804" t="s">
        <v>1532</v>
      </c>
      <c r="M6" s="1804"/>
      <c r="N6" s="1424"/>
      <c r="O6" s="1791"/>
      <c r="P6" s="1791"/>
      <c r="Q6" s="1791"/>
    </row>
    <row r="7" spans="1:17">
      <c r="A7" s="197">
        <v>1</v>
      </c>
      <c r="B7" s="1730" t="s">
        <v>173</v>
      </c>
      <c r="C7" s="1731">
        <f>'WP04 PIS'!K28</f>
        <v>-3781481</v>
      </c>
      <c r="D7" s="1731">
        <f>'WP18 Deprec'!E22</f>
        <v>1591319.27</v>
      </c>
      <c r="E7" s="1731">
        <v>-453243.59</v>
      </c>
      <c r="F7" s="1731">
        <f>'WP AJ3 GPRD'!C8</f>
        <v>9003213</v>
      </c>
      <c r="G7" s="1731">
        <v>0</v>
      </c>
      <c r="H7" s="1731">
        <v>0</v>
      </c>
      <c r="I7" s="1731">
        <v>0</v>
      </c>
      <c r="J7" s="1731">
        <v>-1415.2599999997765</v>
      </c>
      <c r="K7" s="1731">
        <f>'WP04 PIS'!K40</f>
        <v>6358391.9999999991</v>
      </c>
      <c r="L7" s="1731">
        <f>+D7+G7+H7+I7</f>
        <v>1591319.27</v>
      </c>
      <c r="M7" s="1731"/>
      <c r="N7" s="1783">
        <f>SUM(C7:J7)-K7</f>
        <v>0.42000000085681677</v>
      </c>
      <c r="O7" s="1730"/>
      <c r="P7" s="1730"/>
      <c r="Q7" s="1730"/>
    </row>
    <row r="8" spans="1:17" s="1730" customFormat="1">
      <c r="A8" s="1159">
        <v>2</v>
      </c>
      <c r="B8" s="1730" t="s">
        <v>414</v>
      </c>
      <c r="C8" s="1731">
        <f>'WP04 PIS'!C28</f>
        <v>68458967</v>
      </c>
      <c r="D8" s="1731">
        <f>'WP18 Deprec'!E35</f>
        <v>4615630.43</v>
      </c>
      <c r="E8" s="1731">
        <v>0</v>
      </c>
      <c r="F8" s="1731">
        <v>0</v>
      </c>
      <c r="G8" s="1731">
        <v>0</v>
      </c>
      <c r="H8" s="1731">
        <v>0</v>
      </c>
      <c r="I8" s="1731">
        <v>0</v>
      </c>
      <c r="J8" s="1731">
        <v>-0.43000000715255737</v>
      </c>
      <c r="K8" s="1731">
        <f>'WP04 PIS'!C40</f>
        <v>73074597</v>
      </c>
      <c r="L8" s="1731">
        <f t="shared" ref="L8:L11" si="0">+D8+G8+H8+I8</f>
        <v>4615630.43</v>
      </c>
      <c r="M8" s="1731"/>
      <c r="N8" s="1783">
        <f t="shared" ref="N8:N9" si="1">SUM(C8:J8)-K8</f>
        <v>0</v>
      </c>
    </row>
    <row r="9" spans="1:17">
      <c r="A9" s="197">
        <v>3</v>
      </c>
      <c r="B9" s="1730" t="s">
        <v>580</v>
      </c>
      <c r="C9" s="1731">
        <f>'WP04 PIS'!G28</f>
        <v>69660296</v>
      </c>
      <c r="D9" s="1731">
        <f>'WP18 Deprec'!E50</f>
        <v>2288023.85</v>
      </c>
      <c r="E9" s="1731">
        <v>-4833586.6900000004</v>
      </c>
      <c r="F9" s="1731">
        <v>0</v>
      </c>
      <c r="G9" s="1731">
        <v>0</v>
      </c>
      <c r="H9" s="1731">
        <v>0</v>
      </c>
      <c r="I9" s="1731">
        <v>0</v>
      </c>
      <c r="J9" s="1731">
        <v>-3275148.1599999964</v>
      </c>
      <c r="K9" s="1731">
        <f>'WP04 PIS'!G40</f>
        <v>63839585</v>
      </c>
      <c r="L9" s="1731">
        <f t="shared" si="0"/>
        <v>2288023.85</v>
      </c>
      <c r="M9" s="1731"/>
      <c r="N9" s="1783">
        <f t="shared" si="1"/>
        <v>0</v>
      </c>
    </row>
    <row r="10" spans="1:17" s="682" customFormat="1" ht="26.4">
      <c r="A10" s="1776">
        <f t="shared" ref="A10:A12" si="2">+A9+1</f>
        <v>4</v>
      </c>
      <c r="B10" s="1738" t="s">
        <v>1619</v>
      </c>
      <c r="C10" s="1777">
        <f>'WP04 PIS'!D28</f>
        <v>174042092</v>
      </c>
      <c r="D10" s="1801" t="s">
        <v>1635</v>
      </c>
      <c r="E10" s="1777">
        <v>-164309222</v>
      </c>
      <c r="F10" s="1802">
        <v>0</v>
      </c>
      <c r="G10" s="1802">
        <v>0</v>
      </c>
      <c r="H10" s="1802">
        <v>0</v>
      </c>
      <c r="I10" s="1802">
        <v>0</v>
      </c>
      <c r="J10" s="1801" t="str">
        <f>D10</f>
        <v>Not Available</v>
      </c>
      <c r="K10" s="1777">
        <f>'WP04 PIS'!D40</f>
        <v>101130553</v>
      </c>
      <c r="L10" s="1806" t="str">
        <f>D10</f>
        <v>Not Available</v>
      </c>
      <c r="M10" s="1802"/>
      <c r="N10" s="1786" t="s">
        <v>1659</v>
      </c>
    </row>
    <row r="11" spans="1:17" s="682" customFormat="1">
      <c r="A11" s="1776">
        <f t="shared" si="2"/>
        <v>5</v>
      </c>
      <c r="B11" s="1739" t="s">
        <v>22</v>
      </c>
      <c r="C11" s="1778">
        <f>'WP04 PIS'!J28</f>
        <v>198082317</v>
      </c>
      <c r="D11" s="1778">
        <v>19459927.829999965</v>
      </c>
      <c r="E11" s="1778">
        <v>-4020285.63</v>
      </c>
      <c r="F11" s="1778">
        <v>0</v>
      </c>
      <c r="G11" s="1778">
        <v>0</v>
      </c>
      <c r="H11" s="1778">
        <v>0</v>
      </c>
      <c r="I11" s="1778">
        <v>0</v>
      </c>
      <c r="J11" s="1778">
        <v>-2672272.1999999583</v>
      </c>
      <c r="K11" s="1778">
        <f>'WP04 PIS'!J40</f>
        <v>210849687</v>
      </c>
      <c r="L11" s="1803">
        <f t="shared" si="0"/>
        <v>19459927.829999965</v>
      </c>
      <c r="M11" s="1805"/>
      <c r="N11" s="1783">
        <f>SUM(C11:J11)-K11</f>
        <v>0</v>
      </c>
    </row>
    <row r="12" spans="1:17" s="682" customFormat="1">
      <c r="A12" s="1776">
        <f t="shared" si="2"/>
        <v>6</v>
      </c>
      <c r="B12" s="1739" t="s">
        <v>114</v>
      </c>
      <c r="C12" s="1779">
        <f>SUM(C7:C11)</f>
        <v>506462191</v>
      </c>
      <c r="D12" s="1779">
        <f t="shared" ref="D12:K12" si="3">SUM(D7:D11)</f>
        <v>27954901.379999965</v>
      </c>
      <c r="E12" s="1779">
        <f t="shared" si="3"/>
        <v>-173616337.91</v>
      </c>
      <c r="F12" s="1779">
        <f t="shared" si="3"/>
        <v>9003213</v>
      </c>
      <c r="G12" s="1779">
        <f t="shared" si="3"/>
        <v>0</v>
      </c>
      <c r="H12" s="1779">
        <f t="shared" si="3"/>
        <v>0</v>
      </c>
      <c r="I12" s="1779">
        <f t="shared" si="3"/>
        <v>0</v>
      </c>
      <c r="J12" s="1779">
        <f t="shared" si="3"/>
        <v>-5948836.0499999616</v>
      </c>
      <c r="K12" s="1779">
        <f t="shared" si="3"/>
        <v>455252814</v>
      </c>
      <c r="L12" s="1779">
        <f t="shared" ref="L12" si="4">SUM(L7:L11)</f>
        <v>27954901.379999965</v>
      </c>
      <c r="M12" s="1779"/>
    </row>
    <row r="13" spans="1:17" s="682" customFormat="1">
      <c r="A13" s="1776"/>
      <c r="B13" s="1739"/>
      <c r="C13" s="1777"/>
      <c r="D13" s="1777"/>
      <c r="E13" s="1777"/>
      <c r="F13" s="1777"/>
      <c r="G13" s="1777"/>
      <c r="H13" s="1777"/>
      <c r="I13" s="1777"/>
      <c r="J13" s="1777"/>
      <c r="K13" s="1777"/>
      <c r="L13" s="1739"/>
      <c r="M13" s="1739"/>
    </row>
    <row r="14" spans="1:17" s="682" customFormat="1">
      <c r="A14" s="1774"/>
      <c r="C14" s="1780" t="s">
        <v>171</v>
      </c>
      <c r="E14" s="1161" t="s">
        <v>320</v>
      </c>
      <c r="F14" s="1161" t="s">
        <v>321</v>
      </c>
      <c r="G14" s="1161" t="s">
        <v>322</v>
      </c>
      <c r="H14" s="1161" t="s">
        <v>323</v>
      </c>
      <c r="I14" s="1161" t="s">
        <v>696</v>
      </c>
      <c r="J14" s="1161" t="s">
        <v>698</v>
      </c>
      <c r="K14" s="1161" t="s">
        <v>1317</v>
      </c>
      <c r="L14" s="1161" t="s">
        <v>1481</v>
      </c>
      <c r="M14" s="1161"/>
    </row>
    <row r="15" spans="1:17" s="682" customFormat="1">
      <c r="A15" s="1774"/>
    </row>
    <row r="16" spans="1:17" s="682" customFormat="1">
      <c r="A16" s="1788" t="s">
        <v>299</v>
      </c>
    </row>
    <row r="17" spans="1:13" s="682" customFormat="1">
      <c r="A17" s="1161" t="s">
        <v>171</v>
      </c>
      <c r="B17" s="2079" t="s">
        <v>1539</v>
      </c>
      <c r="C17" s="2079"/>
      <c r="D17" s="2079"/>
      <c r="E17" s="2079"/>
      <c r="F17" s="2079"/>
      <c r="G17" s="2079"/>
      <c r="H17" s="2079"/>
      <c r="I17" s="2079"/>
      <c r="J17" s="2079"/>
      <c r="K17" s="2079"/>
      <c r="L17" s="2079"/>
      <c r="M17" s="1810"/>
    </row>
    <row r="18" spans="1:13" s="682" customFormat="1">
      <c r="A18" s="1161" t="s">
        <v>320</v>
      </c>
      <c r="B18" s="2079" t="s">
        <v>1627</v>
      </c>
      <c r="C18" s="2079"/>
      <c r="D18" s="2079"/>
      <c r="E18" s="2079"/>
      <c r="F18" s="2079"/>
      <c r="G18" s="2079"/>
      <c r="H18" s="2079"/>
      <c r="I18" s="2079"/>
      <c r="J18" s="2079"/>
      <c r="K18" s="2079"/>
      <c r="L18" s="2079"/>
      <c r="M18" s="1810"/>
    </row>
    <row r="19" spans="1:13" s="682" customFormat="1">
      <c r="A19" s="1161" t="s">
        <v>321</v>
      </c>
      <c r="B19" s="2079" t="s">
        <v>1541</v>
      </c>
      <c r="C19" s="2079"/>
      <c r="D19" s="2079"/>
      <c r="E19" s="2079"/>
      <c r="F19" s="2079"/>
      <c r="G19" s="2079"/>
      <c r="H19" s="2079"/>
      <c r="I19" s="2079"/>
      <c r="J19" s="2079"/>
      <c r="K19" s="2079"/>
      <c r="L19" s="2079"/>
      <c r="M19" s="1810"/>
    </row>
    <row r="20" spans="1:13" s="682" customFormat="1" ht="26.4" customHeight="1">
      <c r="A20" s="1161" t="s">
        <v>322</v>
      </c>
      <c r="B20" s="2080" t="s">
        <v>1566</v>
      </c>
      <c r="C20" s="2080"/>
      <c r="D20" s="2080"/>
      <c r="E20" s="2080"/>
      <c r="F20" s="2080"/>
      <c r="G20" s="2080"/>
      <c r="H20" s="2080"/>
      <c r="I20" s="2080"/>
      <c r="J20" s="2080"/>
      <c r="K20" s="2080"/>
      <c r="L20" s="2080"/>
      <c r="M20" s="1811"/>
    </row>
    <row r="21" spans="1:13" s="682" customFormat="1">
      <c r="A21" s="1807" t="s">
        <v>323</v>
      </c>
      <c r="B21" s="2080" t="s">
        <v>1568</v>
      </c>
      <c r="C21" s="2080"/>
      <c r="D21" s="2080"/>
      <c r="E21" s="2080"/>
      <c r="F21" s="2080"/>
      <c r="G21" s="2080"/>
      <c r="H21" s="2080"/>
      <c r="I21" s="2080"/>
      <c r="J21" s="2080"/>
      <c r="K21" s="2080"/>
      <c r="L21" s="2080"/>
      <c r="M21" s="1811"/>
    </row>
    <row r="22" spans="1:13" s="682" customFormat="1" ht="13.2" customHeight="1">
      <c r="A22" s="1161" t="s">
        <v>696</v>
      </c>
      <c r="B22" s="1808" t="s">
        <v>1567</v>
      </c>
      <c r="C22" s="1739"/>
      <c r="D22" s="1739"/>
      <c r="E22" s="1739"/>
      <c r="F22" s="1739"/>
      <c r="G22" s="1739"/>
      <c r="H22" s="1739"/>
      <c r="I22" s="1739"/>
      <c r="J22" s="1739"/>
      <c r="K22" s="1739"/>
      <c r="L22" s="1739"/>
      <c r="M22" s="1739"/>
    </row>
    <row r="23" spans="1:13" s="682" customFormat="1">
      <c r="A23" s="1161" t="s">
        <v>698</v>
      </c>
      <c r="B23" s="2079" t="s">
        <v>1628</v>
      </c>
      <c r="C23" s="2079"/>
      <c r="D23" s="2079"/>
      <c r="E23" s="2079"/>
      <c r="F23" s="2079"/>
      <c r="G23" s="2079"/>
      <c r="H23" s="2079"/>
      <c r="I23" s="2079"/>
      <c r="J23" s="2079"/>
      <c r="K23" s="2079"/>
      <c r="L23" s="2079"/>
      <c r="M23" s="1810"/>
    </row>
    <row r="24" spans="1:13" s="682" customFormat="1">
      <c r="A24" s="1161" t="s">
        <v>1317</v>
      </c>
      <c r="B24" s="2079" t="s">
        <v>1540</v>
      </c>
      <c r="C24" s="2079"/>
      <c r="D24" s="2079"/>
      <c r="E24" s="2079"/>
      <c r="F24" s="2079"/>
      <c r="G24" s="2079"/>
      <c r="H24" s="2079"/>
      <c r="I24" s="2079"/>
      <c r="J24" s="2079"/>
      <c r="K24" s="2079"/>
      <c r="L24" s="2079"/>
      <c r="M24" s="1810"/>
    </row>
    <row r="25" spans="1:13">
      <c r="A25" s="1809" t="s">
        <v>1481</v>
      </c>
      <c r="B25" s="2079" t="s">
        <v>1629</v>
      </c>
      <c r="C25" s="2079"/>
      <c r="D25" s="2079"/>
      <c r="E25" s="2079"/>
      <c r="F25" s="2079"/>
      <c r="G25" s="2079"/>
      <c r="H25" s="2079"/>
      <c r="I25" s="2079"/>
      <c r="J25" s="2079"/>
      <c r="K25" s="2079"/>
      <c r="L25" s="2079"/>
      <c r="M25" s="1810"/>
    </row>
    <row r="26" spans="1:13" s="682" customFormat="1">
      <c r="A26" s="1776"/>
      <c r="B26" s="1739"/>
      <c r="C26" s="1739"/>
      <c r="D26" s="1739"/>
      <c r="E26" s="1739"/>
      <c r="F26" s="1739"/>
      <c r="G26" s="1739"/>
      <c r="H26" s="1739"/>
      <c r="I26" s="1739"/>
      <c r="J26" s="1739"/>
      <c r="K26" s="1739"/>
      <c r="L26" s="1730"/>
      <c r="M26"/>
    </row>
    <row r="27" spans="1:13" s="682" customFormat="1">
      <c r="A27" s="1776"/>
      <c r="B27" s="1739"/>
      <c r="C27" s="1739"/>
      <c r="D27" s="1739"/>
      <c r="E27" s="1739"/>
      <c r="F27" s="1739"/>
      <c r="G27" s="1739"/>
      <c r="H27" s="1739"/>
      <c r="I27" s="1739"/>
      <c r="J27" s="1739"/>
      <c r="K27" s="1739"/>
      <c r="L27" s="1730"/>
      <c r="M27"/>
    </row>
  </sheetData>
  <mergeCells count="11">
    <mergeCell ref="B25:L25"/>
    <mergeCell ref="A1:L1"/>
    <mergeCell ref="A2:L2"/>
    <mergeCell ref="A3:L3"/>
    <mergeCell ref="B17:L17"/>
    <mergeCell ref="B18:L18"/>
    <mergeCell ref="B19:L19"/>
    <mergeCell ref="B20:L20"/>
    <mergeCell ref="B21:L21"/>
    <mergeCell ref="B23:L23"/>
    <mergeCell ref="B24:L24"/>
  </mergeCells>
  <printOptions horizontalCentered="1"/>
  <pageMargins left="0.5" right="0.5" top="0.75" bottom="0.75" header="0.3" footer="0.5"/>
  <pageSetup scale="90" orientation="landscape"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6"/>
  <sheetViews>
    <sheetView topLeftCell="A16" workbookViewId="0">
      <selection activeCell="L6" sqref="L6"/>
    </sheetView>
  </sheetViews>
  <sheetFormatPr defaultColWidth="8.88671875" defaultRowHeight="13.2"/>
  <cols>
    <col min="1" max="1" width="6.44140625" style="522" customWidth="1"/>
    <col min="2" max="2" width="16.77734375" style="522" customWidth="1"/>
    <col min="3" max="3" width="11.44140625" style="522" bestFit="1" customWidth="1"/>
    <col min="4" max="4" width="12.33203125" style="522" bestFit="1" customWidth="1"/>
    <col min="5" max="6" width="14.33203125" style="522" customWidth="1"/>
    <col min="7" max="7" width="8.88671875" style="522"/>
    <col min="8" max="8" width="13.109375" style="522" bestFit="1" customWidth="1"/>
    <col min="9" max="19" width="8.88671875" style="522"/>
    <col min="20" max="20" width="11.5546875" style="522" customWidth="1"/>
    <col min="21" max="16384" width="8.88671875" style="522"/>
  </cols>
  <sheetData>
    <row r="1" spans="1:6">
      <c r="A1" s="2081" t="s">
        <v>1792</v>
      </c>
      <c r="B1" s="2081"/>
      <c r="C1" s="2081"/>
      <c r="D1" s="2081"/>
      <c r="E1" s="2081"/>
    </row>
    <row r="2" spans="1:6">
      <c r="A2" s="2076" t="s">
        <v>1793</v>
      </c>
      <c r="B2" s="2076"/>
      <c r="C2" s="2076"/>
      <c r="D2" s="2076"/>
      <c r="E2" s="2076"/>
      <c r="F2" s="1982"/>
    </row>
    <row r="3" spans="1:6">
      <c r="A3" s="2077" t="s">
        <v>1350</v>
      </c>
      <c r="B3" s="2077"/>
      <c r="C3" s="2077"/>
      <c r="D3" s="2077"/>
      <c r="E3" s="2077"/>
    </row>
    <row r="4" spans="1:6">
      <c r="A4" s="532"/>
      <c r="B4" s="532"/>
    </row>
    <row r="5" spans="1:6" s="1985" customFormat="1">
      <c r="A5" s="1983" t="s">
        <v>281</v>
      </c>
      <c r="B5" s="1984" t="s">
        <v>68</v>
      </c>
      <c r="C5" s="1983" t="s">
        <v>70</v>
      </c>
      <c r="D5" s="1983"/>
      <c r="E5" s="1983"/>
    </row>
    <row r="6" spans="1:6" s="1985" customFormat="1" ht="15.6" customHeight="1">
      <c r="A6" s="719">
        <v>1</v>
      </c>
      <c r="B6" s="1986" t="s">
        <v>725</v>
      </c>
      <c r="C6" s="1983" t="s">
        <v>1794</v>
      </c>
      <c r="D6" s="1983" t="s">
        <v>807</v>
      </c>
      <c r="E6" s="1983" t="s">
        <v>1795</v>
      </c>
    </row>
    <row r="7" spans="1:6" s="1987" customFormat="1">
      <c r="A7" s="719">
        <f t="shared" ref="A7:A42" si="0">+A6+1</f>
        <v>2</v>
      </c>
      <c r="B7" s="522"/>
      <c r="C7" s="2082" t="s">
        <v>1796</v>
      </c>
      <c r="D7" s="2082"/>
      <c r="E7" s="2082"/>
    </row>
    <row r="8" spans="1:6" s="534" customFormat="1">
      <c r="A8" s="719">
        <f t="shared" si="0"/>
        <v>3</v>
      </c>
      <c r="B8" s="529" t="s">
        <v>141</v>
      </c>
      <c r="C8" s="1988"/>
      <c r="D8" s="1988"/>
      <c r="E8" s="1988"/>
    </row>
    <row r="9" spans="1:6" s="530" customFormat="1">
      <c r="A9" s="719">
        <f t="shared" si="0"/>
        <v>4</v>
      </c>
      <c r="B9" s="1376" t="s">
        <v>38</v>
      </c>
      <c r="C9" s="1989">
        <v>3547347.9200000018</v>
      </c>
      <c r="D9" s="1989"/>
      <c r="E9" s="1989">
        <f t="shared" ref="E9:E21" si="1">+C9+D9</f>
        <v>3547347.9200000018</v>
      </c>
    </row>
    <row r="10" spans="1:6">
      <c r="A10" s="719">
        <f t="shared" si="0"/>
        <v>5</v>
      </c>
      <c r="B10" s="1376" t="s">
        <v>28</v>
      </c>
      <c r="C10" s="1989">
        <v>3547347.9200000018</v>
      </c>
      <c r="D10" s="1989"/>
      <c r="E10" s="1989">
        <f t="shared" si="1"/>
        <v>3547347.9200000018</v>
      </c>
    </row>
    <row r="11" spans="1:6">
      <c r="A11" s="719">
        <f t="shared" si="0"/>
        <v>6</v>
      </c>
      <c r="B11" s="1376" t="s">
        <v>29</v>
      </c>
      <c r="C11" s="1989">
        <v>3547347.9200000018</v>
      </c>
      <c r="D11" s="1989"/>
      <c r="E11" s="1989">
        <f t="shared" si="1"/>
        <v>3547347.9200000018</v>
      </c>
    </row>
    <row r="12" spans="1:6">
      <c r="A12" s="719">
        <f t="shared" si="0"/>
        <v>7</v>
      </c>
      <c r="B12" s="1376" t="s">
        <v>30</v>
      </c>
      <c r="C12" s="1989">
        <v>12762467.449999999</v>
      </c>
      <c r="D12" s="1989">
        <v>-5906907.5999999996</v>
      </c>
      <c r="E12" s="1989">
        <f t="shared" si="1"/>
        <v>6855559.8499999996</v>
      </c>
    </row>
    <row r="13" spans="1:6">
      <c r="A13" s="719">
        <f t="shared" si="0"/>
        <v>8</v>
      </c>
      <c r="B13" s="1376" t="s">
        <v>31</v>
      </c>
      <c r="C13" s="1989">
        <v>12762467.449999999</v>
      </c>
      <c r="D13" s="1989">
        <f>+D12</f>
        <v>-5906907.5999999996</v>
      </c>
      <c r="E13" s="1989">
        <f t="shared" si="1"/>
        <v>6855559.8499999996</v>
      </c>
    </row>
    <row r="14" spans="1:6">
      <c r="A14" s="719">
        <f t="shared" si="0"/>
        <v>9</v>
      </c>
      <c r="B14" s="1376" t="s">
        <v>27</v>
      </c>
      <c r="C14" s="1989">
        <v>12762467.449999999</v>
      </c>
      <c r="D14" s="1989">
        <f>+D13</f>
        <v>-5906907.5999999996</v>
      </c>
      <c r="E14" s="1989">
        <f t="shared" si="1"/>
        <v>6855559.8499999996</v>
      </c>
    </row>
    <row r="15" spans="1:6">
      <c r="A15" s="719">
        <f t="shared" si="0"/>
        <v>10</v>
      </c>
      <c r="B15" s="1376" t="s">
        <v>32</v>
      </c>
      <c r="C15" s="1989">
        <v>9215119.9100000001</v>
      </c>
      <c r="D15" s="1989">
        <f>+D14</f>
        <v>-5906907.5999999996</v>
      </c>
      <c r="E15" s="1989">
        <f t="shared" si="1"/>
        <v>3308212.3100000005</v>
      </c>
    </row>
    <row r="16" spans="1:6">
      <c r="A16" s="719">
        <f t="shared" si="0"/>
        <v>11</v>
      </c>
      <c r="B16" s="1376" t="s">
        <v>33</v>
      </c>
      <c r="C16" s="1989">
        <v>9215119.9100000001</v>
      </c>
      <c r="D16" s="1989">
        <f>+D15</f>
        <v>-5906907.5999999996</v>
      </c>
      <c r="E16" s="1989">
        <f t="shared" si="1"/>
        <v>3308212.3100000005</v>
      </c>
    </row>
    <row r="17" spans="1:8">
      <c r="A17" s="719">
        <f t="shared" si="0"/>
        <v>12</v>
      </c>
      <c r="B17" s="1376" t="s">
        <v>34</v>
      </c>
      <c r="C17" s="1989">
        <v>9215119.9100000001</v>
      </c>
      <c r="D17" s="1989">
        <f>+D16</f>
        <v>-5906907.5999999996</v>
      </c>
      <c r="E17" s="1989">
        <f t="shared" si="1"/>
        <v>3308212.3100000005</v>
      </c>
    </row>
    <row r="18" spans="1:8">
      <c r="A18" s="719">
        <f t="shared" si="0"/>
        <v>13</v>
      </c>
      <c r="B18" s="1376" t="s">
        <v>35</v>
      </c>
      <c r="C18" s="1989">
        <v>8952612.2100000009</v>
      </c>
      <c r="D18" s="1989">
        <v>-5644400.2999999998</v>
      </c>
      <c r="E18" s="1989">
        <f t="shared" si="1"/>
        <v>3308211.9100000011</v>
      </c>
    </row>
    <row r="19" spans="1:8">
      <c r="A19" s="719">
        <f t="shared" si="0"/>
        <v>14</v>
      </c>
      <c r="B19" s="1376" t="s">
        <v>36</v>
      </c>
      <c r="C19" s="1989">
        <v>8952612.2100000009</v>
      </c>
      <c r="D19" s="1989">
        <f>+D18</f>
        <v>-5644400.2999999998</v>
      </c>
      <c r="E19" s="1989">
        <f t="shared" si="1"/>
        <v>3308211.9100000011</v>
      </c>
    </row>
    <row r="20" spans="1:8">
      <c r="A20" s="719">
        <f t="shared" si="0"/>
        <v>15</v>
      </c>
      <c r="B20" s="1376" t="s">
        <v>37</v>
      </c>
      <c r="C20" s="1989">
        <v>8952612.2100000009</v>
      </c>
      <c r="D20" s="1989">
        <f>+D19</f>
        <v>-5644400.2999999998</v>
      </c>
      <c r="E20" s="1989">
        <f t="shared" si="1"/>
        <v>3308211.9100000011</v>
      </c>
    </row>
    <row r="21" spans="1:8">
      <c r="A21" s="719">
        <f t="shared" si="0"/>
        <v>16</v>
      </c>
      <c r="B21" s="1376" t="s">
        <v>38</v>
      </c>
      <c r="C21" s="1989">
        <v>8952612.2100000009</v>
      </c>
      <c r="D21" s="1989">
        <f>+D20</f>
        <v>-5644400.2999999998</v>
      </c>
      <c r="E21" s="1989">
        <f t="shared" si="1"/>
        <v>3308211.9100000011</v>
      </c>
    </row>
    <row r="22" spans="1:8">
      <c r="A22" s="719">
        <f t="shared" si="0"/>
        <v>17</v>
      </c>
      <c r="B22" s="535"/>
      <c r="C22" s="1990"/>
      <c r="D22" s="1990"/>
      <c r="E22" s="1990"/>
    </row>
    <row r="23" spans="1:8" s="530" customFormat="1">
      <c r="A23" s="719">
        <f t="shared" si="0"/>
        <v>18</v>
      </c>
      <c r="B23" s="535" t="s">
        <v>415</v>
      </c>
      <c r="C23" s="1991">
        <f>SUM(C9:C21)/13</f>
        <v>8645019.5907692313</v>
      </c>
      <c r="D23" s="1991">
        <f>SUM(D9:D21)/13</f>
        <v>-4463003.5999999996</v>
      </c>
      <c r="E23" s="1991">
        <f>SUM(E9:E21)/13</f>
        <v>4182015.9907692331</v>
      </c>
      <c r="G23" s="522"/>
    </row>
    <row r="24" spans="1:8">
      <c r="A24" s="719">
        <f t="shared" si="0"/>
        <v>19</v>
      </c>
      <c r="B24" s="536"/>
    </row>
    <row r="25" spans="1:8">
      <c r="A25" s="719">
        <f t="shared" si="0"/>
        <v>20</v>
      </c>
      <c r="B25" s="536"/>
    </row>
    <row r="26" spans="1:8">
      <c r="A26" s="719">
        <f t="shared" si="0"/>
        <v>21</v>
      </c>
      <c r="B26" s="1986" t="s">
        <v>1797</v>
      </c>
      <c r="C26" s="1992"/>
      <c r="D26" s="1992"/>
      <c r="E26" s="1992"/>
      <c r="F26" s="1982"/>
    </row>
    <row r="27" spans="1:8" s="1987" customFormat="1">
      <c r="A27" s="719">
        <f t="shared" si="0"/>
        <v>22</v>
      </c>
      <c r="B27" s="522"/>
      <c r="C27" s="2082" t="s">
        <v>1796</v>
      </c>
      <c r="D27" s="2082"/>
      <c r="E27" s="2082"/>
      <c r="G27" s="522"/>
    </row>
    <row r="28" spans="1:8">
      <c r="A28" s="719">
        <f t="shared" si="0"/>
        <v>23</v>
      </c>
      <c r="B28" s="533" t="str">
        <f t="shared" ref="B28:B40" si="2">+B9</f>
        <v>Dec</v>
      </c>
      <c r="C28" s="715">
        <v>2946583</v>
      </c>
      <c r="D28" s="1989"/>
      <c r="E28" s="1989">
        <f t="shared" ref="E28:E30" si="3">+C28+D28</f>
        <v>2946583</v>
      </c>
      <c r="F28" s="1993"/>
    </row>
    <row r="29" spans="1:8">
      <c r="A29" s="719">
        <f t="shared" si="0"/>
        <v>24</v>
      </c>
      <c r="B29" s="533" t="str">
        <f t="shared" si="2"/>
        <v>Jan</v>
      </c>
      <c r="C29" s="715">
        <v>3041820</v>
      </c>
      <c r="D29" s="1989"/>
      <c r="E29" s="1989">
        <f t="shared" si="3"/>
        <v>3041820</v>
      </c>
    </row>
    <row r="30" spans="1:8">
      <c r="A30" s="719">
        <f t="shared" si="0"/>
        <v>25</v>
      </c>
      <c r="B30" s="533" t="str">
        <f t="shared" si="2"/>
        <v>Feb</v>
      </c>
      <c r="C30" s="715">
        <v>3041820</v>
      </c>
      <c r="D30" s="1989"/>
      <c r="E30" s="1989">
        <f t="shared" si="3"/>
        <v>3041820</v>
      </c>
    </row>
    <row r="31" spans="1:8">
      <c r="A31" s="719">
        <f t="shared" si="0"/>
        <v>26</v>
      </c>
      <c r="B31" s="533" t="str">
        <f t="shared" si="2"/>
        <v>Mar</v>
      </c>
      <c r="C31" s="715">
        <v>3041820</v>
      </c>
      <c r="D31" s="1989">
        <f>+E31-C31</f>
        <v>-27368.950000000186</v>
      </c>
      <c r="E31" s="1989">
        <v>3014451.05</v>
      </c>
      <c r="F31" s="256"/>
      <c r="H31" s="256"/>
    </row>
    <row r="32" spans="1:8">
      <c r="A32" s="719">
        <f t="shared" si="0"/>
        <v>27</v>
      </c>
      <c r="B32" s="533" t="str">
        <f t="shared" si="2"/>
        <v>Apr</v>
      </c>
      <c r="C32" s="715">
        <v>3057677</v>
      </c>
      <c r="D32" s="1989">
        <f t="shared" ref="D32:D40" si="4">+E32-C32</f>
        <v>-34707.930000000168</v>
      </c>
      <c r="E32" s="1989">
        <v>3022969.07</v>
      </c>
      <c r="F32" s="256"/>
      <c r="H32" s="256"/>
    </row>
    <row r="33" spans="1:8">
      <c r="A33" s="719">
        <f t="shared" si="0"/>
        <v>28</v>
      </c>
      <c r="B33" s="533" t="str">
        <f t="shared" si="2"/>
        <v>May</v>
      </c>
      <c r="C33" s="715">
        <v>3073534</v>
      </c>
      <c r="D33" s="1989">
        <f t="shared" si="4"/>
        <v>-42046.910000000149</v>
      </c>
      <c r="E33" s="1989">
        <v>3031487.09</v>
      </c>
      <c r="F33" s="256"/>
      <c r="H33" s="256"/>
    </row>
    <row r="34" spans="1:8">
      <c r="A34" s="719">
        <f t="shared" si="0"/>
        <v>29</v>
      </c>
      <c r="B34" s="533" t="str">
        <f t="shared" si="2"/>
        <v>Jun</v>
      </c>
      <c r="C34" s="715">
        <v>-457956</v>
      </c>
      <c r="D34" s="1989">
        <f t="shared" si="4"/>
        <v>-49386.430000000051</v>
      </c>
      <c r="E34" s="1989">
        <v>-507342.43000000005</v>
      </c>
      <c r="F34" s="256"/>
      <c r="H34" s="256"/>
    </row>
    <row r="35" spans="1:8">
      <c r="A35" s="719">
        <f t="shared" si="0"/>
        <v>30</v>
      </c>
      <c r="B35" s="533" t="str">
        <f t="shared" si="2"/>
        <v>Jul</v>
      </c>
      <c r="C35" s="715">
        <v>-446506</v>
      </c>
      <c r="D35" s="1989">
        <f t="shared" si="4"/>
        <v>-56725.979999999981</v>
      </c>
      <c r="E35" s="1989">
        <v>-503231.98</v>
      </c>
      <c r="F35" s="256"/>
      <c r="H35" s="256"/>
    </row>
    <row r="36" spans="1:8">
      <c r="A36" s="719">
        <f t="shared" si="0"/>
        <v>31</v>
      </c>
      <c r="B36" s="533" t="str">
        <f t="shared" si="2"/>
        <v>Aug</v>
      </c>
      <c r="C36" s="715">
        <v>-435056</v>
      </c>
      <c r="D36" s="1989">
        <f t="shared" si="4"/>
        <v>-64065.530000000028</v>
      </c>
      <c r="E36" s="1989">
        <v>-499121.53</v>
      </c>
      <c r="F36" s="256"/>
      <c r="H36" s="256"/>
    </row>
    <row r="37" spans="1:8">
      <c r="A37" s="719">
        <f t="shared" si="0"/>
        <v>32</v>
      </c>
      <c r="B37" s="533" t="str">
        <f t="shared" si="2"/>
        <v>Sep</v>
      </c>
      <c r="C37" s="715">
        <v>-423606</v>
      </c>
      <c r="D37" s="1989">
        <f t="shared" si="4"/>
        <v>-71405.079999999958</v>
      </c>
      <c r="E37" s="1989">
        <v>-495011.07999999996</v>
      </c>
      <c r="F37" s="256"/>
      <c r="H37" s="256"/>
    </row>
    <row r="38" spans="1:8">
      <c r="A38" s="719">
        <f t="shared" si="0"/>
        <v>33</v>
      </c>
      <c r="B38" s="533" t="str">
        <f t="shared" si="2"/>
        <v>Oct</v>
      </c>
      <c r="C38" s="715">
        <v>-412483</v>
      </c>
      <c r="D38" s="1989">
        <f t="shared" si="4"/>
        <v>-78417.63</v>
      </c>
      <c r="E38" s="1989">
        <v>-490900.63</v>
      </c>
      <c r="F38" s="256"/>
      <c r="H38" s="256"/>
    </row>
    <row r="39" spans="1:8">
      <c r="A39" s="719">
        <f t="shared" si="0"/>
        <v>34</v>
      </c>
      <c r="B39" s="533" t="str">
        <f t="shared" si="2"/>
        <v>Nov</v>
      </c>
      <c r="C39" s="715">
        <v>-401359</v>
      </c>
      <c r="D39" s="1989">
        <f t="shared" si="4"/>
        <v>-85431.18</v>
      </c>
      <c r="E39" s="1989">
        <v>-486790.18</v>
      </c>
      <c r="F39" s="872"/>
      <c r="H39" s="256"/>
    </row>
    <row r="40" spans="1:8">
      <c r="A40" s="719">
        <f t="shared" si="0"/>
        <v>35</v>
      </c>
      <c r="B40" s="533" t="str">
        <f t="shared" si="2"/>
        <v>Dec</v>
      </c>
      <c r="C40" s="715">
        <v>-390236</v>
      </c>
      <c r="D40" s="1989">
        <f t="shared" si="4"/>
        <v>-92443.729999999981</v>
      </c>
      <c r="E40" s="1989">
        <v>-482679.73</v>
      </c>
      <c r="F40" s="936"/>
      <c r="H40" s="2010"/>
    </row>
    <row r="41" spans="1:8" s="530" customFormat="1">
      <c r="A41" s="719">
        <f t="shared" si="0"/>
        <v>36</v>
      </c>
      <c r="B41" s="535"/>
      <c r="C41" s="1990"/>
      <c r="D41" s="1990"/>
      <c r="E41" s="1990"/>
      <c r="F41" s="1982"/>
      <c r="G41" s="522"/>
      <c r="H41" s="937"/>
    </row>
    <row r="42" spans="1:8">
      <c r="A42" s="719">
        <f t="shared" si="0"/>
        <v>37</v>
      </c>
      <c r="B42" s="535" t="s">
        <v>415</v>
      </c>
      <c r="C42" s="1991">
        <f>SUM(C28:C40)/13</f>
        <v>1172004</v>
      </c>
      <c r="D42" s="1991">
        <f>SUM(D28:D40)/13</f>
        <v>-46307.642307692353</v>
      </c>
      <c r="E42" s="1991">
        <f>SUM(E28:E40)/13</f>
        <v>1125696.3576923078</v>
      </c>
      <c r="F42" s="1994"/>
      <c r="H42" s="530"/>
    </row>
    <row r="43" spans="1:8">
      <c r="A43" s="720"/>
      <c r="C43" s="531"/>
      <c r="F43" s="938"/>
      <c r="H43" s="815"/>
    </row>
    <row r="45" spans="1:8">
      <c r="A45" s="522" t="s">
        <v>299</v>
      </c>
    </row>
    <row r="46" spans="1:8" s="1791" customFormat="1" ht="54" customHeight="1">
      <c r="A46" s="1995" t="s">
        <v>171</v>
      </c>
      <c r="B46" s="2075" t="s">
        <v>1800</v>
      </c>
      <c r="C46" s="2075"/>
      <c r="D46" s="2075"/>
      <c r="E46" s="2075"/>
    </row>
  </sheetData>
  <mergeCells count="6">
    <mergeCell ref="B46:E46"/>
    <mergeCell ref="A1:E1"/>
    <mergeCell ref="A2:E2"/>
    <mergeCell ref="A3:E3"/>
    <mergeCell ref="C7:E7"/>
    <mergeCell ref="C27:E27"/>
  </mergeCells>
  <printOptions horizontalCentered="1"/>
  <pageMargins left="0.7" right="0.7" top="0.75" bottom="0.75" header="0.3" footer="0.5"/>
  <pageSetup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165"/>
  <sheetViews>
    <sheetView zoomScaleNormal="100" zoomScaleSheetLayoutView="80" workbookViewId="0">
      <selection activeCell="L6" sqref="L6"/>
    </sheetView>
  </sheetViews>
  <sheetFormatPr defaultColWidth="9.109375" defaultRowHeight="13.2"/>
  <cols>
    <col min="1" max="1" width="5.6640625" style="231" customWidth="1"/>
    <col min="2" max="2" width="9.88671875" style="231" customWidth="1"/>
    <col min="3" max="3" width="20.5546875" style="66" customWidth="1"/>
    <col min="4" max="4" width="20.109375" style="66" customWidth="1"/>
    <col min="5" max="5" width="13" style="66" bestFit="1" customWidth="1"/>
    <col min="6" max="16384" width="9.109375" style="66"/>
  </cols>
  <sheetData>
    <row r="1" spans="1:7" s="778" customFormat="1">
      <c r="A1" s="2083" t="str">
        <f>+'MISO Cover'!C6</f>
        <v>Entergy New Orleans, Inc.</v>
      </c>
      <c r="B1" s="2083"/>
      <c r="C1" s="2083"/>
      <c r="D1" s="2083"/>
      <c r="E1" s="610"/>
      <c r="F1" s="610"/>
      <c r="G1" s="610"/>
    </row>
    <row r="2" spans="1:7">
      <c r="A2" s="2076" t="s">
        <v>650</v>
      </c>
      <c r="B2" s="2076"/>
      <c r="C2" s="2076"/>
      <c r="D2" s="2076"/>
    </row>
    <row r="3" spans="1:7" s="174" customFormat="1">
      <c r="A3" s="2084" t="str">
        <f>+'MISO Cover'!K4</f>
        <v>For  the 12 Months Ended 12/31/2016</v>
      </c>
      <c r="B3" s="2084"/>
      <c r="C3" s="2084"/>
      <c r="D3" s="2084"/>
      <c r="E3" s="213"/>
      <c r="F3" s="213"/>
      <c r="G3" s="213"/>
    </row>
    <row r="4" spans="1:7" s="174" customFormat="1">
      <c r="A4" s="766"/>
      <c r="B4" s="766"/>
      <c r="C4" s="766"/>
      <c r="D4" s="766"/>
      <c r="E4" s="213"/>
      <c r="F4" s="213"/>
      <c r="G4" s="213"/>
    </row>
    <row r="5" spans="1:7" ht="15" customHeight="1">
      <c r="A5" s="609"/>
      <c r="B5" s="609"/>
      <c r="C5" s="609"/>
      <c r="D5" s="609"/>
    </row>
    <row r="6" spans="1:7">
      <c r="A6" s="231" t="s">
        <v>281</v>
      </c>
      <c r="B6" s="231" t="s">
        <v>68</v>
      </c>
      <c r="C6" s="231" t="s">
        <v>115</v>
      </c>
      <c r="D6" s="233" t="s">
        <v>56</v>
      </c>
    </row>
    <row r="7" spans="1:7" ht="28.2" customHeight="1">
      <c r="A7" s="231">
        <v>1</v>
      </c>
      <c r="B7" s="66" t="s">
        <v>454</v>
      </c>
      <c r="C7" s="546" t="s">
        <v>821</v>
      </c>
      <c r="D7" s="231" t="s">
        <v>271</v>
      </c>
    </row>
    <row r="8" spans="1:7">
      <c r="A8" s="231">
        <f>+A7+1</f>
        <v>2</v>
      </c>
      <c r="B8" s="232"/>
      <c r="C8" s="199"/>
      <c r="D8" s="234"/>
    </row>
    <row r="9" spans="1:7">
      <c r="A9" s="231">
        <f t="shared" ref="A9:A22" si="0">+A8+1</f>
        <v>3</v>
      </c>
      <c r="B9" s="66" t="s">
        <v>28</v>
      </c>
      <c r="C9" s="714">
        <v>93331.355809394357</v>
      </c>
      <c r="D9" s="234">
        <f>+C9</f>
        <v>93331.355809394357</v>
      </c>
      <c r="F9" s="713"/>
    </row>
    <row r="10" spans="1:7">
      <c r="A10" s="231">
        <f t="shared" si="0"/>
        <v>4</v>
      </c>
      <c r="B10" s="66" t="s">
        <v>29</v>
      </c>
      <c r="C10" s="714">
        <v>128813.27018008717</v>
      </c>
      <c r="D10" s="234">
        <f>+D9+C10</f>
        <v>222144.62598948152</v>
      </c>
    </row>
    <row r="11" spans="1:7">
      <c r="A11" s="231">
        <f t="shared" si="0"/>
        <v>5</v>
      </c>
      <c r="B11" s="66" t="s">
        <v>30</v>
      </c>
      <c r="C11" s="714">
        <v>131791.10053704481</v>
      </c>
      <c r="D11" s="234">
        <f t="shared" ref="D11:D20" si="1">+D10+C11</f>
        <v>353935.72652652633</v>
      </c>
    </row>
    <row r="12" spans="1:7">
      <c r="A12" s="231">
        <f t="shared" si="0"/>
        <v>6</v>
      </c>
      <c r="B12" s="66" t="s">
        <v>31</v>
      </c>
      <c r="C12" s="714">
        <v>18666.271161878863</v>
      </c>
      <c r="D12" s="234">
        <f t="shared" si="1"/>
        <v>372601.99768840522</v>
      </c>
    </row>
    <row r="13" spans="1:7">
      <c r="A13" s="231">
        <f t="shared" si="0"/>
        <v>7</v>
      </c>
      <c r="B13" s="66" t="s">
        <v>27</v>
      </c>
      <c r="C13" s="714">
        <v>14097.305272352187</v>
      </c>
      <c r="D13" s="234">
        <f t="shared" si="1"/>
        <v>386699.3029607574</v>
      </c>
    </row>
    <row r="14" spans="1:7">
      <c r="A14" s="231">
        <f t="shared" si="0"/>
        <v>8</v>
      </c>
      <c r="B14" s="66" t="s">
        <v>32</v>
      </c>
      <c r="C14" s="714">
        <v>915616.51159989682</v>
      </c>
      <c r="D14" s="234">
        <f t="shared" si="1"/>
        <v>1302315.8145606541</v>
      </c>
    </row>
    <row r="15" spans="1:7">
      <c r="A15" s="231">
        <f t="shared" si="0"/>
        <v>9</v>
      </c>
      <c r="B15" s="66" t="s">
        <v>33</v>
      </c>
      <c r="C15" s="714">
        <v>6216.4055878094177</v>
      </c>
      <c r="D15" s="234">
        <f t="shared" si="1"/>
        <v>1308532.2201484635</v>
      </c>
    </row>
    <row r="16" spans="1:7">
      <c r="A16" s="231">
        <f t="shared" si="0"/>
        <v>10</v>
      </c>
      <c r="B16" s="66" t="s">
        <v>34</v>
      </c>
      <c r="C16" s="714">
        <v>365069.35297255742</v>
      </c>
      <c r="D16" s="234">
        <f t="shared" si="1"/>
        <v>1673601.573121021</v>
      </c>
    </row>
    <row r="17" spans="1:4">
      <c r="A17" s="231">
        <f t="shared" si="0"/>
        <v>11</v>
      </c>
      <c r="B17" s="66" t="s">
        <v>35</v>
      </c>
      <c r="C17" s="714">
        <v>391900.40888723696</v>
      </c>
      <c r="D17" s="234">
        <f t="shared" si="1"/>
        <v>2065501.9820082579</v>
      </c>
    </row>
    <row r="18" spans="1:4">
      <c r="A18" s="231">
        <f t="shared" si="0"/>
        <v>12</v>
      </c>
      <c r="B18" s="66" t="s">
        <v>36</v>
      </c>
      <c r="C18" s="714">
        <v>197391.15708226647</v>
      </c>
      <c r="D18" s="234">
        <f t="shared" si="1"/>
        <v>2262893.1390905245</v>
      </c>
    </row>
    <row r="19" spans="1:4">
      <c r="A19" s="231">
        <f t="shared" si="0"/>
        <v>13</v>
      </c>
      <c r="B19" s="66" t="s">
        <v>37</v>
      </c>
      <c r="C19" s="714">
        <v>142931.85012374833</v>
      </c>
      <c r="D19" s="234">
        <f t="shared" si="1"/>
        <v>2405824.9892142727</v>
      </c>
    </row>
    <row r="20" spans="1:4">
      <c r="A20" s="231">
        <f t="shared" si="0"/>
        <v>14</v>
      </c>
      <c r="B20" s="66" t="s">
        <v>38</v>
      </c>
      <c r="C20" s="873">
        <v>1863542.0422068122</v>
      </c>
      <c r="D20" s="874">
        <f t="shared" si="1"/>
        <v>4269367.0314210849</v>
      </c>
    </row>
    <row r="21" spans="1:4">
      <c r="A21" s="231">
        <f t="shared" si="0"/>
        <v>15</v>
      </c>
      <c r="B21" s="66" t="s">
        <v>114</v>
      </c>
      <c r="C21" s="166">
        <f>SUM(C9:C20)</f>
        <v>4269367.0314210849</v>
      </c>
    </row>
    <row r="22" spans="1:4">
      <c r="A22" s="231">
        <f t="shared" si="0"/>
        <v>16</v>
      </c>
      <c r="B22" s="66" t="s">
        <v>472</v>
      </c>
      <c r="C22" s="235"/>
      <c r="D22" s="234">
        <f>+SUM(D9:D20)/12</f>
        <v>1393062.4798782372</v>
      </c>
    </row>
    <row r="23" spans="1:4" ht="13.5" customHeight="1">
      <c r="B23" s="66"/>
      <c r="C23" s="80"/>
      <c r="D23" s="232"/>
    </row>
    <row r="24" spans="1:4" s="268" customFormat="1">
      <c r="A24" s="165" t="s">
        <v>299</v>
      </c>
      <c r="C24" s="188"/>
    </row>
    <row r="25" spans="1:4" s="268" customFormat="1" ht="27.6" customHeight="1">
      <c r="A25" s="2057" t="s">
        <v>551</v>
      </c>
      <c r="B25" s="2057"/>
      <c r="C25" s="2057"/>
      <c r="D25" s="2057"/>
    </row>
    <row r="26" spans="1:4" s="268" customFormat="1" ht="40.950000000000003" customHeight="1">
      <c r="A26" s="2041" t="s">
        <v>817</v>
      </c>
      <c r="B26" s="2041"/>
      <c r="C26" s="2041"/>
      <c r="D26" s="2041"/>
    </row>
    <row r="27" spans="1:4" s="268" customFormat="1">
      <c r="A27" s="224"/>
      <c r="B27" s="224"/>
      <c r="D27" s="188"/>
    </row>
    <row r="28" spans="1:4" s="268" customFormat="1">
      <c r="A28" s="224"/>
      <c r="B28" s="224"/>
      <c r="D28" s="188"/>
    </row>
    <row r="29" spans="1:4" s="268" customFormat="1">
      <c r="A29" s="224"/>
      <c r="B29" s="224"/>
      <c r="D29" s="188"/>
    </row>
    <row r="30" spans="1:4" s="268" customFormat="1">
      <c r="A30" s="224"/>
      <c r="B30" s="224"/>
      <c r="D30" s="188"/>
    </row>
    <row r="31" spans="1:4" s="268" customFormat="1">
      <c r="A31" s="224"/>
      <c r="B31" s="224"/>
      <c r="D31" s="188"/>
    </row>
    <row r="32" spans="1:4" s="268" customFormat="1">
      <c r="A32" s="224"/>
      <c r="B32" s="224"/>
      <c r="D32" s="188"/>
    </row>
    <row r="33" spans="1:4" s="268" customFormat="1">
      <c r="A33" s="224"/>
      <c r="B33" s="224"/>
      <c r="D33" s="188"/>
    </row>
    <row r="34" spans="1:4" s="268" customFormat="1">
      <c r="A34" s="224"/>
      <c r="B34" s="224"/>
      <c r="D34" s="188"/>
    </row>
    <row r="35" spans="1:4" s="268" customFormat="1">
      <c r="A35" s="224"/>
      <c r="B35" s="224"/>
      <c r="D35" s="188"/>
    </row>
    <row r="36" spans="1:4" s="268" customFormat="1">
      <c r="A36" s="224"/>
      <c r="B36" s="224"/>
      <c r="D36" s="188"/>
    </row>
    <row r="37" spans="1:4" s="268" customFormat="1">
      <c r="A37" s="224"/>
      <c r="B37" s="224"/>
      <c r="D37" s="188"/>
    </row>
    <row r="38" spans="1:4" s="268" customFormat="1">
      <c r="A38" s="224"/>
      <c r="B38" s="224"/>
      <c r="D38" s="188"/>
    </row>
    <row r="39" spans="1:4" s="268" customFormat="1">
      <c r="A39" s="224"/>
      <c r="B39" s="224"/>
      <c r="D39" s="188"/>
    </row>
    <row r="40" spans="1:4" s="268" customFormat="1">
      <c r="A40" s="224"/>
      <c r="B40" s="224"/>
      <c r="D40" s="188"/>
    </row>
    <row r="41" spans="1:4" s="268" customFormat="1">
      <c r="A41" s="224"/>
      <c r="B41" s="224"/>
      <c r="D41" s="188"/>
    </row>
    <row r="42" spans="1:4" s="268" customFormat="1">
      <c r="A42" s="224"/>
      <c r="B42" s="224"/>
      <c r="D42" s="188"/>
    </row>
    <row r="43" spans="1:4" s="268" customFormat="1">
      <c r="A43" s="224"/>
      <c r="B43" s="224"/>
      <c r="D43" s="185"/>
    </row>
    <row r="44" spans="1:4" s="268" customFormat="1">
      <c r="A44" s="224"/>
      <c r="B44" s="224"/>
      <c r="D44" s="185"/>
    </row>
    <row r="45" spans="1:4" s="268" customFormat="1">
      <c r="A45" s="224"/>
      <c r="B45" s="224"/>
      <c r="D45" s="185"/>
    </row>
    <row r="46" spans="1:4" s="268" customFormat="1">
      <c r="A46" s="224"/>
      <c r="B46" s="224"/>
      <c r="D46" s="185"/>
    </row>
    <row r="47" spans="1:4" s="268" customFormat="1">
      <c r="A47" s="224"/>
      <c r="B47" s="224"/>
      <c r="D47" s="185"/>
    </row>
    <row r="48" spans="1:4" s="268" customFormat="1">
      <c r="A48" s="224"/>
      <c r="B48" s="224"/>
      <c r="D48" s="185"/>
    </row>
    <row r="49" spans="1:3" s="268" customFormat="1">
      <c r="A49" s="224"/>
      <c r="B49" s="224"/>
    </row>
    <row r="50" spans="1:3" s="268" customFormat="1">
      <c r="A50" s="224"/>
      <c r="B50" s="224"/>
    </row>
    <row r="51" spans="1:3" s="268" customFormat="1">
      <c r="A51" s="224"/>
      <c r="B51" s="224"/>
    </row>
    <row r="52" spans="1:3" s="268" customFormat="1">
      <c r="A52" s="224"/>
      <c r="B52" s="224"/>
      <c r="C52" s="224"/>
    </row>
    <row r="53" spans="1:3" s="268" customFormat="1">
      <c r="A53" s="224"/>
      <c r="B53" s="224"/>
    </row>
    <row r="54" spans="1:3" s="268" customFormat="1">
      <c r="A54" s="224"/>
      <c r="B54" s="224"/>
    </row>
    <row r="55" spans="1:3" s="268" customFormat="1">
      <c r="A55" s="224"/>
      <c r="B55" s="224"/>
    </row>
    <row r="56" spans="1:3" s="268" customFormat="1">
      <c r="A56" s="224"/>
      <c r="B56" s="224"/>
    </row>
    <row r="57" spans="1:3" s="268" customFormat="1">
      <c r="A57" s="224"/>
      <c r="B57" s="224"/>
    </row>
    <row r="58" spans="1:3" s="268" customFormat="1">
      <c r="A58" s="224"/>
      <c r="B58" s="224"/>
      <c r="C58" s="233"/>
    </row>
    <row r="59" spans="1:3" s="268" customFormat="1">
      <c r="A59" s="224"/>
      <c r="B59" s="224"/>
      <c r="C59" s="224"/>
    </row>
    <row r="60" spans="1:3" s="268" customFormat="1">
      <c r="A60" s="224"/>
      <c r="B60" s="224"/>
      <c r="C60" s="224"/>
    </row>
    <row r="61" spans="1:3" s="268" customFormat="1">
      <c r="A61" s="224"/>
      <c r="B61" s="224"/>
      <c r="C61" s="224"/>
    </row>
    <row r="62" spans="1:3" s="268" customFormat="1">
      <c r="A62" s="224"/>
      <c r="B62" s="224"/>
      <c r="C62" s="238"/>
    </row>
    <row r="63" spans="1:3" s="268" customFormat="1">
      <c r="A63" s="224"/>
      <c r="B63" s="224"/>
      <c r="C63" s="237"/>
    </row>
    <row r="64" spans="1:3" s="268" customFormat="1">
      <c r="A64" s="224"/>
      <c r="B64" s="224"/>
      <c r="C64" s="237"/>
    </row>
    <row r="65" spans="1:4" s="268" customFormat="1">
      <c r="A65" s="224"/>
      <c r="B65" s="224"/>
      <c r="C65" s="237"/>
    </row>
    <row r="66" spans="1:4" s="268" customFormat="1">
      <c r="A66" s="224"/>
      <c r="B66" s="224"/>
      <c r="C66" s="237"/>
    </row>
    <row r="67" spans="1:4" s="268" customFormat="1">
      <c r="A67" s="224"/>
      <c r="B67" s="224"/>
      <c r="C67" s="237"/>
    </row>
    <row r="68" spans="1:4" s="268" customFormat="1">
      <c r="A68" s="224"/>
      <c r="B68" s="224"/>
      <c r="C68" s="237"/>
    </row>
    <row r="69" spans="1:4" s="268" customFormat="1">
      <c r="A69" s="224"/>
      <c r="B69" s="224"/>
      <c r="C69" s="237"/>
    </row>
    <row r="70" spans="1:4" s="268" customFormat="1">
      <c r="A70" s="224"/>
      <c r="B70" s="224"/>
      <c r="C70" s="237"/>
    </row>
    <row r="71" spans="1:4" s="268" customFormat="1">
      <c r="A71" s="224"/>
      <c r="B71" s="224"/>
      <c r="C71" s="237"/>
    </row>
    <row r="72" spans="1:4" s="268" customFormat="1">
      <c r="A72" s="224"/>
      <c r="B72" s="224"/>
      <c r="C72" s="237"/>
    </row>
    <row r="73" spans="1:4" s="268" customFormat="1">
      <c r="A73" s="224"/>
      <c r="B73" s="224"/>
      <c r="C73" s="237"/>
    </row>
    <row r="74" spans="1:4" s="268" customFormat="1">
      <c r="A74" s="224"/>
      <c r="B74" s="224"/>
      <c r="C74" s="237"/>
    </row>
    <row r="75" spans="1:4" s="268" customFormat="1">
      <c r="A75" s="224"/>
      <c r="B75" s="224"/>
      <c r="C75" s="185"/>
      <c r="D75" s="185"/>
    </row>
    <row r="76" spans="1:4" s="268" customFormat="1">
      <c r="A76" s="224"/>
      <c r="B76" s="224"/>
    </row>
    <row r="77" spans="1:4" s="268" customFormat="1">
      <c r="B77" s="224"/>
    </row>
    <row r="78" spans="1:4" s="268" customFormat="1"/>
    <row r="79" spans="1:4" s="268" customFormat="1">
      <c r="A79" s="224"/>
      <c r="C79" s="224"/>
    </row>
    <row r="80" spans="1:4" s="268" customFormat="1">
      <c r="A80" s="224"/>
      <c r="B80" s="224"/>
      <c r="C80" s="224"/>
    </row>
    <row r="81" spans="1:34" s="268" customFormat="1">
      <c r="A81" s="224"/>
      <c r="B81" s="224"/>
      <c r="C81" s="224"/>
    </row>
    <row r="82" spans="1:34" s="268" customFormat="1">
      <c r="A82" s="224"/>
      <c r="B82" s="224"/>
      <c r="C82" s="224"/>
    </row>
    <row r="83" spans="1:34" s="268" customFormat="1">
      <c r="A83" s="224"/>
      <c r="B83" s="224"/>
    </row>
    <row r="84" spans="1:34" s="268" customFormat="1">
      <c r="A84" s="224"/>
      <c r="B84" s="199"/>
    </row>
    <row r="85" spans="1:34" s="268" customFormat="1">
      <c r="A85" s="224"/>
      <c r="B85" s="224"/>
      <c r="C85" s="236"/>
    </row>
    <row r="86" spans="1:34" s="268" customFormat="1">
      <c r="A86" s="224"/>
      <c r="B86" s="224"/>
    </row>
    <row r="87" spans="1:34" s="268" customFormat="1">
      <c r="A87" s="224"/>
      <c r="B87" s="224"/>
    </row>
    <row r="88" spans="1:34">
      <c r="A88" s="239"/>
      <c r="B88" s="224"/>
      <c r="C88" s="268"/>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row>
    <row r="89" spans="1:34">
      <c r="A89" s="239"/>
      <c r="B89" s="239"/>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row>
    <row r="90" spans="1:34">
      <c r="A90" s="239"/>
      <c r="B90" s="239"/>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row>
    <row r="91" spans="1:34">
      <c r="A91" s="239"/>
      <c r="B91" s="239"/>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row>
    <row r="92" spans="1:34">
      <c r="A92" s="239"/>
      <c r="B92" s="239"/>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row>
    <row r="93" spans="1:34">
      <c r="A93" s="239"/>
      <c r="B93" s="239"/>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row>
    <row r="94" spans="1:34">
      <c r="A94" s="239"/>
      <c r="B94" s="239"/>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row>
    <row r="95" spans="1:34">
      <c r="A95" s="239"/>
      <c r="B95" s="239"/>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row>
    <row r="96" spans="1:34">
      <c r="A96" s="239"/>
      <c r="B96" s="239"/>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row>
    <row r="97" spans="1:34">
      <c r="A97" s="239"/>
      <c r="B97" s="239"/>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row>
    <row r="98" spans="1:34">
      <c r="A98" s="239"/>
      <c r="B98" s="239"/>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row>
    <row r="99" spans="1:34">
      <c r="A99" s="239"/>
      <c r="B99" s="239"/>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row>
    <row r="100" spans="1:34">
      <c r="A100" s="239"/>
      <c r="B100" s="239"/>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row>
    <row r="101" spans="1:34">
      <c r="A101" s="239"/>
      <c r="B101" s="239"/>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row>
    <row r="102" spans="1:34">
      <c r="A102" s="239"/>
      <c r="B102" s="239"/>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row>
    <row r="103" spans="1:34">
      <c r="A103" s="239"/>
      <c r="B103" s="239"/>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row>
    <row r="104" spans="1:34">
      <c r="A104" s="239"/>
      <c r="B104" s="239"/>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row>
    <row r="105" spans="1:34">
      <c r="A105" s="239"/>
      <c r="B105" s="239"/>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row>
    <row r="106" spans="1:34">
      <c r="A106" s="239"/>
      <c r="B106" s="239"/>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row>
    <row r="107" spans="1:34">
      <c r="A107" s="239"/>
      <c r="B107" s="239"/>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row>
    <row r="108" spans="1:34">
      <c r="A108" s="239"/>
      <c r="B108" s="239"/>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row>
    <row r="109" spans="1:34">
      <c r="A109" s="239"/>
      <c r="B109" s="239"/>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row>
    <row r="110" spans="1:34">
      <c r="A110" s="239"/>
      <c r="B110" s="239"/>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row>
    <row r="111" spans="1:34">
      <c r="A111" s="239"/>
      <c r="B111" s="239"/>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row>
    <row r="112" spans="1:34">
      <c r="A112" s="239"/>
      <c r="B112" s="239"/>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row>
    <row r="113" spans="1:34">
      <c r="A113" s="239"/>
      <c r="B113" s="239"/>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row>
    <row r="114" spans="1:34">
      <c r="A114" s="239"/>
      <c r="B114" s="239"/>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row>
    <row r="115" spans="1:34">
      <c r="A115" s="239"/>
      <c r="B115" s="239"/>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row>
    <row r="116" spans="1:34">
      <c r="A116" s="239"/>
      <c r="B116" s="239"/>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row>
    <row r="117" spans="1:34">
      <c r="A117" s="239"/>
      <c r="B117" s="239"/>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row>
    <row r="118" spans="1:34">
      <c r="A118" s="239"/>
      <c r="B118" s="239"/>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row>
    <row r="119" spans="1:34">
      <c r="A119" s="239"/>
      <c r="B119" s="239"/>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row>
    <row r="120" spans="1:34">
      <c r="A120" s="239"/>
      <c r="B120" s="239"/>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row>
    <row r="121" spans="1:34">
      <c r="A121" s="239"/>
      <c r="B121" s="239"/>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row>
    <row r="122" spans="1:34">
      <c r="A122" s="239"/>
      <c r="B122" s="239"/>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row>
    <row r="123" spans="1:34">
      <c r="A123" s="239"/>
      <c r="B123" s="239"/>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row>
    <row r="124" spans="1:34">
      <c r="A124" s="239"/>
      <c r="B124" s="239"/>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row>
    <row r="125" spans="1:34">
      <c r="A125" s="239"/>
      <c r="B125" s="239"/>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row>
    <row r="126" spans="1:34">
      <c r="A126" s="239"/>
      <c r="B126" s="239"/>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row>
    <row r="127" spans="1:34">
      <c r="A127" s="239"/>
      <c r="B127" s="239"/>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row>
    <row r="128" spans="1:34">
      <c r="A128" s="239"/>
      <c r="B128" s="239"/>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row>
    <row r="129" spans="1:34">
      <c r="A129" s="239"/>
      <c r="B129" s="239"/>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row>
    <row r="130" spans="1:34">
      <c r="A130" s="239"/>
      <c r="B130" s="239"/>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row>
    <row r="131" spans="1:34">
      <c r="A131" s="239"/>
      <c r="B131" s="239"/>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row>
    <row r="132" spans="1:34">
      <c r="A132" s="239"/>
      <c r="B132" s="239"/>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row>
    <row r="133" spans="1:34">
      <c r="A133" s="239"/>
      <c r="B133" s="239"/>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row>
    <row r="134" spans="1:34">
      <c r="A134" s="239"/>
      <c r="B134" s="239"/>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row>
    <row r="135" spans="1:34">
      <c r="A135" s="239"/>
      <c r="B135" s="239"/>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row>
    <row r="136" spans="1:34">
      <c r="A136" s="239"/>
      <c r="B136" s="239"/>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row>
    <row r="137" spans="1:34">
      <c r="A137" s="239"/>
      <c r="B137" s="239"/>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row>
    <row r="138" spans="1:34">
      <c r="A138" s="239"/>
      <c r="B138" s="239"/>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row>
    <row r="139" spans="1:34">
      <c r="A139" s="239"/>
      <c r="B139" s="239"/>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row>
    <row r="140" spans="1:34">
      <c r="A140" s="239"/>
      <c r="B140" s="239"/>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row>
    <row r="141" spans="1:34">
      <c r="A141" s="239"/>
      <c r="B141" s="239"/>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row>
    <row r="142" spans="1:34">
      <c r="A142" s="239"/>
      <c r="B142" s="239"/>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row>
    <row r="143" spans="1:34">
      <c r="A143" s="239"/>
      <c r="B143" s="239"/>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row>
    <row r="144" spans="1:34">
      <c r="A144" s="239"/>
      <c r="B144" s="239"/>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row>
    <row r="145" spans="1:34" s="231" customFormat="1">
      <c r="A145" s="239"/>
      <c r="B145" s="239"/>
      <c r="C145" s="80"/>
      <c r="D145" s="80"/>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row>
    <row r="146" spans="1:34">
      <c r="A146" s="239"/>
      <c r="B146" s="239"/>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row>
    <row r="147" spans="1:34">
      <c r="A147" s="224"/>
      <c r="B147" s="239"/>
      <c r="C147" s="80"/>
      <c r="D147" s="268"/>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row>
    <row r="148" spans="1:34">
      <c r="A148" s="224"/>
      <c r="B148" s="224"/>
      <c r="C148" s="268"/>
      <c r="D148" s="268"/>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row>
    <row r="149" spans="1:34">
      <c r="A149" s="224"/>
      <c r="B149" s="224"/>
      <c r="C149" s="268"/>
      <c r="D149" s="268"/>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row>
    <row r="150" spans="1:34">
      <c r="A150" s="224"/>
      <c r="B150" s="224"/>
      <c r="C150" s="268"/>
      <c r="D150" s="268"/>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row>
    <row r="151" spans="1:34">
      <c r="A151" s="224"/>
      <c r="B151" s="224"/>
      <c r="C151" s="268"/>
      <c r="D151" s="268"/>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row>
    <row r="152" spans="1:34">
      <c r="A152" s="224"/>
      <c r="B152" s="224"/>
      <c r="C152" s="268"/>
      <c r="D152" s="268"/>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row>
    <row r="153" spans="1:34">
      <c r="A153" s="224"/>
      <c r="B153" s="224"/>
      <c r="C153" s="268"/>
      <c r="D153" s="268"/>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row>
    <row r="154" spans="1:34">
      <c r="A154" s="224"/>
      <c r="B154" s="224"/>
      <c r="C154" s="268"/>
      <c r="D154" s="268"/>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row>
    <row r="155" spans="1:34">
      <c r="A155" s="224"/>
      <c r="B155" s="224"/>
      <c r="C155" s="268"/>
      <c r="D155" s="268"/>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row>
    <row r="156" spans="1:34">
      <c r="A156" s="239"/>
      <c r="B156" s="224"/>
      <c r="C156" s="268"/>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row>
    <row r="157" spans="1:34">
      <c r="A157" s="239"/>
      <c r="B157" s="239"/>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row>
    <row r="158" spans="1:34">
      <c r="A158" s="239"/>
      <c r="B158" s="239"/>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row>
    <row r="159" spans="1:34">
      <c r="A159" s="239"/>
      <c r="B159" s="239"/>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row>
    <row r="160" spans="1:34">
      <c r="A160" s="239"/>
      <c r="B160" s="239"/>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row>
    <row r="161" spans="1:34">
      <c r="A161" s="239"/>
      <c r="B161" s="239"/>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row>
    <row r="162" spans="1:34">
      <c r="A162" s="239"/>
      <c r="B162" s="239"/>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row>
    <row r="163" spans="1:34">
      <c r="A163" s="239"/>
      <c r="B163" s="239"/>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row>
    <row r="164" spans="1:34">
      <c r="A164" s="239"/>
      <c r="B164" s="239"/>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row>
    <row r="165" spans="1:34">
      <c r="A165" s="239"/>
      <c r="B165" s="239"/>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row>
  </sheetData>
  <mergeCells count="5">
    <mergeCell ref="A26:D26"/>
    <mergeCell ref="A1:D1"/>
    <mergeCell ref="A3:D3"/>
    <mergeCell ref="A2:D2"/>
    <mergeCell ref="A25:D25"/>
  </mergeCells>
  <printOptions horizontalCentered="1"/>
  <pageMargins left="0.7" right="0.7" top="0.7" bottom="0.7" header="0.3" footer="0.5"/>
  <pageSetup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223"/>
  <sheetViews>
    <sheetView zoomScale="90" zoomScaleNormal="90" workbookViewId="0">
      <selection activeCell="L6" sqref="L6"/>
    </sheetView>
  </sheetViews>
  <sheetFormatPr defaultColWidth="9.109375" defaultRowHeight="13.2"/>
  <cols>
    <col min="1" max="1" width="5.6640625" style="738" customWidth="1"/>
    <col min="2" max="2" width="8.5546875" style="738" customWidth="1"/>
    <col min="3" max="3" width="30.5546875" style="738" customWidth="1"/>
    <col min="4" max="4" width="15.33203125" style="738" customWidth="1"/>
    <col min="5" max="5" width="15.44140625" style="181" customWidth="1"/>
    <col min="6" max="6" width="14" style="181" customWidth="1"/>
    <col min="7" max="7" width="14" style="563" customWidth="1"/>
    <col min="8" max="8" width="16.88671875" style="563" bestFit="1" customWidth="1"/>
    <col min="9" max="11" width="14" style="563" customWidth="1"/>
    <col min="12" max="12" width="16.88671875" style="563" bestFit="1" customWidth="1"/>
    <col min="13" max="13" width="14" style="563" customWidth="1"/>
    <col min="14" max="14" width="72.5546875" style="563" customWidth="1"/>
    <col min="15" max="17" width="9.109375" style="181"/>
    <col min="18" max="18" width="10.33203125" style="181" bestFit="1" customWidth="1"/>
    <col min="19" max="16384" width="9.109375" style="181"/>
  </cols>
  <sheetData>
    <row r="1" spans="1:17">
      <c r="A1" s="2085" t="str">
        <f>+'MISO Cover'!C6</f>
        <v>Entergy New Orleans, Inc.</v>
      </c>
      <c r="B1" s="2085"/>
      <c r="C1" s="2085"/>
      <c r="D1" s="2085"/>
      <c r="E1" s="2085"/>
      <c r="F1" s="2085"/>
      <c r="G1" s="2085"/>
      <c r="H1" s="2085"/>
      <c r="I1" s="2085"/>
      <c r="J1" s="2085"/>
      <c r="K1" s="2085"/>
      <c r="L1" s="2085"/>
      <c r="M1" s="2085"/>
      <c r="N1" s="2085"/>
    </row>
    <row r="2" spans="1:17" s="563" customFormat="1" ht="15" customHeight="1">
      <c r="A2" s="2086" t="s">
        <v>674</v>
      </c>
      <c r="B2" s="2086"/>
      <c r="C2" s="2086"/>
      <c r="D2" s="2086"/>
      <c r="E2" s="2086"/>
      <c r="F2" s="2086"/>
      <c r="G2" s="2086"/>
      <c r="H2" s="2086"/>
      <c r="I2" s="2086"/>
      <c r="J2" s="2086"/>
      <c r="K2" s="2086"/>
      <c r="L2" s="2086"/>
      <c r="M2" s="2086"/>
      <c r="N2" s="2086"/>
    </row>
    <row r="3" spans="1:17">
      <c r="A3" s="2085" t="str">
        <f>+'MISO Cover'!K4</f>
        <v>For  the 12 Months Ended 12/31/2016</v>
      </c>
      <c r="B3" s="2085"/>
      <c r="C3" s="2085"/>
      <c r="D3" s="2085"/>
      <c r="E3" s="2085"/>
      <c r="F3" s="2085"/>
      <c r="G3" s="2085"/>
      <c r="H3" s="2085"/>
      <c r="I3" s="2085"/>
      <c r="J3" s="2085"/>
      <c r="K3" s="2085"/>
      <c r="L3" s="2085"/>
      <c r="M3" s="2085"/>
      <c r="N3" s="2085"/>
      <c r="O3" s="213"/>
      <c r="P3" s="213"/>
      <c r="Q3" s="213"/>
    </row>
    <row r="4" spans="1:17">
      <c r="A4" s="2091" t="s">
        <v>151</v>
      </c>
      <c r="B4" s="1426"/>
      <c r="C4" s="1426"/>
      <c r="D4" s="1426"/>
      <c r="O4" s="213"/>
      <c r="P4" s="213"/>
      <c r="Q4" s="213"/>
    </row>
    <row r="5" spans="1:17" s="563" customFormat="1">
      <c r="A5" s="2091"/>
      <c r="B5" s="1427" t="s">
        <v>68</v>
      </c>
      <c r="C5" s="1427" t="s">
        <v>115</v>
      </c>
      <c r="D5" s="1427" t="s">
        <v>56</v>
      </c>
      <c r="E5" s="1427" t="s">
        <v>69</v>
      </c>
      <c r="F5" s="1427" t="s">
        <v>67</v>
      </c>
      <c r="G5" s="1427" t="s">
        <v>157</v>
      </c>
      <c r="H5" s="1427" t="s">
        <v>70</v>
      </c>
      <c r="I5" s="1427" t="s">
        <v>170</v>
      </c>
      <c r="J5" s="1427" t="s">
        <v>416</v>
      </c>
      <c r="K5" s="1427" t="s">
        <v>61</v>
      </c>
      <c r="L5" s="1427" t="s">
        <v>72</v>
      </c>
      <c r="M5" s="1427" t="s">
        <v>99</v>
      </c>
      <c r="N5" s="1427" t="s">
        <v>100</v>
      </c>
    </row>
    <row r="6" spans="1:17" ht="16.8">
      <c r="A6" s="985"/>
      <c r="B6" s="1426"/>
      <c r="C6" s="1426"/>
      <c r="D6" s="1426"/>
      <c r="E6" s="1437"/>
      <c r="F6" s="2092" t="s">
        <v>421</v>
      </c>
      <c r="G6" s="2092"/>
      <c r="H6" s="2092"/>
      <c r="I6" s="2093"/>
      <c r="J6" s="2094" t="s">
        <v>422</v>
      </c>
      <c r="K6" s="2092"/>
      <c r="L6" s="2092"/>
      <c r="M6" s="2093"/>
      <c r="O6" s="1428"/>
    </row>
    <row r="7" spans="1:17" ht="35.4" customHeight="1">
      <c r="A7" s="985">
        <v>1</v>
      </c>
      <c r="B7" s="181"/>
      <c r="C7" s="985"/>
      <c r="D7" s="1494" t="s">
        <v>166</v>
      </c>
      <c r="E7" s="1495" t="s">
        <v>161</v>
      </c>
      <c r="F7" s="1500" t="s">
        <v>419</v>
      </c>
      <c r="G7" s="1496" t="s">
        <v>420</v>
      </c>
      <c r="H7" s="1496" t="s">
        <v>147</v>
      </c>
      <c r="I7" s="1495" t="s">
        <v>148</v>
      </c>
      <c r="J7" s="1500" t="s">
        <v>419</v>
      </c>
      <c r="K7" s="1496" t="s">
        <v>420</v>
      </c>
      <c r="L7" s="1497" t="s">
        <v>147</v>
      </c>
      <c r="M7" s="1495" t="s">
        <v>148</v>
      </c>
      <c r="N7" s="1429" t="s">
        <v>423</v>
      </c>
    </row>
    <row r="8" spans="1:17" ht="16.8">
      <c r="A8" s="985">
        <f>+A7+1</f>
        <v>2</v>
      </c>
      <c r="B8" s="1430"/>
      <c r="C8" s="985"/>
      <c r="D8" s="985"/>
      <c r="E8" s="1438"/>
      <c r="F8" s="2094" t="s">
        <v>436</v>
      </c>
      <c r="G8" s="2092"/>
      <c r="H8" s="2092"/>
      <c r="I8" s="2093"/>
      <c r="J8" s="2094" t="s">
        <v>718</v>
      </c>
      <c r="K8" s="2092"/>
      <c r="L8" s="2092"/>
      <c r="M8" s="2093"/>
      <c r="N8" s="181"/>
    </row>
    <row r="9" spans="1:17">
      <c r="A9" s="985">
        <f t="shared" ref="A9:A17" si="0">+A8+1</f>
        <v>3</v>
      </c>
      <c r="C9" s="985"/>
      <c r="D9" s="985"/>
      <c r="E9" s="1441" t="s">
        <v>138</v>
      </c>
      <c r="F9" s="1440">
        <f t="shared" ref="F9:M9" si="1">+F110</f>
        <v>62012268.295000039</v>
      </c>
      <c r="G9" s="976">
        <f t="shared" si="1"/>
        <v>0</v>
      </c>
      <c r="H9" s="976">
        <f t="shared" si="1"/>
        <v>26367396.234999999</v>
      </c>
      <c r="I9" s="1431">
        <f t="shared" si="1"/>
        <v>-7122576.1749999989</v>
      </c>
      <c r="J9" s="1440">
        <f t="shared" si="1"/>
        <v>63330694.080000021</v>
      </c>
      <c r="K9" s="976">
        <f t="shared" si="1"/>
        <v>0</v>
      </c>
      <c r="L9" s="976">
        <f t="shared" si="1"/>
        <v>34495045.469999999</v>
      </c>
      <c r="M9" s="1431">
        <f t="shared" si="1"/>
        <v>-7078185.3900000015</v>
      </c>
      <c r="N9" s="976" t="str">
        <f>+"Ln "&amp;A110</f>
        <v>Ln 15</v>
      </c>
    </row>
    <row r="10" spans="1:17">
      <c r="A10" s="985">
        <f t="shared" si="0"/>
        <v>4</v>
      </c>
      <c r="C10" s="985"/>
      <c r="D10" s="985"/>
      <c r="E10" s="1441" t="s">
        <v>223</v>
      </c>
      <c r="F10" s="959">
        <v>0</v>
      </c>
      <c r="G10" s="959">
        <v>0</v>
      </c>
      <c r="H10" s="959">
        <v>0</v>
      </c>
      <c r="I10" s="1431">
        <v>0</v>
      </c>
      <c r="J10" s="1440">
        <v>0</v>
      </c>
      <c r="K10" s="976">
        <v>0</v>
      </c>
      <c r="L10" s="976">
        <v>0</v>
      </c>
      <c r="M10" s="1431">
        <v>0</v>
      </c>
      <c r="N10" s="563" t="s">
        <v>997</v>
      </c>
    </row>
    <row r="11" spans="1:17">
      <c r="A11" s="985">
        <f t="shared" si="0"/>
        <v>5</v>
      </c>
      <c r="C11" s="985"/>
      <c r="D11" s="985"/>
      <c r="E11" s="1441" t="s">
        <v>139</v>
      </c>
      <c r="F11" s="959">
        <f>+F164</f>
        <v>-63600645.544999994</v>
      </c>
      <c r="G11" s="959">
        <f t="shared" ref="G11:M11" si="2">+G164</f>
        <v>-212944.125</v>
      </c>
      <c r="H11" s="959">
        <f t="shared" si="2"/>
        <v>-113120923.95222221</v>
      </c>
      <c r="I11" s="1431">
        <f t="shared" si="2"/>
        <v>-4532333.4950000001</v>
      </c>
      <c r="J11" s="1440">
        <f t="shared" si="2"/>
        <v>-64337075.140000001</v>
      </c>
      <c r="K11" s="976">
        <f t="shared" si="2"/>
        <v>-125977.45</v>
      </c>
      <c r="L11" s="976">
        <f t="shared" si="2"/>
        <v>-119379068.20967081</v>
      </c>
      <c r="M11" s="1431">
        <f t="shared" si="2"/>
        <v>-4436638.67</v>
      </c>
      <c r="N11" s="976" t="str">
        <f>+"Ln "&amp;A164</f>
        <v>Ln 22</v>
      </c>
    </row>
    <row r="12" spans="1:17" ht="15">
      <c r="A12" s="985">
        <f t="shared" si="0"/>
        <v>6</v>
      </c>
      <c r="C12" s="985"/>
      <c r="D12" s="985"/>
      <c r="E12" s="1441" t="s">
        <v>140</v>
      </c>
      <c r="F12" s="1432">
        <f>+F213</f>
        <v>-147894719.63499996</v>
      </c>
      <c r="G12" s="1432">
        <f t="shared" ref="G12:M12" si="3">+G213</f>
        <v>-2090464.1149999998</v>
      </c>
      <c r="H12" s="1432">
        <f t="shared" si="3"/>
        <v>-1444759.8800000001</v>
      </c>
      <c r="I12" s="1433">
        <f t="shared" si="3"/>
        <v>0</v>
      </c>
      <c r="J12" s="1501">
        <f t="shared" si="3"/>
        <v>-207128878.74000001</v>
      </c>
      <c r="K12" s="1439">
        <f t="shared" si="3"/>
        <v>-1910149.69</v>
      </c>
      <c r="L12" s="1439">
        <f t="shared" si="3"/>
        <v>-1600368.79</v>
      </c>
      <c r="M12" s="1433">
        <f t="shared" si="3"/>
        <v>0</v>
      </c>
      <c r="N12" s="976" t="str">
        <f>+"Ln "&amp;A213</f>
        <v>Ln 28</v>
      </c>
    </row>
    <row r="13" spans="1:17">
      <c r="A13" s="985">
        <f t="shared" si="0"/>
        <v>7</v>
      </c>
      <c r="C13" s="985"/>
      <c r="D13" s="985"/>
      <c r="E13" s="1441" t="s">
        <v>418</v>
      </c>
      <c r="F13" s="1434">
        <f t="shared" ref="F13:M13" si="4">+SUM(F9:F12)</f>
        <v>-149483096.88499993</v>
      </c>
      <c r="G13" s="1434">
        <f t="shared" si="4"/>
        <v>-2303408.2399999998</v>
      </c>
      <c r="H13" s="1434">
        <f t="shared" si="4"/>
        <v>-88198287.597222209</v>
      </c>
      <c r="I13" s="1435">
        <f t="shared" si="4"/>
        <v>-11654909.669999998</v>
      </c>
      <c r="J13" s="1502">
        <f t="shared" si="4"/>
        <v>-208135259.79999998</v>
      </c>
      <c r="K13" s="1436">
        <f t="shared" si="4"/>
        <v>-2036127.14</v>
      </c>
      <c r="L13" s="1436">
        <f t="shared" si="4"/>
        <v>-86484391.52967082</v>
      </c>
      <c r="M13" s="1435">
        <f t="shared" si="4"/>
        <v>-11514824.060000002</v>
      </c>
      <c r="N13" s="1436" t="str">
        <f>+"Sum of Ln "&amp;A9&amp;" + "&amp;A10&amp;" + "&amp;A11&amp;" + "&amp;A12</f>
        <v>Sum of Ln 3 + 4 + 5 + 6</v>
      </c>
    </row>
    <row r="14" spans="1:17">
      <c r="A14" s="985">
        <f t="shared" si="0"/>
        <v>8</v>
      </c>
      <c r="B14" s="181"/>
      <c r="C14" s="985"/>
      <c r="D14" s="985"/>
      <c r="E14" s="1441"/>
      <c r="F14" s="1434"/>
      <c r="G14" s="1434"/>
      <c r="H14" s="1434"/>
      <c r="I14" s="1435"/>
      <c r="J14" s="1502"/>
      <c r="K14" s="1436"/>
      <c r="L14" s="1436"/>
      <c r="M14" s="1435"/>
    </row>
    <row r="15" spans="1:17" ht="16.8">
      <c r="A15" s="985">
        <f t="shared" si="0"/>
        <v>9</v>
      </c>
      <c r="B15" s="1426"/>
      <c r="C15" s="1426"/>
      <c r="D15" s="1426"/>
      <c r="E15" s="1437"/>
      <c r="F15" s="2092" t="s">
        <v>421</v>
      </c>
      <c r="G15" s="2092"/>
      <c r="H15" s="2092"/>
      <c r="I15" s="2093"/>
      <c r="J15" s="2094" t="s">
        <v>422</v>
      </c>
      <c r="K15" s="2092"/>
      <c r="L15" s="2092"/>
      <c r="M15" s="2093"/>
    </row>
    <row r="16" spans="1:17" ht="33.6">
      <c r="A16" s="985">
        <f t="shared" si="0"/>
        <v>10</v>
      </c>
      <c r="C16" s="985"/>
      <c r="D16" s="1494" t="s">
        <v>166</v>
      </c>
      <c r="E16" s="1495" t="s">
        <v>161</v>
      </c>
      <c r="F16" s="1494" t="s">
        <v>419</v>
      </c>
      <c r="G16" s="1494" t="s">
        <v>420</v>
      </c>
      <c r="H16" s="1494" t="s">
        <v>147</v>
      </c>
      <c r="I16" s="1495" t="s">
        <v>148</v>
      </c>
      <c r="J16" s="1496" t="s">
        <v>419</v>
      </c>
      <c r="K16" s="1496" t="s">
        <v>420</v>
      </c>
      <c r="L16" s="1496" t="s">
        <v>147</v>
      </c>
      <c r="M16" s="1495" t="s">
        <v>148</v>
      </c>
      <c r="N16" s="1429" t="s">
        <v>50</v>
      </c>
    </row>
    <row r="17" spans="1:14" ht="16.8">
      <c r="A17" s="985">
        <f t="shared" si="0"/>
        <v>11</v>
      </c>
      <c r="B17" s="1430" t="s">
        <v>138</v>
      </c>
      <c r="C17" s="985"/>
      <c r="D17" s="985"/>
      <c r="E17" s="1438"/>
      <c r="F17" s="2092" t="str">
        <f>F8</f>
        <v>Average of BOY/EOY (Col (C+D)/2)</v>
      </c>
      <c r="G17" s="2092"/>
      <c r="H17" s="2092"/>
      <c r="I17" s="2093"/>
      <c r="J17" s="2092" t="str">
        <f>J8</f>
        <v>EOY (Col D)</v>
      </c>
      <c r="K17" s="2092"/>
      <c r="L17" s="2092"/>
      <c r="M17" s="2093"/>
    </row>
    <row r="18" spans="1:14" s="187" customFormat="1">
      <c r="A18" s="889">
        <f t="shared" ref="A18:A81" si="5">+A17+0.01</f>
        <v>11.01</v>
      </c>
      <c r="B18" s="1560" t="s">
        <v>1018</v>
      </c>
      <c r="C18" s="179"/>
      <c r="D18" s="1488">
        <v>-19.059999999997672</v>
      </c>
      <c r="E18" s="1488">
        <v>-19.059999999997672</v>
      </c>
      <c r="F18" s="1499">
        <f>+SUM($D18:$E18)/2</f>
        <v>-19.059999999997672</v>
      </c>
      <c r="G18" s="154"/>
      <c r="H18" s="154"/>
      <c r="I18" s="1531"/>
      <c r="J18" s="1499">
        <f t="shared" ref="J18:J23" si="6">+E18</f>
        <v>-19.059999999997672</v>
      </c>
      <c r="K18" s="154"/>
      <c r="L18" s="154"/>
      <c r="M18" s="1531"/>
      <c r="N18" s="1489" t="s">
        <v>933</v>
      </c>
    </row>
    <row r="19" spans="1:14" s="187" customFormat="1">
      <c r="A19" s="889">
        <f t="shared" si="5"/>
        <v>11.02</v>
      </c>
      <c r="B19" s="1560" t="s">
        <v>1019</v>
      </c>
      <c r="C19" s="179"/>
      <c r="D19" s="1488">
        <v>-3.1199999999989814</v>
      </c>
      <c r="E19" s="1488">
        <v>-3.1199999999989814</v>
      </c>
      <c r="F19" s="1499">
        <f t="shared" ref="F19:F23" si="7">+SUM($D19:$E19)/2</f>
        <v>-3.1199999999989814</v>
      </c>
      <c r="G19" s="154"/>
      <c r="H19" s="154"/>
      <c r="I19" s="1531"/>
      <c r="J19" s="1499">
        <f t="shared" si="6"/>
        <v>-3.1199999999989814</v>
      </c>
      <c r="K19" s="154"/>
      <c r="L19" s="154"/>
      <c r="M19" s="1531"/>
      <c r="N19" s="1489" t="s">
        <v>221</v>
      </c>
    </row>
    <row r="20" spans="1:14" s="187" customFormat="1">
      <c r="A20" s="889">
        <f t="shared" si="5"/>
        <v>11.03</v>
      </c>
      <c r="B20" s="1560" t="s">
        <v>1020</v>
      </c>
      <c r="C20" s="179"/>
      <c r="D20" s="1488">
        <v>1063750.53</v>
      </c>
      <c r="E20" s="1488">
        <v>2270004.27</v>
      </c>
      <c r="F20" s="1499">
        <f t="shared" si="7"/>
        <v>1666877.4</v>
      </c>
      <c r="G20" s="154"/>
      <c r="H20" s="154"/>
      <c r="I20" s="1531"/>
      <c r="J20" s="1499">
        <f t="shared" si="6"/>
        <v>2270004.27</v>
      </c>
      <c r="K20" s="154"/>
      <c r="L20" s="154"/>
      <c r="M20" s="1531"/>
      <c r="N20" s="1489" t="s">
        <v>222</v>
      </c>
    </row>
    <row r="21" spans="1:14" s="187" customFormat="1">
      <c r="A21" s="889">
        <f t="shared" si="5"/>
        <v>11.04</v>
      </c>
      <c r="B21" s="1560" t="s">
        <v>1021</v>
      </c>
      <c r="C21" s="179"/>
      <c r="D21" s="1488">
        <v>171785.8</v>
      </c>
      <c r="E21" s="1488">
        <v>366584.52</v>
      </c>
      <c r="F21" s="1499">
        <f t="shared" si="7"/>
        <v>269185.16000000003</v>
      </c>
      <c r="G21" s="154"/>
      <c r="H21" s="154"/>
      <c r="I21" s="1531"/>
      <c r="J21" s="1499">
        <f t="shared" si="6"/>
        <v>366584.52</v>
      </c>
      <c r="K21" s="154"/>
      <c r="L21" s="154"/>
      <c r="M21" s="1531"/>
      <c r="N21" s="1489" t="s">
        <v>222</v>
      </c>
    </row>
    <row r="22" spans="1:14" s="187" customFormat="1">
      <c r="A22" s="889">
        <f t="shared" si="5"/>
        <v>11.049999999999999</v>
      </c>
      <c r="B22" s="1560" t="s">
        <v>1022</v>
      </c>
      <c r="C22" s="179"/>
      <c r="D22" s="1488">
        <v>25176716.66</v>
      </c>
      <c r="E22" s="1488">
        <v>25214936.289999999</v>
      </c>
      <c r="F22" s="1499">
        <f t="shared" si="7"/>
        <v>25195826.475000001</v>
      </c>
      <c r="G22" s="154"/>
      <c r="H22" s="154"/>
      <c r="I22" s="1531"/>
      <c r="J22" s="1499">
        <f t="shared" si="6"/>
        <v>25214936.289999999</v>
      </c>
      <c r="K22" s="154"/>
      <c r="L22" s="154"/>
      <c r="M22" s="1531"/>
      <c r="N22" s="1489" t="s">
        <v>195</v>
      </c>
    </row>
    <row r="23" spans="1:14" s="187" customFormat="1">
      <c r="A23" s="889">
        <f t="shared" si="5"/>
        <v>11.059999999999999</v>
      </c>
      <c r="B23" s="1560" t="s">
        <v>1023</v>
      </c>
      <c r="C23" s="179"/>
      <c r="D23" s="1488">
        <v>4065820.97</v>
      </c>
      <c r="E23" s="1488">
        <v>4071993.09</v>
      </c>
      <c r="F23" s="1499">
        <f t="shared" si="7"/>
        <v>4068907.0300000003</v>
      </c>
      <c r="G23" s="154"/>
      <c r="H23" s="154"/>
      <c r="I23" s="1531"/>
      <c r="J23" s="1499">
        <f t="shared" si="6"/>
        <v>4071993.09</v>
      </c>
      <c r="K23" s="154"/>
      <c r="L23" s="154"/>
      <c r="M23" s="1531"/>
      <c r="N23" s="1489" t="s">
        <v>195</v>
      </c>
    </row>
    <row r="24" spans="1:14" s="187" customFormat="1">
      <c r="A24" s="889">
        <f t="shared" si="5"/>
        <v>11.069999999999999</v>
      </c>
      <c r="B24" s="1560" t="s">
        <v>1024</v>
      </c>
      <c r="C24" s="179"/>
      <c r="D24" s="1488">
        <v>132214.75</v>
      </c>
      <c r="E24" s="1488">
        <v>20607.73</v>
      </c>
      <c r="F24" s="1499"/>
      <c r="G24" s="154"/>
      <c r="H24" s="154">
        <f t="shared" ref="H24:H25" si="8">+SUM($D24:$E24)/2</f>
        <v>76411.240000000005</v>
      </c>
      <c r="I24" s="1531"/>
      <c r="J24" s="1499"/>
      <c r="K24" s="154"/>
      <c r="L24" s="154">
        <f>+E24</f>
        <v>20607.73</v>
      </c>
      <c r="M24" s="1531"/>
      <c r="N24" s="1489" t="s">
        <v>196</v>
      </c>
    </row>
    <row r="25" spans="1:14" s="187" customFormat="1">
      <c r="A25" s="889">
        <f t="shared" si="5"/>
        <v>11.079999999999998</v>
      </c>
      <c r="B25" s="1560" t="s">
        <v>1025</v>
      </c>
      <c r="C25" s="179"/>
      <c r="D25" s="1488">
        <v>52790.080000000002</v>
      </c>
      <c r="E25" s="1488">
        <v>32028.2</v>
      </c>
      <c r="F25" s="1499"/>
      <c r="G25" s="154"/>
      <c r="H25" s="154">
        <f t="shared" si="8"/>
        <v>42409.14</v>
      </c>
      <c r="I25" s="1531"/>
      <c r="J25" s="1499"/>
      <c r="K25" s="154"/>
      <c r="L25" s="154">
        <f>+E25</f>
        <v>32028.2</v>
      </c>
      <c r="M25" s="1531"/>
      <c r="N25" s="1489" t="s">
        <v>196</v>
      </c>
    </row>
    <row r="26" spans="1:14" s="187" customFormat="1" ht="26.4">
      <c r="A26" s="889">
        <f t="shared" si="5"/>
        <v>11.089999999999998</v>
      </c>
      <c r="B26" s="1560" t="s">
        <v>1026</v>
      </c>
      <c r="C26" s="179"/>
      <c r="D26" s="1488">
        <v>273161.34000000003</v>
      </c>
      <c r="E26" s="1488">
        <v>272832.06</v>
      </c>
      <c r="F26" s="1499">
        <f t="shared" ref="F26:F27" si="9">+SUM($D26:$E26)/2</f>
        <v>272996.7</v>
      </c>
      <c r="G26" s="154"/>
      <c r="H26" s="154"/>
      <c r="I26" s="1531"/>
      <c r="J26" s="1499">
        <f>E26</f>
        <v>272832.06</v>
      </c>
      <c r="K26" s="154"/>
      <c r="L26" s="154"/>
      <c r="M26" s="1531"/>
      <c r="N26" s="1489" t="s">
        <v>934</v>
      </c>
    </row>
    <row r="27" spans="1:14" s="187" customFormat="1" ht="26.4">
      <c r="A27" s="889">
        <f t="shared" si="5"/>
        <v>11.099999999999998</v>
      </c>
      <c r="B27" s="1560" t="s">
        <v>1027</v>
      </c>
      <c r="C27" s="179"/>
      <c r="D27" s="1488">
        <v>44060.68</v>
      </c>
      <c r="E27" s="1488">
        <v>44059.83</v>
      </c>
      <c r="F27" s="1499">
        <f t="shared" si="9"/>
        <v>44060.255000000005</v>
      </c>
      <c r="G27" s="154"/>
      <c r="H27" s="154"/>
      <c r="I27" s="1531"/>
      <c r="J27" s="1499">
        <f>E27</f>
        <v>44059.83</v>
      </c>
      <c r="K27" s="154"/>
      <c r="L27" s="154"/>
      <c r="M27" s="1531"/>
      <c r="N27" s="1489" t="s">
        <v>934</v>
      </c>
    </row>
    <row r="28" spans="1:14" s="187" customFormat="1">
      <c r="A28" s="889">
        <f t="shared" si="5"/>
        <v>11.109999999999998</v>
      </c>
      <c r="B28" s="1560" t="s">
        <v>1028</v>
      </c>
      <c r="C28" s="179"/>
      <c r="D28" s="1488">
        <v>1756743.67</v>
      </c>
      <c r="E28" s="1488">
        <v>2649389.6399999997</v>
      </c>
      <c r="F28" s="1499"/>
      <c r="G28" s="154"/>
      <c r="H28" s="154"/>
      <c r="I28" s="1531">
        <f t="shared" ref="I28:I29" si="10">+SUM($D28:$E28)/2</f>
        <v>2203066.6549999998</v>
      </c>
      <c r="J28" s="1499"/>
      <c r="K28" s="154"/>
      <c r="L28" s="154"/>
      <c r="M28" s="1531">
        <f>+E28</f>
        <v>2649389.6399999997</v>
      </c>
      <c r="N28" s="1489" t="s">
        <v>197</v>
      </c>
    </row>
    <row r="29" spans="1:14" s="187" customFormat="1">
      <c r="A29" s="889">
        <f t="shared" si="5"/>
        <v>11.119999999999997</v>
      </c>
      <c r="B29" s="1560" t="s">
        <v>1029</v>
      </c>
      <c r="C29" s="179"/>
      <c r="D29" s="1488">
        <v>283684.37</v>
      </c>
      <c r="E29" s="1488">
        <v>427838.38</v>
      </c>
      <c r="F29" s="1499"/>
      <c r="G29" s="154"/>
      <c r="H29" s="154"/>
      <c r="I29" s="1531">
        <f t="shared" si="10"/>
        <v>355761.375</v>
      </c>
      <c r="J29" s="1499"/>
      <c r="K29" s="154"/>
      <c r="L29" s="154"/>
      <c r="M29" s="1531">
        <f>+E29</f>
        <v>427838.38</v>
      </c>
      <c r="N29" s="1489" t="s">
        <v>197</v>
      </c>
    </row>
    <row r="30" spans="1:14" s="187" customFormat="1">
      <c r="A30" s="889">
        <f t="shared" si="5"/>
        <v>11.129999999999997</v>
      </c>
      <c r="B30" s="1560" t="s">
        <v>1030</v>
      </c>
      <c r="C30" s="179"/>
      <c r="D30" s="1488">
        <v>1034127.26</v>
      </c>
      <c r="E30" s="1488">
        <v>2690316.97</v>
      </c>
      <c r="F30" s="1499"/>
      <c r="G30" s="154"/>
      <c r="H30" s="154">
        <f t="shared" ref="H30:H31" si="11">+SUM($D30:$E30)/2</f>
        <v>1862222.1150000002</v>
      </c>
      <c r="I30" s="1531"/>
      <c r="J30" s="1499"/>
      <c r="K30" s="154"/>
      <c r="L30" s="154">
        <f t="shared" ref="L30:L31" si="12">+E30</f>
        <v>2690316.97</v>
      </c>
      <c r="M30" s="1531"/>
      <c r="N30" s="1518" t="s">
        <v>935</v>
      </c>
    </row>
    <row r="31" spans="1:14" s="187" customFormat="1">
      <c r="A31" s="889">
        <f t="shared" si="5"/>
        <v>11.139999999999997</v>
      </c>
      <c r="B31" s="1560" t="s">
        <v>1031</v>
      </c>
      <c r="C31" s="179"/>
      <c r="D31" s="1488">
        <v>169149.26</v>
      </c>
      <c r="E31" s="1488">
        <v>436921.05</v>
      </c>
      <c r="F31" s="1499"/>
      <c r="G31" s="154"/>
      <c r="H31" s="154">
        <f t="shared" si="11"/>
        <v>303035.15500000003</v>
      </c>
      <c r="I31" s="1531"/>
      <c r="J31" s="1499"/>
      <c r="K31" s="154"/>
      <c r="L31" s="154">
        <f t="shared" si="12"/>
        <v>436921.05</v>
      </c>
      <c r="M31" s="1531"/>
      <c r="N31" s="1518" t="s">
        <v>935</v>
      </c>
    </row>
    <row r="32" spans="1:14" s="187" customFormat="1">
      <c r="A32" s="889">
        <f t="shared" si="5"/>
        <v>11.149999999999997</v>
      </c>
      <c r="B32" s="563" t="s">
        <v>1032</v>
      </c>
      <c r="C32" s="179"/>
      <c r="D32" s="1488">
        <v>-101526.87</v>
      </c>
      <c r="E32" s="1488">
        <v>-101526.87</v>
      </c>
      <c r="F32" s="1499">
        <f t="shared" ref="F32:F41" si="13">+SUM($D32:$E32)/2</f>
        <v>-101526.87</v>
      </c>
      <c r="G32" s="154"/>
      <c r="H32" s="154"/>
      <c r="I32" s="1531"/>
      <c r="J32" s="1499">
        <f t="shared" ref="J32:J41" si="14">+E32</f>
        <v>-101526.87</v>
      </c>
      <c r="K32" s="154"/>
      <c r="L32" s="154"/>
      <c r="M32" s="1531"/>
      <c r="N32" s="1489" t="s">
        <v>198</v>
      </c>
    </row>
    <row r="33" spans="1:15" s="187" customFormat="1">
      <c r="A33" s="889">
        <f t="shared" si="5"/>
        <v>11.159999999999997</v>
      </c>
      <c r="B33" s="563" t="s">
        <v>1033</v>
      </c>
      <c r="C33" s="179"/>
      <c r="D33" s="1488">
        <v>-16396.150000000001</v>
      </c>
      <c r="E33" s="1488">
        <v>-16396.150000000001</v>
      </c>
      <c r="F33" s="1499">
        <f t="shared" si="13"/>
        <v>-16396.150000000001</v>
      </c>
      <c r="G33" s="154"/>
      <c r="H33" s="154"/>
      <c r="I33" s="1531"/>
      <c r="J33" s="1499">
        <f t="shared" si="14"/>
        <v>-16396.150000000001</v>
      </c>
      <c r="K33" s="154"/>
      <c r="L33" s="154"/>
      <c r="M33" s="1531"/>
      <c r="N33" s="1489" t="s">
        <v>198</v>
      </c>
    </row>
    <row r="34" spans="1:15" s="187" customFormat="1">
      <c r="A34" s="889">
        <f t="shared" si="5"/>
        <v>11.169999999999996</v>
      </c>
      <c r="B34" s="1560" t="s">
        <v>1034</v>
      </c>
      <c r="C34" s="179"/>
      <c r="D34" s="1488">
        <v>-8596177.1999999993</v>
      </c>
      <c r="E34" s="1488">
        <v>-9376601.7799999993</v>
      </c>
      <c r="F34" s="1499"/>
      <c r="G34" s="154"/>
      <c r="H34" s="154"/>
      <c r="I34" s="1531">
        <f t="shared" ref="I34:I35" si="15">+SUM($D34:$E34)/2</f>
        <v>-8986389.4899999984</v>
      </c>
      <c r="J34" s="1499"/>
      <c r="K34" s="154"/>
      <c r="L34" s="154"/>
      <c r="M34" s="1531">
        <f>+E34</f>
        <v>-9376601.7799999993</v>
      </c>
      <c r="N34" s="1489" t="s">
        <v>199</v>
      </c>
      <c r="O34" s="66" t="s">
        <v>1468</v>
      </c>
    </row>
    <row r="35" spans="1:15" s="187" customFormat="1">
      <c r="A35" s="889">
        <f t="shared" si="5"/>
        <v>11.179999999999996</v>
      </c>
      <c r="B35" s="1560" t="s">
        <v>1035</v>
      </c>
      <c r="C35" s="179"/>
      <c r="D35" s="1488">
        <v>-1402998.33</v>
      </c>
      <c r="E35" s="1488">
        <v>-1529029.62</v>
      </c>
      <c r="F35" s="1499"/>
      <c r="G35" s="154"/>
      <c r="H35" s="154"/>
      <c r="I35" s="1531">
        <f t="shared" si="15"/>
        <v>-1466013.9750000001</v>
      </c>
      <c r="J35" s="1499"/>
      <c r="K35" s="154"/>
      <c r="L35" s="154"/>
      <c r="M35" s="1531">
        <f>+E35</f>
        <v>-1529029.62</v>
      </c>
      <c r="N35" s="1489" t="s">
        <v>199</v>
      </c>
      <c r="O35" s="66" t="s">
        <v>1468</v>
      </c>
    </row>
    <row r="36" spans="1:15" s="187" customFormat="1">
      <c r="A36" s="889">
        <f t="shared" si="5"/>
        <v>11.189999999999996</v>
      </c>
      <c r="B36" s="1560" t="s">
        <v>1036</v>
      </c>
      <c r="C36" s="179"/>
      <c r="D36" s="1488">
        <v>32910210.899999999</v>
      </c>
      <c r="E36" s="1488">
        <v>34669396.939999998</v>
      </c>
      <c r="F36" s="1499">
        <f t="shared" si="13"/>
        <v>33789803.920000002</v>
      </c>
      <c r="G36" s="154"/>
      <c r="H36" s="154"/>
      <c r="I36" s="1531"/>
      <c r="J36" s="1499">
        <f t="shared" si="14"/>
        <v>34669396.939999998</v>
      </c>
      <c r="K36" s="154"/>
      <c r="L36" s="154"/>
      <c r="M36" s="1531"/>
      <c r="N36" s="1489" t="s">
        <v>199</v>
      </c>
    </row>
    <row r="37" spans="1:15" s="187" customFormat="1">
      <c r="A37" s="889">
        <f t="shared" si="5"/>
        <v>11.199999999999996</v>
      </c>
      <c r="B37" s="1560" t="s">
        <v>1037</v>
      </c>
      <c r="C37" s="179"/>
      <c r="D37" s="1488">
        <v>5314692.2499999991</v>
      </c>
      <c r="E37" s="1488">
        <v>5598784.3699999992</v>
      </c>
      <c r="F37" s="1499">
        <f t="shared" si="13"/>
        <v>5456738.3099999987</v>
      </c>
      <c r="G37" s="154"/>
      <c r="H37" s="154"/>
      <c r="I37" s="1531"/>
      <c r="J37" s="1499">
        <f t="shared" si="14"/>
        <v>5598784.3699999992</v>
      </c>
      <c r="K37" s="154"/>
      <c r="L37" s="154"/>
      <c r="M37" s="1531"/>
      <c r="N37" s="1489" t="s">
        <v>199</v>
      </c>
    </row>
    <row r="38" spans="1:15" s="187" customFormat="1">
      <c r="A38" s="889">
        <f t="shared" si="5"/>
        <v>11.209999999999996</v>
      </c>
      <c r="B38" s="1560" t="s">
        <v>1038</v>
      </c>
      <c r="C38" s="179"/>
      <c r="D38" s="1488">
        <v>244595.74</v>
      </c>
      <c r="E38" s="1488">
        <v>232073.54</v>
      </c>
      <c r="F38" s="1888"/>
      <c r="G38" s="1556"/>
      <c r="H38" s="1556"/>
      <c r="I38" s="1557">
        <f t="shared" ref="I38:I39" si="16">+SUM($D38:$E38)/2</f>
        <v>238334.64</v>
      </c>
      <c r="J38" s="1888"/>
      <c r="K38" s="1556"/>
      <c r="L38" s="1556"/>
      <c r="M38" s="1557">
        <f t="shared" ref="M38:M39" si="17">+E38</f>
        <v>232073.54</v>
      </c>
      <c r="N38" s="1489" t="s">
        <v>199</v>
      </c>
    </row>
    <row r="39" spans="1:15" s="187" customFormat="1">
      <c r="A39" s="889">
        <f t="shared" si="5"/>
        <v>11.219999999999995</v>
      </c>
      <c r="B39" s="1560" t="s">
        <v>1039</v>
      </c>
      <c r="C39" s="179"/>
      <c r="D39" s="1488">
        <v>39782.31</v>
      </c>
      <c r="E39" s="1488">
        <v>37760.1</v>
      </c>
      <c r="F39" s="1888"/>
      <c r="G39" s="1556"/>
      <c r="H39" s="1556"/>
      <c r="I39" s="1557">
        <f t="shared" si="16"/>
        <v>38771.205000000002</v>
      </c>
      <c r="J39" s="1888"/>
      <c r="K39" s="1556"/>
      <c r="L39" s="1556"/>
      <c r="M39" s="1557">
        <f t="shared" si="17"/>
        <v>37760.1</v>
      </c>
      <c r="N39" s="1489" t="s">
        <v>199</v>
      </c>
    </row>
    <row r="40" spans="1:15" s="187" customFormat="1">
      <c r="A40" s="889">
        <f t="shared" si="5"/>
        <v>11.229999999999995</v>
      </c>
      <c r="B40" s="1560" t="s">
        <v>1040</v>
      </c>
      <c r="C40" s="179"/>
      <c r="D40" s="1488">
        <v>-8723026</v>
      </c>
      <c r="E40" s="1488">
        <v>-10479409.74</v>
      </c>
      <c r="F40" s="1499">
        <f t="shared" si="13"/>
        <v>-9601217.870000001</v>
      </c>
      <c r="G40" s="154"/>
      <c r="H40" s="154"/>
      <c r="I40" s="1531"/>
      <c r="J40" s="1499">
        <f t="shared" si="14"/>
        <v>-10479409.74</v>
      </c>
      <c r="K40" s="154"/>
      <c r="L40" s="154"/>
      <c r="M40" s="1531"/>
      <c r="N40" s="1489" t="s">
        <v>199</v>
      </c>
    </row>
    <row r="41" spans="1:15" s="187" customFormat="1">
      <c r="A41" s="889">
        <f t="shared" si="5"/>
        <v>11.239999999999995</v>
      </c>
      <c r="B41" s="1560" t="s">
        <v>1041</v>
      </c>
      <c r="C41" s="179"/>
      <c r="D41" s="1488">
        <v>-1408704.48</v>
      </c>
      <c r="E41" s="1488">
        <v>-1692344.1</v>
      </c>
      <c r="F41" s="1499">
        <f t="shared" si="13"/>
        <v>-1550524.29</v>
      </c>
      <c r="G41" s="154"/>
      <c r="H41" s="154"/>
      <c r="I41" s="1531"/>
      <c r="J41" s="1499">
        <f t="shared" si="14"/>
        <v>-1692344.1</v>
      </c>
      <c r="K41" s="154"/>
      <c r="L41" s="154"/>
      <c r="M41" s="1531"/>
      <c r="N41" s="1489" t="s">
        <v>199</v>
      </c>
    </row>
    <row r="42" spans="1:15" s="187" customFormat="1">
      <c r="A42" s="889">
        <f t="shared" si="5"/>
        <v>11.249999999999995</v>
      </c>
      <c r="B42" s="1560" t="s">
        <v>1042</v>
      </c>
      <c r="C42" s="179"/>
      <c r="D42" s="1488">
        <v>-9410633.5299999993</v>
      </c>
      <c r="E42" s="1488">
        <v>-12260437.600000001</v>
      </c>
      <c r="F42" s="1499"/>
      <c r="G42" s="154"/>
      <c r="H42" s="154">
        <f t="shared" ref="H42:H43" si="18">+SUM($D42:$E42)/2</f>
        <v>-10835535.565000001</v>
      </c>
      <c r="I42" s="1531"/>
      <c r="J42" s="1499"/>
      <c r="K42" s="154"/>
      <c r="L42" s="154">
        <f>+E42</f>
        <v>-12260437.600000001</v>
      </c>
      <c r="M42" s="1531"/>
      <c r="N42" s="1489" t="s">
        <v>201</v>
      </c>
    </row>
    <row r="43" spans="1:15" s="187" customFormat="1">
      <c r="A43" s="889">
        <f t="shared" si="5"/>
        <v>11.259999999999994</v>
      </c>
      <c r="B43" s="1560" t="s">
        <v>1043</v>
      </c>
      <c r="C43" s="179"/>
      <c r="D43" s="1488">
        <v>-1519791.4900000002</v>
      </c>
      <c r="E43" s="1488">
        <v>-1980027.4900000002</v>
      </c>
      <c r="F43" s="1499"/>
      <c r="G43" s="154"/>
      <c r="H43" s="154">
        <f t="shared" si="18"/>
        <v>-1749909.4900000002</v>
      </c>
      <c r="I43" s="1531"/>
      <c r="J43" s="1499"/>
      <c r="K43" s="154"/>
      <c r="L43" s="154">
        <f>+E43</f>
        <v>-1980027.4900000002</v>
      </c>
      <c r="M43" s="1531"/>
      <c r="N43" s="1489" t="s">
        <v>201</v>
      </c>
    </row>
    <row r="44" spans="1:15" s="187" customFormat="1">
      <c r="A44" s="889">
        <f t="shared" si="5"/>
        <v>11.269999999999994</v>
      </c>
      <c r="B44" s="1560" t="s">
        <v>1044</v>
      </c>
      <c r="C44" s="179"/>
      <c r="D44" s="1488">
        <v>367910.48</v>
      </c>
      <c r="E44" s="1488">
        <v>312852.46999999997</v>
      </c>
      <c r="F44" s="1499"/>
      <c r="G44" s="154"/>
      <c r="H44" s="154"/>
      <c r="I44" s="1531">
        <f t="shared" ref="I44:I45" si="19">+SUM($D44:$E44)/2</f>
        <v>340381.47499999998</v>
      </c>
      <c r="J44" s="1499"/>
      <c r="K44" s="154"/>
      <c r="L44" s="154"/>
      <c r="M44" s="1531">
        <f>+E44</f>
        <v>312852.46999999997</v>
      </c>
      <c r="N44" s="1489" t="s">
        <v>199</v>
      </c>
    </row>
    <row r="45" spans="1:15" s="187" customFormat="1">
      <c r="A45" s="889">
        <f t="shared" si="5"/>
        <v>11.279999999999994</v>
      </c>
      <c r="B45" s="1560" t="s">
        <v>1045</v>
      </c>
      <c r="C45" s="179"/>
      <c r="D45" s="1488">
        <v>59411.99</v>
      </c>
      <c r="E45" s="1488">
        <v>50520.630000000005</v>
      </c>
      <c r="F45" s="1499"/>
      <c r="G45" s="154"/>
      <c r="H45" s="154"/>
      <c r="I45" s="1531">
        <f t="shared" si="19"/>
        <v>54966.31</v>
      </c>
      <c r="J45" s="1499"/>
      <c r="K45" s="154"/>
      <c r="L45" s="154"/>
      <c r="M45" s="1531">
        <f>+E45</f>
        <v>50520.630000000005</v>
      </c>
      <c r="N45" s="1489" t="s">
        <v>199</v>
      </c>
    </row>
    <row r="46" spans="1:15" s="187" customFormat="1">
      <c r="A46" s="889">
        <f t="shared" si="5"/>
        <v>11.289999999999994</v>
      </c>
      <c r="B46" s="1560" t="s">
        <v>1046</v>
      </c>
      <c r="C46" s="179"/>
      <c r="D46" s="1488">
        <v>-54001</v>
      </c>
      <c r="E46" s="1488">
        <v>-54001</v>
      </c>
      <c r="F46" s="1499">
        <f t="shared" ref="F46:F54" si="20">+SUM($D46:$E46)/2</f>
        <v>-54001</v>
      </c>
      <c r="G46" s="154"/>
      <c r="H46" s="154"/>
      <c r="I46" s="1531"/>
      <c r="J46" s="1499">
        <f t="shared" ref="J46:J54" si="21">+E46</f>
        <v>-54001</v>
      </c>
      <c r="K46" s="154"/>
      <c r="L46" s="154"/>
      <c r="M46" s="1531"/>
      <c r="N46" s="1489" t="s">
        <v>209</v>
      </c>
    </row>
    <row r="47" spans="1:15" s="187" customFormat="1">
      <c r="A47" s="889">
        <f t="shared" si="5"/>
        <v>11.299999999999994</v>
      </c>
      <c r="B47" s="1560" t="s">
        <v>1047</v>
      </c>
      <c r="C47" s="179"/>
      <c r="D47" s="1488">
        <v>-8724</v>
      </c>
      <c r="E47" s="1488">
        <v>-8724</v>
      </c>
      <c r="F47" s="1499">
        <f t="shared" si="20"/>
        <v>-8724</v>
      </c>
      <c r="G47" s="154"/>
      <c r="H47" s="154"/>
      <c r="I47" s="1531"/>
      <c r="J47" s="1499">
        <f t="shared" si="21"/>
        <v>-8724</v>
      </c>
      <c r="K47" s="154"/>
      <c r="L47" s="154"/>
      <c r="M47" s="1531"/>
      <c r="N47" s="1489" t="s">
        <v>209</v>
      </c>
    </row>
    <row r="48" spans="1:15" s="187" customFormat="1">
      <c r="A48" s="889">
        <f t="shared" si="5"/>
        <v>11.309999999999993</v>
      </c>
      <c r="B48" s="1560" t="s">
        <v>1048</v>
      </c>
      <c r="C48" s="179"/>
      <c r="D48" s="1488">
        <v>-104133.44999999995</v>
      </c>
      <c r="E48" s="1488">
        <v>820379.2</v>
      </c>
      <c r="F48" s="1499">
        <f t="shared" si="20"/>
        <v>358122.875</v>
      </c>
      <c r="G48" s="154"/>
      <c r="H48" s="154"/>
      <c r="I48" s="1531"/>
      <c r="J48" s="1499">
        <f t="shared" si="21"/>
        <v>820379.2</v>
      </c>
      <c r="K48" s="154"/>
      <c r="L48" s="154"/>
      <c r="M48" s="1531"/>
      <c r="N48" s="1489" t="s">
        <v>202</v>
      </c>
    </row>
    <row r="49" spans="1:14" s="187" customFormat="1">
      <c r="A49" s="889">
        <f t="shared" si="5"/>
        <v>11.319999999999993</v>
      </c>
      <c r="B49" s="1560" t="s">
        <v>1049</v>
      </c>
      <c r="C49" s="179"/>
      <c r="D49" s="1488">
        <v>-16820.829999999987</v>
      </c>
      <c r="E49" s="1488">
        <v>132479.34</v>
      </c>
      <c r="F49" s="1499">
        <f t="shared" si="20"/>
        <v>57829.255000000005</v>
      </c>
      <c r="G49" s="154"/>
      <c r="H49" s="154"/>
      <c r="I49" s="1531"/>
      <c r="J49" s="1499">
        <f t="shared" si="21"/>
        <v>132479.34</v>
      </c>
      <c r="K49" s="154"/>
      <c r="L49" s="154"/>
      <c r="M49" s="1531"/>
      <c r="N49" s="1489" t="s">
        <v>202</v>
      </c>
    </row>
    <row r="50" spans="1:14" s="187" customFormat="1">
      <c r="A50" s="889">
        <f t="shared" si="5"/>
        <v>11.329999999999993</v>
      </c>
      <c r="B50" s="1560" t="s">
        <v>1050</v>
      </c>
      <c r="C50" s="179"/>
      <c r="D50" s="1488">
        <v>-1424.82</v>
      </c>
      <c r="E50" s="1488">
        <v>-2320.92</v>
      </c>
      <c r="F50" s="1499">
        <f t="shared" si="20"/>
        <v>-1872.87</v>
      </c>
      <c r="G50" s="154"/>
      <c r="H50" s="154"/>
      <c r="I50" s="1531"/>
      <c r="J50" s="1499">
        <f t="shared" si="21"/>
        <v>-2320.92</v>
      </c>
      <c r="K50" s="154"/>
      <c r="L50" s="154"/>
      <c r="M50" s="1531"/>
      <c r="N50" s="1489" t="s">
        <v>204</v>
      </c>
    </row>
    <row r="51" spans="1:14" s="187" customFormat="1">
      <c r="A51" s="889">
        <f t="shared" si="5"/>
        <v>11.339999999999993</v>
      </c>
      <c r="B51" s="1560" t="s">
        <v>1051</v>
      </c>
      <c r="C51" s="179"/>
      <c r="D51" s="1488">
        <v>-230.09</v>
      </c>
      <c r="E51" s="1488">
        <v>-374.8</v>
      </c>
      <c r="F51" s="1499">
        <f t="shared" si="20"/>
        <v>-302.44499999999999</v>
      </c>
      <c r="G51" s="154"/>
      <c r="H51" s="154"/>
      <c r="I51" s="1531"/>
      <c r="J51" s="1499">
        <f t="shared" si="21"/>
        <v>-374.8</v>
      </c>
      <c r="K51" s="154"/>
      <c r="L51" s="154"/>
      <c r="M51" s="1531"/>
      <c r="N51" s="1489" t="s">
        <v>204</v>
      </c>
    </row>
    <row r="52" spans="1:14" s="187" customFormat="1">
      <c r="A52" s="889">
        <f t="shared" si="5"/>
        <v>11.349999999999993</v>
      </c>
      <c r="B52" s="1560" t="s">
        <v>1052</v>
      </c>
      <c r="C52" s="179"/>
      <c r="D52" s="1488">
        <v>8055.57</v>
      </c>
      <c r="E52" s="1488">
        <v>18086.490000000002</v>
      </c>
      <c r="F52" s="1499">
        <f t="shared" si="20"/>
        <v>13071.03</v>
      </c>
      <c r="G52" s="154"/>
      <c r="H52" s="154"/>
      <c r="I52" s="1531"/>
      <c r="J52" s="1499">
        <f t="shared" si="21"/>
        <v>18086.490000000002</v>
      </c>
      <c r="K52" s="154"/>
      <c r="L52" s="154"/>
      <c r="M52" s="1531"/>
      <c r="N52" s="1489" t="s">
        <v>205</v>
      </c>
    </row>
    <row r="53" spans="1:14" s="187" customFormat="1">
      <c r="A53" s="889">
        <f t="shared" si="5"/>
        <v>11.359999999999992</v>
      </c>
      <c r="B53" s="1560" t="s">
        <v>1053</v>
      </c>
      <c r="C53" s="179"/>
      <c r="D53" s="1488">
        <v>1300.1099999999999</v>
      </c>
      <c r="E53" s="1488">
        <v>2920.01</v>
      </c>
      <c r="F53" s="1499">
        <f t="shared" si="20"/>
        <v>2110.06</v>
      </c>
      <c r="G53" s="154"/>
      <c r="H53" s="154"/>
      <c r="I53" s="1531"/>
      <c r="J53" s="1499">
        <f t="shared" si="21"/>
        <v>2920.01</v>
      </c>
      <c r="K53" s="154"/>
      <c r="L53" s="154"/>
      <c r="M53" s="1531"/>
      <c r="N53" s="1489" t="s">
        <v>205</v>
      </c>
    </row>
    <row r="54" spans="1:14" s="187" customFormat="1">
      <c r="A54" s="889">
        <f t="shared" si="5"/>
        <v>11.369999999999992</v>
      </c>
      <c r="B54" s="179" t="s">
        <v>1054</v>
      </c>
      <c r="C54" s="179"/>
      <c r="D54" s="1488">
        <v>7104</v>
      </c>
      <c r="E54" s="1488">
        <v>7104</v>
      </c>
      <c r="F54" s="1499">
        <f t="shared" si="20"/>
        <v>7104</v>
      </c>
      <c r="G54" s="154"/>
      <c r="H54" s="154"/>
      <c r="I54" s="1531"/>
      <c r="J54" s="1499">
        <f t="shared" si="21"/>
        <v>7104</v>
      </c>
      <c r="K54" s="154"/>
      <c r="L54" s="154"/>
      <c r="M54" s="1531"/>
      <c r="N54" s="1489" t="s">
        <v>936</v>
      </c>
    </row>
    <row r="55" spans="1:14" s="187" customFormat="1">
      <c r="A55" s="889">
        <f t="shared" si="5"/>
        <v>11.379999999999992</v>
      </c>
      <c r="B55" s="1560" t="s">
        <v>1055</v>
      </c>
      <c r="C55" s="179"/>
      <c r="D55" s="1488">
        <v>32897.25</v>
      </c>
      <c r="E55" s="1488">
        <v>32898.070000000007</v>
      </c>
      <c r="F55" s="1499"/>
      <c r="G55" s="154"/>
      <c r="H55" s="154">
        <f t="shared" ref="H55:H56" si="22">+SUM($D55:$E55)/2</f>
        <v>32897.660000000003</v>
      </c>
      <c r="I55" s="1531"/>
      <c r="J55" s="1499"/>
      <c r="K55" s="154"/>
      <c r="L55" s="154">
        <f>+E55</f>
        <v>32898.070000000007</v>
      </c>
      <c r="M55" s="1531"/>
      <c r="N55" s="1489" t="s">
        <v>206</v>
      </c>
    </row>
    <row r="56" spans="1:14" s="187" customFormat="1">
      <c r="A56" s="889">
        <f t="shared" si="5"/>
        <v>11.389999999999992</v>
      </c>
      <c r="B56" s="1560" t="s">
        <v>1056</v>
      </c>
      <c r="C56" s="179"/>
      <c r="D56" s="1488">
        <v>5334.27</v>
      </c>
      <c r="E56" s="1488">
        <v>5334.4000000000015</v>
      </c>
      <c r="F56" s="1499"/>
      <c r="G56" s="154"/>
      <c r="H56" s="154">
        <f t="shared" si="22"/>
        <v>5334.3350000000009</v>
      </c>
      <c r="I56" s="1531"/>
      <c r="J56" s="1499"/>
      <c r="K56" s="154"/>
      <c r="L56" s="154">
        <f>+E56</f>
        <v>5334.4000000000015</v>
      </c>
      <c r="M56" s="1531"/>
      <c r="N56" s="1489" t="s">
        <v>206</v>
      </c>
    </row>
    <row r="57" spans="1:14" s="187" customFormat="1" ht="39.6">
      <c r="A57" s="889">
        <f t="shared" si="5"/>
        <v>11.399999999999991</v>
      </c>
      <c r="B57" s="179" t="s">
        <v>1057</v>
      </c>
      <c r="C57" s="179"/>
      <c r="D57" s="1488">
        <v>0.51000000000931323</v>
      </c>
      <c r="E57" s="1488">
        <v>0.51000000000931323</v>
      </c>
      <c r="F57" s="1499">
        <f t="shared" ref="F57:F78" si="23">+SUM($D57:$E57)/2</f>
        <v>0.51000000000931323</v>
      </c>
      <c r="G57" s="154"/>
      <c r="H57" s="154"/>
      <c r="I57" s="1531"/>
      <c r="J57" s="1499">
        <f t="shared" ref="J57:J78" si="24">+E57</f>
        <v>0.51000000000931323</v>
      </c>
      <c r="K57" s="154"/>
      <c r="L57" s="154"/>
      <c r="M57" s="1531"/>
      <c r="N57" s="1489" t="s">
        <v>937</v>
      </c>
    </row>
    <row r="58" spans="1:14" s="187" customFormat="1" ht="39.6">
      <c r="A58" s="889">
        <f t="shared" si="5"/>
        <v>11.409999999999991</v>
      </c>
      <c r="B58" s="179" t="s">
        <v>1058</v>
      </c>
      <c r="C58" s="179"/>
      <c r="D58" s="1488">
        <v>0.12000000000261934</v>
      </c>
      <c r="E58" s="1488">
        <v>0.12000000000261934</v>
      </c>
      <c r="F58" s="1499">
        <f t="shared" si="23"/>
        <v>0.12000000000261934</v>
      </c>
      <c r="G58" s="154"/>
      <c r="H58" s="154"/>
      <c r="I58" s="1531"/>
      <c r="J58" s="1499">
        <f t="shared" si="24"/>
        <v>0.12000000000261934</v>
      </c>
      <c r="K58" s="154"/>
      <c r="L58" s="154"/>
      <c r="M58" s="1531"/>
      <c r="N58" s="1489" t="s">
        <v>937</v>
      </c>
    </row>
    <row r="59" spans="1:14" s="187" customFormat="1">
      <c r="A59" s="889">
        <f t="shared" si="5"/>
        <v>11.419999999999991</v>
      </c>
      <c r="B59" s="1560" t="s">
        <v>1059</v>
      </c>
      <c r="C59" s="179"/>
      <c r="D59" s="1488">
        <v>-1481464.11</v>
      </c>
      <c r="E59" s="1488">
        <v>-1565703.09</v>
      </c>
      <c r="F59" s="1499">
        <f t="shared" si="23"/>
        <v>-1523583.6</v>
      </c>
      <c r="G59" s="154"/>
      <c r="H59" s="154"/>
      <c r="I59" s="1531"/>
      <c r="J59" s="1499">
        <f t="shared" si="24"/>
        <v>-1565703.09</v>
      </c>
      <c r="K59" s="154"/>
      <c r="L59" s="154"/>
      <c r="M59" s="1531"/>
      <c r="N59" s="1518" t="s">
        <v>199</v>
      </c>
    </row>
    <row r="60" spans="1:14" s="187" customFormat="1">
      <c r="A60" s="889">
        <f t="shared" si="5"/>
        <v>11.429999999999991</v>
      </c>
      <c r="B60" s="1560" t="s">
        <v>1060</v>
      </c>
      <c r="C60" s="179"/>
      <c r="D60" s="1488">
        <v>-239243.33000000002</v>
      </c>
      <c r="E60" s="1488">
        <v>-252847.14</v>
      </c>
      <c r="F60" s="1499">
        <f t="shared" si="23"/>
        <v>-246045.23500000002</v>
      </c>
      <c r="G60" s="154"/>
      <c r="H60" s="154"/>
      <c r="I60" s="1531"/>
      <c r="J60" s="1499">
        <f t="shared" si="24"/>
        <v>-252847.14</v>
      </c>
      <c r="K60" s="154"/>
      <c r="L60" s="154"/>
      <c r="M60" s="1531"/>
      <c r="N60" s="1518" t="s">
        <v>199</v>
      </c>
    </row>
    <row r="61" spans="1:14" s="187" customFormat="1">
      <c r="A61" s="889">
        <f t="shared" si="5"/>
        <v>11.439999999999991</v>
      </c>
      <c r="B61" s="179" t="s">
        <v>1061</v>
      </c>
      <c r="C61" s="179"/>
      <c r="D61" s="1488">
        <v>2086523.22</v>
      </c>
      <c r="E61" s="1488">
        <v>1954515.54</v>
      </c>
      <c r="F61" s="1499">
        <f t="shared" si="23"/>
        <v>2020519.38</v>
      </c>
      <c r="G61" s="154"/>
      <c r="H61" s="154"/>
      <c r="I61" s="1531"/>
      <c r="J61" s="1499">
        <f t="shared" si="24"/>
        <v>1954515.54</v>
      </c>
      <c r="K61" s="154"/>
      <c r="L61" s="154"/>
      <c r="M61" s="1531"/>
      <c r="N61" s="1518" t="s">
        <v>938</v>
      </c>
    </row>
    <row r="62" spans="1:14" s="187" customFormat="1">
      <c r="A62" s="889">
        <f t="shared" si="5"/>
        <v>11.44999999999999</v>
      </c>
      <c r="B62" s="179" t="s">
        <v>1062</v>
      </c>
      <c r="C62" s="179"/>
      <c r="D62" s="1488">
        <v>336967.9</v>
      </c>
      <c r="E62" s="1488">
        <v>315649.02</v>
      </c>
      <c r="F62" s="1499">
        <f t="shared" si="23"/>
        <v>326308.46000000002</v>
      </c>
      <c r="G62" s="154"/>
      <c r="H62" s="154"/>
      <c r="I62" s="1531"/>
      <c r="J62" s="1499">
        <f t="shared" si="24"/>
        <v>315649.02</v>
      </c>
      <c r="K62" s="154"/>
      <c r="L62" s="154"/>
      <c r="M62" s="1531"/>
      <c r="N62" s="1518" t="s">
        <v>938</v>
      </c>
    </row>
    <row r="63" spans="1:14" s="187" customFormat="1">
      <c r="A63" s="889">
        <f t="shared" si="5"/>
        <v>11.45999999999999</v>
      </c>
      <c r="B63" s="1560" t="s">
        <v>1063</v>
      </c>
      <c r="C63" s="179"/>
      <c r="D63" s="1488">
        <v>-2.180000000000291</v>
      </c>
      <c r="E63" s="1488">
        <v>-2.180000000000291</v>
      </c>
      <c r="F63" s="1499">
        <f t="shared" si="23"/>
        <v>-2.180000000000291</v>
      </c>
      <c r="G63" s="154"/>
      <c r="H63" s="154"/>
      <c r="I63" s="1531"/>
      <c r="J63" s="1499">
        <f t="shared" si="24"/>
        <v>-2.180000000000291</v>
      </c>
      <c r="K63" s="154"/>
      <c r="L63" s="154"/>
      <c r="M63" s="1531"/>
      <c r="N63" s="1518" t="s">
        <v>199</v>
      </c>
    </row>
    <row r="64" spans="1:14" s="187" customFormat="1">
      <c r="A64" s="889">
        <f t="shared" si="5"/>
        <v>11.46999999999999</v>
      </c>
      <c r="B64" s="1560" t="s">
        <v>1064</v>
      </c>
      <c r="C64" s="179"/>
      <c r="D64" s="1488">
        <v>3.930000000000291</v>
      </c>
      <c r="E64" s="1488">
        <v>3.930000000000291</v>
      </c>
      <c r="F64" s="1499">
        <f t="shared" si="23"/>
        <v>3.930000000000291</v>
      </c>
      <c r="G64" s="154"/>
      <c r="H64" s="154"/>
      <c r="I64" s="1531"/>
      <c r="J64" s="1499">
        <f t="shared" si="24"/>
        <v>3.930000000000291</v>
      </c>
      <c r="K64" s="154"/>
      <c r="L64" s="154"/>
      <c r="M64" s="1531"/>
      <c r="N64" s="1518" t="s">
        <v>199</v>
      </c>
    </row>
    <row r="65" spans="1:14" s="187" customFormat="1">
      <c r="A65" s="889">
        <f t="shared" si="5"/>
        <v>11.47999999999999</v>
      </c>
      <c r="B65" s="1560" t="s">
        <v>1065</v>
      </c>
      <c r="C65" s="179"/>
      <c r="D65" s="1488">
        <v>79994.62</v>
      </c>
      <c r="E65" s="1488">
        <v>99118.5</v>
      </c>
      <c r="F65" s="1499">
        <f t="shared" si="23"/>
        <v>89556.56</v>
      </c>
      <c r="G65" s="154"/>
      <c r="H65" s="154"/>
      <c r="I65" s="1531"/>
      <c r="J65" s="1499">
        <f t="shared" si="24"/>
        <v>99118.5</v>
      </c>
      <c r="K65" s="154"/>
      <c r="L65" s="154"/>
      <c r="M65" s="1531"/>
      <c r="N65" s="1518" t="s">
        <v>199</v>
      </c>
    </row>
    <row r="66" spans="1:14" s="187" customFormat="1">
      <c r="A66" s="889">
        <f t="shared" si="5"/>
        <v>11.48999999999999</v>
      </c>
      <c r="B66" s="1560" t="s">
        <v>1066</v>
      </c>
      <c r="C66" s="179"/>
      <c r="D66" s="1488">
        <v>12919.2</v>
      </c>
      <c r="E66" s="1488">
        <v>16007.53</v>
      </c>
      <c r="F66" s="1499">
        <f t="shared" si="23"/>
        <v>14463.365000000002</v>
      </c>
      <c r="G66" s="154"/>
      <c r="H66" s="154"/>
      <c r="I66" s="1531"/>
      <c r="J66" s="1499">
        <f t="shared" si="24"/>
        <v>16007.53</v>
      </c>
      <c r="K66" s="154"/>
      <c r="L66" s="154"/>
      <c r="M66" s="1531"/>
      <c r="N66" s="1518" t="s">
        <v>199</v>
      </c>
    </row>
    <row r="67" spans="1:14" s="187" customFormat="1">
      <c r="A67" s="889">
        <f t="shared" si="5"/>
        <v>11.499999999999989</v>
      </c>
      <c r="B67" s="1560" t="s">
        <v>1067</v>
      </c>
      <c r="C67" s="179"/>
      <c r="D67" s="1488">
        <v>253267.82</v>
      </c>
      <c r="E67" s="1488">
        <v>15449.81</v>
      </c>
      <c r="F67" s="1499">
        <f t="shared" si="23"/>
        <v>134358.815</v>
      </c>
      <c r="G67" s="154"/>
      <c r="H67" s="154"/>
      <c r="I67" s="1531"/>
      <c r="J67" s="1499">
        <f t="shared" si="24"/>
        <v>15449.81</v>
      </c>
      <c r="K67" s="154"/>
      <c r="L67" s="154"/>
      <c r="M67" s="1531"/>
      <c r="N67" s="1518" t="s">
        <v>199</v>
      </c>
    </row>
    <row r="68" spans="1:14" s="187" customFormat="1">
      <c r="A68" s="889">
        <f t="shared" si="5"/>
        <v>11.509999999999989</v>
      </c>
      <c r="B68" s="1560" t="s">
        <v>1068</v>
      </c>
      <c r="C68" s="179"/>
      <c r="D68" s="1488">
        <v>40898.94</v>
      </c>
      <c r="E68" s="1488">
        <v>2493.5500000000002</v>
      </c>
      <c r="F68" s="1499">
        <f t="shared" si="23"/>
        <v>21696.245000000003</v>
      </c>
      <c r="G68" s="154"/>
      <c r="H68" s="154"/>
      <c r="I68" s="1531"/>
      <c r="J68" s="1499">
        <f t="shared" si="24"/>
        <v>2493.5500000000002</v>
      </c>
      <c r="K68" s="154"/>
      <c r="L68" s="154"/>
      <c r="M68" s="1531"/>
      <c r="N68" s="1518" t="s">
        <v>199</v>
      </c>
    </row>
    <row r="69" spans="1:14" s="187" customFormat="1">
      <c r="A69" s="889">
        <f t="shared" si="5"/>
        <v>11.519999999999989</v>
      </c>
      <c r="B69" s="1560" t="s">
        <v>1069</v>
      </c>
      <c r="C69" s="179"/>
      <c r="D69" s="1488">
        <v>1206.52</v>
      </c>
      <c r="E69" s="1488">
        <v>1206.52</v>
      </c>
      <c r="F69" s="1499">
        <f t="shared" si="23"/>
        <v>1206.52</v>
      </c>
      <c r="G69" s="154"/>
      <c r="H69" s="154"/>
      <c r="I69" s="1531"/>
      <c r="J69" s="1499">
        <f t="shared" si="24"/>
        <v>1206.52</v>
      </c>
      <c r="K69" s="154"/>
      <c r="L69" s="154"/>
      <c r="M69" s="1531"/>
      <c r="N69" s="1518" t="s">
        <v>199</v>
      </c>
    </row>
    <row r="70" spans="1:14" s="187" customFormat="1">
      <c r="A70" s="889">
        <f t="shared" si="5"/>
        <v>11.529999999999989</v>
      </c>
      <c r="B70" s="1560" t="s">
        <v>1070</v>
      </c>
      <c r="C70" s="179"/>
      <c r="D70" s="1488">
        <v>194.84</v>
      </c>
      <c r="E70" s="1488">
        <v>194.84</v>
      </c>
      <c r="F70" s="1499">
        <f t="shared" si="23"/>
        <v>194.84</v>
      </c>
      <c r="G70" s="154"/>
      <c r="H70" s="154"/>
      <c r="I70" s="1531"/>
      <c r="J70" s="1499">
        <f t="shared" si="24"/>
        <v>194.84</v>
      </c>
      <c r="K70" s="154"/>
      <c r="L70" s="154"/>
      <c r="M70" s="1531"/>
      <c r="N70" s="1518" t="s">
        <v>199</v>
      </c>
    </row>
    <row r="71" spans="1:14" s="187" customFormat="1">
      <c r="A71" s="889">
        <f t="shared" si="5"/>
        <v>11.539999999999988</v>
      </c>
      <c r="B71" s="1560" t="s">
        <v>1071</v>
      </c>
      <c r="C71" s="179"/>
      <c r="D71" s="1488">
        <v>119273.89</v>
      </c>
      <c r="E71" s="1488">
        <v>66317.25</v>
      </c>
      <c r="F71" s="1499">
        <f t="shared" si="23"/>
        <v>92795.57</v>
      </c>
      <c r="G71" s="154"/>
      <c r="H71" s="154"/>
      <c r="I71" s="1531"/>
      <c r="J71" s="1499">
        <f t="shared" si="24"/>
        <v>66317.25</v>
      </c>
      <c r="K71" s="154"/>
      <c r="L71" s="154"/>
      <c r="M71" s="1531"/>
      <c r="N71" s="1518" t="s">
        <v>199</v>
      </c>
    </row>
    <row r="72" spans="1:14" s="187" customFormat="1">
      <c r="A72" s="889">
        <f t="shared" si="5"/>
        <v>11.549999999999988</v>
      </c>
      <c r="B72" s="1560" t="s">
        <v>1072</v>
      </c>
      <c r="C72" s="179"/>
      <c r="D72" s="1488">
        <v>19261.61</v>
      </c>
      <c r="E72" s="1488">
        <v>10709.61</v>
      </c>
      <c r="F72" s="1499">
        <f t="shared" si="23"/>
        <v>14985.61</v>
      </c>
      <c r="G72" s="154"/>
      <c r="H72" s="154"/>
      <c r="I72" s="1531"/>
      <c r="J72" s="1499">
        <f t="shared" si="24"/>
        <v>10709.61</v>
      </c>
      <c r="K72" s="154"/>
      <c r="L72" s="154"/>
      <c r="M72" s="1531"/>
      <c r="N72" s="1518" t="s">
        <v>199</v>
      </c>
    </row>
    <row r="73" spans="1:14" s="187" customFormat="1">
      <c r="A73" s="889">
        <f t="shared" si="5"/>
        <v>11.559999999999988</v>
      </c>
      <c r="B73" s="1560" t="s">
        <v>1073</v>
      </c>
      <c r="C73" s="179"/>
      <c r="D73" s="1488">
        <v>-1831.7299999999996</v>
      </c>
      <c r="E73" s="1488">
        <v>0</v>
      </c>
      <c r="F73" s="1499">
        <f t="shared" si="23"/>
        <v>-915.86499999999978</v>
      </c>
      <c r="G73" s="154"/>
      <c r="H73" s="154"/>
      <c r="I73" s="1531"/>
      <c r="J73" s="1499">
        <f t="shared" si="24"/>
        <v>0</v>
      </c>
      <c r="K73" s="154"/>
      <c r="L73" s="154"/>
      <c r="M73" s="1531"/>
      <c r="N73" s="1518" t="s">
        <v>207</v>
      </c>
    </row>
    <row r="74" spans="1:14" s="187" customFormat="1">
      <c r="A74" s="889">
        <f t="shared" si="5"/>
        <v>11.569999999999988</v>
      </c>
      <c r="B74" s="1560" t="s">
        <v>1074</v>
      </c>
      <c r="C74" s="179"/>
      <c r="D74" s="1488">
        <v>-303.88000000000011</v>
      </c>
      <c r="E74" s="1488">
        <v>0</v>
      </c>
      <c r="F74" s="1499">
        <f t="shared" si="23"/>
        <v>-151.94000000000005</v>
      </c>
      <c r="G74" s="154"/>
      <c r="H74" s="154"/>
      <c r="I74" s="1531"/>
      <c r="J74" s="1499">
        <f t="shared" si="24"/>
        <v>0</v>
      </c>
      <c r="K74" s="154"/>
      <c r="L74" s="154"/>
      <c r="M74" s="1531"/>
      <c r="N74" s="1518" t="s">
        <v>207</v>
      </c>
    </row>
    <row r="75" spans="1:14" s="187" customFormat="1" ht="26.4">
      <c r="A75" s="889">
        <f t="shared" si="5"/>
        <v>11.579999999999988</v>
      </c>
      <c r="B75" s="1560" t="s">
        <v>1075</v>
      </c>
      <c r="C75" s="179"/>
      <c r="D75" s="1488">
        <v>-460840.83999999985</v>
      </c>
      <c r="E75" s="1488">
        <v>100630.06999999983</v>
      </c>
      <c r="F75" s="1499">
        <f t="shared" si="23"/>
        <v>-180105.38500000001</v>
      </c>
      <c r="G75" s="154"/>
      <c r="H75" s="154"/>
      <c r="I75" s="1531"/>
      <c r="J75" s="1499">
        <f t="shared" si="24"/>
        <v>100630.06999999983</v>
      </c>
      <c r="K75" s="154"/>
      <c r="L75" s="154"/>
      <c r="M75" s="1531"/>
      <c r="N75" s="1489" t="s">
        <v>939</v>
      </c>
    </row>
    <row r="76" spans="1:14" s="187" customFormat="1" ht="26.4">
      <c r="A76" s="889">
        <f t="shared" si="5"/>
        <v>11.589999999999987</v>
      </c>
      <c r="B76" s="1560" t="s">
        <v>1076</v>
      </c>
      <c r="C76" s="179"/>
      <c r="D76" s="1488">
        <v>-74422.979999999981</v>
      </c>
      <c r="E76" s="1488">
        <v>16249.330000000016</v>
      </c>
      <c r="F76" s="1499">
        <f t="shared" si="23"/>
        <v>-29086.824999999983</v>
      </c>
      <c r="G76" s="154"/>
      <c r="H76" s="154"/>
      <c r="I76" s="1531"/>
      <c r="J76" s="1499">
        <f t="shared" si="24"/>
        <v>16249.330000000016</v>
      </c>
      <c r="K76" s="154"/>
      <c r="L76" s="154"/>
      <c r="M76" s="1531"/>
      <c r="N76" s="1489" t="s">
        <v>939</v>
      </c>
    </row>
    <row r="77" spans="1:14" s="187" customFormat="1">
      <c r="A77" s="889">
        <f t="shared" si="5"/>
        <v>11.599999999999987</v>
      </c>
      <c r="B77" s="1560" t="s">
        <v>1077</v>
      </c>
      <c r="C77" s="179"/>
      <c r="D77" s="1488">
        <v>-125732.52</v>
      </c>
      <c r="E77" s="1488">
        <v>0</v>
      </c>
      <c r="F77" s="1499">
        <f t="shared" si="23"/>
        <v>-62866.26</v>
      </c>
      <c r="G77" s="154"/>
      <c r="H77" s="154"/>
      <c r="I77" s="1531"/>
      <c r="J77" s="1499">
        <f t="shared" si="24"/>
        <v>0</v>
      </c>
      <c r="K77" s="154"/>
      <c r="L77" s="154"/>
      <c r="M77" s="1531"/>
      <c r="N77" s="1518" t="s">
        <v>200</v>
      </c>
    </row>
    <row r="78" spans="1:14" s="187" customFormat="1">
      <c r="A78" s="889">
        <f t="shared" si="5"/>
        <v>11.609999999999987</v>
      </c>
      <c r="B78" s="1560" t="s">
        <v>1078</v>
      </c>
      <c r="C78" s="179"/>
      <c r="D78" s="1488">
        <v>-20306.099999999999</v>
      </c>
      <c r="E78" s="1488">
        <v>0</v>
      </c>
      <c r="F78" s="1499">
        <f t="shared" si="23"/>
        <v>-10153.049999999999</v>
      </c>
      <c r="G78" s="154"/>
      <c r="H78" s="154"/>
      <c r="I78" s="1531"/>
      <c r="J78" s="1499">
        <f t="shared" si="24"/>
        <v>0</v>
      </c>
      <c r="K78" s="154"/>
      <c r="L78" s="154"/>
      <c r="M78" s="1531"/>
      <c r="N78" s="1518" t="s">
        <v>200</v>
      </c>
    </row>
    <row r="79" spans="1:14" s="187" customFormat="1">
      <c r="A79" s="889">
        <f t="shared" si="5"/>
        <v>11.619999999999987</v>
      </c>
      <c r="B79" s="1560" t="s">
        <v>1079</v>
      </c>
      <c r="C79" s="179"/>
      <c r="D79" s="1488">
        <v>-1</v>
      </c>
      <c r="E79" s="1488">
        <v>-1</v>
      </c>
      <c r="F79" s="1499"/>
      <c r="G79" s="154"/>
      <c r="H79" s="154"/>
      <c r="I79" s="1531">
        <f t="shared" ref="I79:I80" si="25">+SUM($D79:$E79)/2</f>
        <v>-1</v>
      </c>
      <c r="J79" s="1499"/>
      <c r="K79" s="154"/>
      <c r="L79" s="154"/>
      <c r="M79" s="1531">
        <f>+E79</f>
        <v>-1</v>
      </c>
      <c r="N79" s="1518" t="s">
        <v>940</v>
      </c>
    </row>
    <row r="80" spans="1:14" s="187" customFormat="1">
      <c r="A80" s="889">
        <f t="shared" si="5"/>
        <v>11.629999999999987</v>
      </c>
      <c r="B80" s="1560" t="s">
        <v>1080</v>
      </c>
      <c r="C80" s="179"/>
      <c r="D80" s="1488">
        <v>1.0100000000020373</v>
      </c>
      <c r="E80" s="1488">
        <v>1.0100000000020373</v>
      </c>
      <c r="F80" s="1499"/>
      <c r="G80" s="154"/>
      <c r="H80" s="154"/>
      <c r="I80" s="1531">
        <f t="shared" si="25"/>
        <v>1.0100000000020373</v>
      </c>
      <c r="J80" s="1499"/>
      <c r="K80" s="154"/>
      <c r="L80" s="154"/>
      <c r="M80" s="1531">
        <f>+E80</f>
        <v>1.0100000000020373</v>
      </c>
      <c r="N80" s="1518" t="s">
        <v>941</v>
      </c>
    </row>
    <row r="81" spans="1:15" s="187" customFormat="1">
      <c r="A81" s="889">
        <f t="shared" si="5"/>
        <v>11.639999999999986</v>
      </c>
      <c r="B81" s="1519" t="s">
        <v>1081</v>
      </c>
      <c r="C81" s="179"/>
      <c r="D81" s="1488">
        <v>1451589.69</v>
      </c>
      <c r="E81" s="1488">
        <v>1329772.47</v>
      </c>
      <c r="F81" s="1499">
        <f t="shared" ref="F81:F84" si="26">+SUM($D81:$E81)/2</f>
        <v>1390681.08</v>
      </c>
      <c r="G81" s="154"/>
      <c r="H81" s="154"/>
      <c r="I81" s="1531"/>
      <c r="J81" s="1499">
        <f>+E81</f>
        <v>1329772.47</v>
      </c>
      <c r="K81" s="154"/>
      <c r="L81" s="154"/>
      <c r="M81" s="1531"/>
      <c r="N81" s="1518" t="s">
        <v>203</v>
      </c>
    </row>
    <row r="82" spans="1:15" s="187" customFormat="1">
      <c r="A82" s="889">
        <f t="shared" ref="A82:A103" si="27">+A81+0.01</f>
        <v>11.649999999999986</v>
      </c>
      <c r="B82" s="1519" t="s">
        <v>1082</v>
      </c>
      <c r="C82" s="179"/>
      <c r="D82" s="1488">
        <v>234427.12</v>
      </c>
      <c r="E82" s="1488">
        <v>214753.97</v>
      </c>
      <c r="F82" s="1499">
        <f t="shared" si="26"/>
        <v>224590.54499999998</v>
      </c>
      <c r="G82" s="154"/>
      <c r="H82" s="154"/>
      <c r="I82" s="1531"/>
      <c r="J82" s="1499">
        <f>+E82</f>
        <v>214753.97</v>
      </c>
      <c r="K82" s="154"/>
      <c r="L82" s="154"/>
      <c r="M82" s="1531"/>
      <c r="N82" s="1518" t="s">
        <v>203</v>
      </c>
    </row>
    <row r="83" spans="1:15" s="187" customFormat="1">
      <c r="A83" s="889">
        <f t="shared" si="27"/>
        <v>11.659999999999986</v>
      </c>
      <c r="B83" s="1560" t="s">
        <v>1083</v>
      </c>
      <c r="C83" s="179"/>
      <c r="D83" s="1488">
        <v>11613370.99</v>
      </c>
      <c r="E83" s="1488">
        <v>13206578.970000001</v>
      </c>
      <c r="F83" s="1499">
        <f t="shared" si="26"/>
        <v>12409974.98</v>
      </c>
      <c r="G83" s="154"/>
      <c r="H83" s="154"/>
      <c r="I83" s="1531"/>
      <c r="J83" s="1499">
        <f>+E83</f>
        <v>13206578.970000001</v>
      </c>
      <c r="K83" s="154"/>
      <c r="L83" s="154"/>
      <c r="M83" s="1531"/>
      <c r="N83" s="1489" t="s">
        <v>208</v>
      </c>
    </row>
    <row r="84" spans="1:15" s="187" customFormat="1">
      <c r="A84" s="889">
        <f t="shared" si="27"/>
        <v>11.669999999999986</v>
      </c>
      <c r="B84" s="1560" t="s">
        <v>1084</v>
      </c>
      <c r="C84" s="179"/>
      <c r="D84" s="1488">
        <v>2317859.5</v>
      </c>
      <c r="E84" s="1488">
        <v>2566385.6799999997</v>
      </c>
      <c r="F84" s="1499">
        <f t="shared" si="26"/>
        <v>2442122.59</v>
      </c>
      <c r="G84" s="154"/>
      <c r="H84" s="154"/>
      <c r="I84" s="1531"/>
      <c r="J84" s="1499">
        <f>+E84</f>
        <v>2566385.6799999997</v>
      </c>
      <c r="K84" s="154"/>
      <c r="L84" s="154"/>
      <c r="M84" s="1531"/>
      <c r="N84" s="1489" t="s">
        <v>208</v>
      </c>
    </row>
    <row r="85" spans="1:15" s="187" customFormat="1" ht="26.4">
      <c r="A85" s="889">
        <f t="shared" si="27"/>
        <v>11.679999999999986</v>
      </c>
      <c r="B85" s="1560" t="s">
        <v>1085</v>
      </c>
      <c r="C85" s="179"/>
      <c r="D85" s="1488">
        <v>0.03</v>
      </c>
      <c r="E85" s="1488">
        <v>0.03</v>
      </c>
      <c r="F85" s="1499"/>
      <c r="G85" s="154"/>
      <c r="H85" s="154">
        <f t="shared" ref="H85:H86" si="28">+SUM($D85:$E85)/2</f>
        <v>0.03</v>
      </c>
      <c r="I85" s="1531"/>
      <c r="J85" s="1499"/>
      <c r="K85" s="154"/>
      <c r="L85" s="154">
        <f>+E85</f>
        <v>0.03</v>
      </c>
      <c r="M85" s="1531"/>
      <c r="N85" s="1489" t="s">
        <v>942</v>
      </c>
    </row>
    <row r="86" spans="1:15" s="187" customFormat="1" ht="26.4">
      <c r="A86" s="889">
        <f t="shared" si="27"/>
        <v>11.689999999999985</v>
      </c>
      <c r="B86" s="179" t="s">
        <v>1086</v>
      </c>
      <c r="C86" s="179"/>
      <c r="D86" s="1488">
        <v>-0.01</v>
      </c>
      <c r="E86" s="1488">
        <v>-0.01</v>
      </c>
      <c r="F86" s="1499"/>
      <c r="G86" s="154"/>
      <c r="H86" s="154">
        <f t="shared" si="28"/>
        <v>-0.01</v>
      </c>
      <c r="I86" s="1531"/>
      <c r="J86" s="1499"/>
      <c r="K86" s="154"/>
      <c r="L86" s="154">
        <f>+E86</f>
        <v>-0.01</v>
      </c>
      <c r="M86" s="1531"/>
      <c r="N86" s="1489" t="s">
        <v>943</v>
      </c>
    </row>
    <row r="87" spans="1:15" s="187" customFormat="1">
      <c r="A87" s="889">
        <f t="shared" si="27"/>
        <v>11.699999999999985</v>
      </c>
      <c r="B87" s="179" t="s">
        <v>1087</v>
      </c>
      <c r="C87" s="179"/>
      <c r="D87" s="1488">
        <v>0</v>
      </c>
      <c r="E87" s="1488">
        <v>194084.36</v>
      </c>
      <c r="F87" s="1499">
        <f>+SUM($D87:$E87)/2</f>
        <v>97042.18</v>
      </c>
      <c r="G87" s="154"/>
      <c r="H87" s="154"/>
      <c r="I87" s="1531"/>
      <c r="J87" s="1499">
        <f>+E87</f>
        <v>194084.36</v>
      </c>
      <c r="K87" s="154"/>
      <c r="L87" s="154"/>
      <c r="M87" s="1531"/>
      <c r="N87" s="1489" t="s">
        <v>209</v>
      </c>
    </row>
    <row r="88" spans="1:15" s="187" customFormat="1">
      <c r="A88" s="889">
        <f t="shared" si="27"/>
        <v>11.709999999999985</v>
      </c>
      <c r="B88" s="1560" t="s">
        <v>1088</v>
      </c>
      <c r="C88" s="179"/>
      <c r="D88" s="1488">
        <v>80080</v>
      </c>
      <c r="E88" s="1488">
        <v>97791.8</v>
      </c>
      <c r="F88" s="1499"/>
      <c r="G88" s="154"/>
      <c r="H88" s="154"/>
      <c r="I88" s="1531">
        <f>+SUM($D88:$E88)/2</f>
        <v>88935.9</v>
      </c>
      <c r="J88" s="1499"/>
      <c r="K88" s="154"/>
      <c r="L88" s="154"/>
      <c r="M88" s="1531">
        <f>+E88</f>
        <v>97791.8</v>
      </c>
      <c r="N88" s="1489" t="s">
        <v>944</v>
      </c>
    </row>
    <row r="89" spans="1:15" s="187" customFormat="1" ht="26.4">
      <c r="A89" s="889">
        <f t="shared" si="27"/>
        <v>11.719999999999985</v>
      </c>
      <c r="B89" s="1560" t="s">
        <v>1089</v>
      </c>
      <c r="C89" s="179"/>
      <c r="D89" s="1488">
        <v>171000</v>
      </c>
      <c r="E89" s="1488">
        <v>171000</v>
      </c>
      <c r="F89" s="1499"/>
      <c r="G89" s="154"/>
      <c r="H89" s="154">
        <f t="shared" ref="H89:H92" si="29">+SUM($D89:$E89)/2</f>
        <v>171000</v>
      </c>
      <c r="I89" s="1531"/>
      <c r="J89" s="1499"/>
      <c r="K89" s="154"/>
      <c r="L89" s="154">
        <f>+E89</f>
        <v>171000</v>
      </c>
      <c r="M89" s="1531"/>
      <c r="N89" s="1489" t="s">
        <v>945</v>
      </c>
    </row>
    <row r="90" spans="1:15" s="187" customFormat="1">
      <c r="A90" s="889">
        <f t="shared" si="27"/>
        <v>11.729999999999984</v>
      </c>
      <c r="B90" s="1560" t="s">
        <v>1090</v>
      </c>
      <c r="C90" s="179"/>
      <c r="D90" s="1488">
        <v>-344245.01</v>
      </c>
      <c r="E90" s="1488">
        <v>-5330471.18</v>
      </c>
      <c r="F90" s="1499"/>
      <c r="G90" s="154"/>
      <c r="H90" s="154">
        <f t="shared" si="29"/>
        <v>-2837358.0949999997</v>
      </c>
      <c r="I90" s="1531"/>
      <c r="J90" s="1499"/>
      <c r="K90" s="154"/>
      <c r="L90" s="154">
        <f>+E90</f>
        <v>-5330471.18</v>
      </c>
      <c r="M90" s="1531"/>
      <c r="N90" s="1489" t="s">
        <v>946</v>
      </c>
    </row>
    <row r="91" spans="1:15" s="187" customFormat="1" ht="26.4">
      <c r="A91" s="889">
        <f t="shared" si="27"/>
        <v>11.739999999999984</v>
      </c>
      <c r="B91" s="189" t="s">
        <v>1091</v>
      </c>
      <c r="C91" s="189"/>
      <c r="D91" s="1488">
        <v>0</v>
      </c>
      <c r="E91" s="1488">
        <v>11820900</v>
      </c>
      <c r="F91" s="1499"/>
      <c r="G91" s="154"/>
      <c r="H91" s="154">
        <f t="shared" si="29"/>
        <v>5910450</v>
      </c>
      <c r="I91" s="1531"/>
      <c r="J91" s="1499"/>
      <c r="K91" s="154"/>
      <c r="L91" s="154">
        <f>+E91</f>
        <v>11820900</v>
      </c>
      <c r="M91" s="1531"/>
      <c r="N91" s="1485" t="s">
        <v>942</v>
      </c>
    </row>
    <row r="92" spans="1:15" s="187" customFormat="1" ht="26.4">
      <c r="A92" s="889">
        <f t="shared" si="27"/>
        <v>11.749999999999984</v>
      </c>
      <c r="B92" s="189" t="s">
        <v>1092</v>
      </c>
      <c r="C92" s="189"/>
      <c r="D92" s="1488">
        <v>255159.15</v>
      </c>
      <c r="E92" s="1488">
        <v>15125469.34</v>
      </c>
      <c r="F92" s="1499"/>
      <c r="G92" s="154"/>
      <c r="H92" s="154">
        <f t="shared" si="29"/>
        <v>7690314.2450000001</v>
      </c>
      <c r="I92" s="1531"/>
      <c r="J92" s="1499"/>
      <c r="K92" s="154"/>
      <c r="L92" s="154">
        <f>+E92</f>
        <v>15125469.34</v>
      </c>
      <c r="M92" s="1531"/>
      <c r="N92" s="1485" t="s">
        <v>943</v>
      </c>
    </row>
    <row r="93" spans="1:15" s="187" customFormat="1">
      <c r="A93" s="889">
        <f t="shared" si="27"/>
        <v>11.759999999999984</v>
      </c>
      <c r="B93" s="189" t="s">
        <v>1093</v>
      </c>
      <c r="C93" s="189"/>
      <c r="D93" s="1488">
        <v>120085.01</v>
      </c>
      <c r="E93" s="1488">
        <v>138372.64000000001</v>
      </c>
      <c r="F93" s="1499">
        <f t="shared" ref="F93:F95" si="30">+SUM($D93:$E93)/2</f>
        <v>129228.82500000001</v>
      </c>
      <c r="G93" s="154"/>
      <c r="H93" s="154"/>
      <c r="I93" s="1531"/>
      <c r="J93" s="1499">
        <f>+E93</f>
        <v>138372.64000000001</v>
      </c>
      <c r="K93" s="154"/>
      <c r="L93" s="154"/>
      <c r="M93" s="1531"/>
      <c r="N93" s="1485" t="s">
        <v>209</v>
      </c>
    </row>
    <row r="94" spans="1:15" s="187" customFormat="1">
      <c r="A94" s="889">
        <f t="shared" si="27"/>
        <v>11.769999999999984</v>
      </c>
      <c r="B94" s="1520" t="s">
        <v>1318</v>
      </c>
      <c r="C94" s="1520"/>
      <c r="D94" s="1488">
        <v>-224085.91</v>
      </c>
      <c r="E94" s="1490">
        <v>-173864.47</v>
      </c>
      <c r="F94" s="1135">
        <f t="shared" si="30"/>
        <v>-198975.19</v>
      </c>
      <c r="G94" s="1520"/>
      <c r="H94" s="1520"/>
      <c r="I94" s="1548"/>
      <c r="J94" s="1135">
        <f t="shared" ref="J94:J95" si="31">+E94</f>
        <v>-173864.47</v>
      </c>
      <c r="K94" s="1520"/>
      <c r="L94" s="1520"/>
      <c r="M94" s="1548"/>
      <c r="N94" s="1520" t="s">
        <v>200</v>
      </c>
      <c r="O94" s="187" t="s">
        <v>1379</v>
      </c>
    </row>
    <row r="95" spans="1:15" s="187" customFormat="1">
      <c r="A95" s="889">
        <f t="shared" si="27"/>
        <v>11.779999999999983</v>
      </c>
      <c r="B95" s="1520" t="s">
        <v>1319</v>
      </c>
      <c r="C95" s="1520"/>
      <c r="D95" s="1488">
        <v>-36187.79</v>
      </c>
      <c r="E95" s="1490">
        <v>-28077.49</v>
      </c>
      <c r="F95" s="1135">
        <f t="shared" si="30"/>
        <v>-32132.639999999999</v>
      </c>
      <c r="G95" s="1520"/>
      <c r="H95" s="1520"/>
      <c r="I95" s="1548"/>
      <c r="J95" s="1135">
        <f t="shared" si="31"/>
        <v>-28077.49</v>
      </c>
      <c r="K95" s="1520"/>
      <c r="L95" s="1520"/>
      <c r="M95" s="1548"/>
      <c r="N95" s="1520" t="s">
        <v>200</v>
      </c>
      <c r="O95" s="187" t="s">
        <v>1379</v>
      </c>
    </row>
    <row r="96" spans="1:15" s="187" customFormat="1">
      <c r="A96" s="889">
        <f t="shared" si="27"/>
        <v>11.789999999999983</v>
      </c>
      <c r="B96" s="1520" t="s">
        <v>1321</v>
      </c>
      <c r="C96" s="1520"/>
      <c r="D96" s="1488">
        <v>2551067.09</v>
      </c>
      <c r="E96" s="1490">
        <v>2139743.52</v>
      </c>
      <c r="F96" s="1520"/>
      <c r="G96" s="1520"/>
      <c r="H96" s="1307">
        <f t="shared" ref="H96:H99" si="32">+SUM($D96:$E96)/2</f>
        <v>2345405.3049999997</v>
      </c>
      <c r="I96" s="1548"/>
      <c r="J96" s="1546"/>
      <c r="K96" s="1307"/>
      <c r="L96" s="1307">
        <f t="shared" ref="L96:L99" si="33">+E96</f>
        <v>2139743.52</v>
      </c>
      <c r="M96" s="1548"/>
      <c r="N96" s="1520" t="s">
        <v>1320</v>
      </c>
      <c r="O96" s="187" t="s">
        <v>1379</v>
      </c>
    </row>
    <row r="97" spans="1:15" s="187" customFormat="1">
      <c r="A97" s="889">
        <f t="shared" si="27"/>
        <v>11.799999999999983</v>
      </c>
      <c r="B97" s="1520" t="s">
        <v>1322</v>
      </c>
      <c r="C97" s="1520"/>
      <c r="D97" s="1488">
        <v>411989.81</v>
      </c>
      <c r="E97" s="1490">
        <v>336326.06</v>
      </c>
      <c r="F97" s="1520"/>
      <c r="G97" s="1520"/>
      <c r="H97" s="1307">
        <f t="shared" si="32"/>
        <v>374157.935</v>
      </c>
      <c r="I97" s="1548"/>
      <c r="J97" s="1546"/>
      <c r="K97" s="1307"/>
      <c r="L97" s="1307">
        <f t="shared" si="33"/>
        <v>336326.06</v>
      </c>
      <c r="M97" s="1548"/>
      <c r="N97" s="1520" t="s">
        <v>1320</v>
      </c>
      <c r="O97" s="187" t="s">
        <v>1379</v>
      </c>
    </row>
    <row r="98" spans="1:15" s="187" customFormat="1">
      <c r="A98" s="889">
        <f t="shared" si="27"/>
        <v>11.809999999999983</v>
      </c>
      <c r="B98" s="1520" t="s">
        <v>1323</v>
      </c>
      <c r="C98" s="1520"/>
      <c r="D98" s="1488">
        <v>21264563.170000002</v>
      </c>
      <c r="E98" s="1490">
        <v>18299199.859999999</v>
      </c>
      <c r="F98" s="1520"/>
      <c r="G98" s="1520"/>
      <c r="H98" s="1307">
        <f t="shared" si="32"/>
        <v>19781881.515000001</v>
      </c>
      <c r="I98" s="1548"/>
      <c r="J98" s="1546"/>
      <c r="K98" s="1307"/>
      <c r="L98" s="1307">
        <f t="shared" si="33"/>
        <v>18299199.859999999</v>
      </c>
      <c r="M98" s="1548"/>
      <c r="N98" s="1520" t="s">
        <v>1320</v>
      </c>
      <c r="O98" s="187" t="s">
        <v>1379</v>
      </c>
    </row>
    <row r="99" spans="1:15" s="187" customFormat="1">
      <c r="A99" s="889">
        <f t="shared" si="27"/>
        <v>11.819999999999983</v>
      </c>
      <c r="B99" s="1520" t="s">
        <v>1324</v>
      </c>
      <c r="C99" s="1520"/>
      <c r="D99" s="1488">
        <v>3434124.92</v>
      </c>
      <c r="E99" s="1490">
        <v>2955236.52</v>
      </c>
      <c r="F99" s="1520"/>
      <c r="G99" s="1520"/>
      <c r="H99" s="1307">
        <f t="shared" si="32"/>
        <v>3194680.7199999997</v>
      </c>
      <c r="I99" s="1548"/>
      <c r="J99" s="1546"/>
      <c r="K99" s="1307"/>
      <c r="L99" s="1307">
        <f t="shared" si="33"/>
        <v>2955236.52</v>
      </c>
      <c r="M99" s="1548"/>
      <c r="N99" s="1520" t="s">
        <v>1320</v>
      </c>
      <c r="O99" s="187" t="s">
        <v>1379</v>
      </c>
    </row>
    <row r="100" spans="1:15" s="187" customFormat="1">
      <c r="A100" s="889">
        <f t="shared" si="27"/>
        <v>11.829999999999982</v>
      </c>
      <c r="B100" s="1520" t="s">
        <v>1373</v>
      </c>
      <c r="C100" s="1520"/>
      <c r="D100" s="1521">
        <v>0</v>
      </c>
      <c r="E100" s="1521">
        <v>-222801.42000000004</v>
      </c>
      <c r="F100" s="1546">
        <f t="shared" ref="F100:F101" si="34">+SUM($D100:$E100)/2</f>
        <v>-111400.71000000002</v>
      </c>
      <c r="G100" s="1307"/>
      <c r="H100" s="1307"/>
      <c r="I100" s="1548"/>
      <c r="J100" s="1546">
        <f t="shared" ref="J100:J101" si="35">+E100</f>
        <v>-222801.42000000004</v>
      </c>
      <c r="K100" s="1307"/>
      <c r="L100" s="1307"/>
      <c r="M100" s="1548"/>
      <c r="N100" s="1522" t="s">
        <v>200</v>
      </c>
      <c r="O100" s="187" t="s">
        <v>1378</v>
      </c>
    </row>
    <row r="101" spans="1:15" s="187" customFormat="1">
      <c r="A101" s="889">
        <f t="shared" si="27"/>
        <v>11.839999999999982</v>
      </c>
      <c r="B101" s="1520" t="s">
        <v>1374</v>
      </c>
      <c r="C101" s="1520"/>
      <c r="D101" s="1521">
        <v>0</v>
      </c>
      <c r="E101" s="1521">
        <v>-35980.350000000006</v>
      </c>
      <c r="F101" s="1546">
        <f t="shared" si="34"/>
        <v>-17990.175000000003</v>
      </c>
      <c r="G101" s="1307"/>
      <c r="H101" s="1307"/>
      <c r="I101" s="1548"/>
      <c r="J101" s="1546">
        <f t="shared" si="35"/>
        <v>-35980.350000000006</v>
      </c>
      <c r="K101" s="1307"/>
      <c r="L101" s="1307"/>
      <c r="M101" s="1548"/>
      <c r="N101" s="1522" t="s">
        <v>200</v>
      </c>
      <c r="O101" s="187" t="s">
        <v>1378</v>
      </c>
    </row>
    <row r="102" spans="1:15" s="187" customFormat="1">
      <c r="A102" s="889">
        <f t="shared" si="27"/>
        <v>11.849999999999982</v>
      </c>
      <c r="B102" s="1520" t="s">
        <v>1375</v>
      </c>
      <c r="C102" s="1520"/>
      <c r="D102" s="1521">
        <v>0</v>
      </c>
      <c r="E102" s="1521">
        <v>16547.22</v>
      </c>
      <c r="F102" s="1546"/>
      <c r="G102" s="1307"/>
      <c r="H102" s="1307"/>
      <c r="I102" s="1548">
        <f t="shared" ref="I102:I103" si="36">+SUM($D102:$E102)/2</f>
        <v>8273.61</v>
      </c>
      <c r="J102" s="1546"/>
      <c r="K102" s="1307"/>
      <c r="L102" s="1307"/>
      <c r="M102" s="1548">
        <f t="shared" ref="M102:M103" si="37">+E102</f>
        <v>16547.22</v>
      </c>
      <c r="N102" s="1522" t="s">
        <v>1377</v>
      </c>
      <c r="O102" s="187" t="s">
        <v>1378</v>
      </c>
    </row>
    <row r="103" spans="1:15" s="187" customFormat="1">
      <c r="A103" s="889">
        <f t="shared" si="27"/>
        <v>11.859999999999982</v>
      </c>
      <c r="B103" s="1520" t="s">
        <v>1376</v>
      </c>
      <c r="C103" s="1520"/>
      <c r="D103" s="1521">
        <v>0</v>
      </c>
      <c r="E103" s="1521">
        <v>2672.22</v>
      </c>
      <c r="F103" s="1546"/>
      <c r="G103" s="1307"/>
      <c r="H103" s="1307"/>
      <c r="I103" s="1548">
        <f t="shared" si="36"/>
        <v>1336.11</v>
      </c>
      <c r="J103" s="1546"/>
      <c r="K103" s="1307"/>
      <c r="L103" s="1307"/>
      <c r="M103" s="1548">
        <f t="shared" si="37"/>
        <v>2672.22</v>
      </c>
      <c r="N103" s="1522" t="s">
        <v>1377</v>
      </c>
      <c r="O103" s="187" t="s">
        <v>1378</v>
      </c>
    </row>
    <row r="104" spans="1:15" s="187" customFormat="1">
      <c r="A104" s="1355"/>
      <c r="B104" s="1520"/>
      <c r="C104" s="1520" t="s">
        <v>905</v>
      </c>
      <c r="D104" s="1521">
        <v>0</v>
      </c>
      <c r="E104" s="1521">
        <v>0</v>
      </c>
      <c r="F104" s="1546"/>
      <c r="G104" s="1307"/>
      <c r="H104" s="1307"/>
      <c r="I104" s="1548"/>
      <c r="J104" s="1546"/>
      <c r="K104" s="1307"/>
      <c r="L104" s="1307"/>
      <c r="M104" s="1548"/>
      <c r="N104" s="1522"/>
    </row>
    <row r="105" spans="1:15" s="187" customFormat="1">
      <c r="A105" s="1355"/>
      <c r="B105" s="1520"/>
      <c r="C105" s="1520" t="s">
        <v>905</v>
      </c>
      <c r="D105" s="1521">
        <v>0</v>
      </c>
      <c r="E105" s="1521">
        <v>0</v>
      </c>
      <c r="F105" s="1546"/>
      <c r="G105" s="1307"/>
      <c r="H105" s="1307"/>
      <c r="I105" s="1548"/>
      <c r="J105" s="1546"/>
      <c r="K105" s="1307"/>
      <c r="L105" s="1307"/>
      <c r="M105" s="1548"/>
      <c r="N105" s="1522"/>
    </row>
    <row r="106" spans="1:15" s="187" customFormat="1">
      <c r="A106" s="1286" t="str">
        <f>+A17&amp;".xx"</f>
        <v>11.xx</v>
      </c>
      <c r="B106" s="1520"/>
      <c r="C106" s="1520" t="s">
        <v>905</v>
      </c>
      <c r="D106" s="1521">
        <v>0</v>
      </c>
      <c r="E106" s="1521">
        <v>0</v>
      </c>
      <c r="F106" s="1549"/>
      <c r="G106" s="1274"/>
      <c r="H106" s="1274"/>
      <c r="I106" s="1550"/>
      <c r="J106" s="1549"/>
      <c r="K106" s="1274"/>
      <c r="L106" s="1274"/>
      <c r="M106" s="1550"/>
      <c r="N106" s="1522"/>
    </row>
    <row r="107" spans="1:15" s="187" customFormat="1" ht="13.8" thickBot="1">
      <c r="A107" s="891">
        <f>+A17+1</f>
        <v>12</v>
      </c>
      <c r="B107" s="1524"/>
      <c r="C107" s="1524"/>
      <c r="D107" s="1525"/>
      <c r="E107" s="1525"/>
      <c r="F107" s="1551"/>
      <c r="G107" s="1552"/>
      <c r="H107" s="1552"/>
      <c r="I107" s="1553"/>
      <c r="J107" s="1551"/>
      <c r="K107" s="1552"/>
      <c r="L107" s="1552"/>
      <c r="M107" s="1553"/>
      <c r="N107" s="1526"/>
    </row>
    <row r="108" spans="1:15" s="179" customFormat="1" ht="14.4" thickBot="1">
      <c r="A108" s="891">
        <f>+A107+1</f>
        <v>13</v>
      </c>
      <c r="B108" s="1527" t="s">
        <v>517</v>
      </c>
      <c r="C108" s="1528"/>
      <c r="D108" s="1529">
        <f t="shared" ref="D108:I108" si="38">SUM(D18:D106)</f>
        <v>85697853.040000007</v>
      </c>
      <c r="E108" s="1529">
        <f t="shared" si="38"/>
        <v>106520518.81</v>
      </c>
      <c r="F108" s="1530">
        <f t="shared" si="38"/>
        <v>76864365.865000039</v>
      </c>
      <c r="G108" s="154">
        <f t="shared" si="38"/>
        <v>0</v>
      </c>
      <c r="H108" s="154">
        <f t="shared" si="38"/>
        <v>26367396.234999999</v>
      </c>
      <c r="I108" s="1531">
        <f t="shared" si="38"/>
        <v>-7122576.1749999989</v>
      </c>
      <c r="J108" s="1530">
        <f>SUM(J18:J107)</f>
        <v>79103658.730000019</v>
      </c>
      <c r="K108" s="154">
        <f>SUM(K18:K107)</f>
        <v>0</v>
      </c>
      <c r="L108" s="154">
        <f>SUM(L18:L107)</f>
        <v>34495045.469999999</v>
      </c>
      <c r="M108" s="1531">
        <f>SUM(M18:M107)</f>
        <v>-7078185.3900000015</v>
      </c>
      <c r="N108" s="1526" t="str">
        <f>+"Sum by Column of Line "&amp;A17&amp;" Subparts"</f>
        <v>Sum by Column of Line 11 Subparts</v>
      </c>
    </row>
    <row r="109" spans="1:15" s="187" customFormat="1" ht="15">
      <c r="A109" s="891">
        <f>+A108+1</f>
        <v>14</v>
      </c>
      <c r="B109" s="2090" t="s">
        <v>557</v>
      </c>
      <c r="C109" s="2090"/>
      <c r="D109" s="1532">
        <f>+D83+D84</f>
        <v>13931230.49</v>
      </c>
      <c r="E109" s="1532">
        <f t="shared" ref="E109:M109" si="39">+E83+E84</f>
        <v>15772964.65</v>
      </c>
      <c r="F109" s="1533">
        <f t="shared" si="39"/>
        <v>14852097.57</v>
      </c>
      <c r="G109" s="1532">
        <f t="shared" si="39"/>
        <v>0</v>
      </c>
      <c r="H109" s="1532">
        <f t="shared" si="39"/>
        <v>0</v>
      </c>
      <c r="I109" s="1534">
        <f t="shared" si="39"/>
        <v>0</v>
      </c>
      <c r="J109" s="1533">
        <f t="shared" si="39"/>
        <v>15772964.65</v>
      </c>
      <c r="K109" s="1532">
        <f t="shared" si="39"/>
        <v>0</v>
      </c>
      <c r="L109" s="1532">
        <f t="shared" si="39"/>
        <v>0</v>
      </c>
      <c r="M109" s="1534">
        <f t="shared" si="39"/>
        <v>0</v>
      </c>
      <c r="N109" s="189"/>
    </row>
    <row r="110" spans="1:15" s="187" customFormat="1" ht="13.8">
      <c r="A110" s="891">
        <f>+A109+1</f>
        <v>15</v>
      </c>
      <c r="B110" s="649" t="s">
        <v>515</v>
      </c>
      <c r="C110" s="1535"/>
      <c r="D110" s="154">
        <f>+D108-D109</f>
        <v>71766622.550000012</v>
      </c>
      <c r="E110" s="154">
        <f>+E108-E109</f>
        <v>90747554.159999996</v>
      </c>
      <c r="F110" s="1530">
        <f>+F108-F109</f>
        <v>62012268.295000039</v>
      </c>
      <c r="G110" s="154">
        <f t="shared" ref="G110:M110" si="40">+G108-G109</f>
        <v>0</v>
      </c>
      <c r="H110" s="154">
        <f t="shared" si="40"/>
        <v>26367396.234999999</v>
      </c>
      <c r="I110" s="1531">
        <f t="shared" si="40"/>
        <v>-7122576.1749999989</v>
      </c>
      <c r="J110" s="1530">
        <f t="shared" si="40"/>
        <v>63330694.080000021</v>
      </c>
      <c r="K110" s="154">
        <f t="shared" si="40"/>
        <v>0</v>
      </c>
      <c r="L110" s="154">
        <f t="shared" si="40"/>
        <v>34495045.469999999</v>
      </c>
      <c r="M110" s="1531">
        <f t="shared" si="40"/>
        <v>-7078185.3900000015</v>
      </c>
      <c r="N110" s="189" t="str">
        <f>+"Ln "&amp;A108&amp;" Less Ln "&amp;A109</f>
        <v>Ln 13 Less Ln 14</v>
      </c>
    </row>
    <row r="111" spans="1:15" s="187" customFormat="1">
      <c r="A111" s="891">
        <f>+A110+1</f>
        <v>16</v>
      </c>
      <c r="B111" s="1536"/>
      <c r="C111" s="1536"/>
      <c r="D111" s="1536"/>
      <c r="E111" s="1537"/>
      <c r="F111" s="1415"/>
      <c r="G111" s="1415"/>
      <c r="H111" s="1415"/>
      <c r="I111" s="1415"/>
      <c r="J111" s="154"/>
      <c r="K111" s="154"/>
      <c r="L111" s="1415"/>
      <c r="M111" s="1415"/>
      <c r="N111" s="1526"/>
    </row>
    <row r="112" spans="1:15" s="187" customFormat="1" ht="16.8">
      <c r="A112" s="891">
        <f>+A111+1</f>
        <v>17</v>
      </c>
      <c r="B112" s="649" t="s">
        <v>760</v>
      </c>
      <c r="C112" s="1517"/>
      <c r="D112" s="1517"/>
      <c r="E112" s="1538"/>
      <c r="F112" s="2087" t="str">
        <f>F8</f>
        <v>Average of BOY/EOY (Col (C+D)/2)</v>
      </c>
      <c r="G112" s="2087"/>
      <c r="H112" s="2087"/>
      <c r="I112" s="2088"/>
      <c r="J112" s="2089" t="str">
        <f>J8</f>
        <v>EOY (Col D)</v>
      </c>
      <c r="K112" s="2089"/>
      <c r="L112" s="2089"/>
      <c r="M112" s="2089"/>
      <c r="N112" s="1539" t="s">
        <v>50</v>
      </c>
    </row>
    <row r="113" spans="1:16" s="187" customFormat="1">
      <c r="A113" s="889">
        <f>+A112+0.01</f>
        <v>17.010000000000002</v>
      </c>
      <c r="B113" s="1561" t="s">
        <v>1094</v>
      </c>
      <c r="C113" s="179"/>
      <c r="D113" s="1488">
        <v>-60641551.350000001</v>
      </c>
      <c r="E113" s="1490">
        <v>-68360366.870000005</v>
      </c>
      <c r="F113" s="180"/>
      <c r="G113" s="180"/>
      <c r="H113" s="180">
        <f t="shared" ref="H113:H118" si="41">+SUM($D113:$E113)/2</f>
        <v>-64500959.109999999</v>
      </c>
      <c r="I113" s="1531"/>
      <c r="J113" s="180"/>
      <c r="K113" s="180"/>
      <c r="L113" s="180">
        <f>+E113</f>
        <v>-68360366.870000005</v>
      </c>
      <c r="M113" s="1531"/>
      <c r="N113" s="1485" t="s">
        <v>0</v>
      </c>
    </row>
    <row r="114" spans="1:16" s="187" customFormat="1">
      <c r="A114" s="889">
        <f>+A113+0.01</f>
        <v>17.020000000000003</v>
      </c>
      <c r="B114" s="1561" t="s">
        <v>1095</v>
      </c>
      <c r="C114" s="179"/>
      <c r="D114" s="1488">
        <v>-8200793.2599999998</v>
      </c>
      <c r="E114" s="1490">
        <v>-9562927.1099999994</v>
      </c>
      <c r="F114" s="180"/>
      <c r="G114" s="180"/>
      <c r="H114" s="180">
        <f t="shared" si="41"/>
        <v>-8881860.1849999987</v>
      </c>
      <c r="I114" s="1531"/>
      <c r="J114" s="180"/>
      <c r="K114" s="180"/>
      <c r="L114" s="180">
        <f>+E114</f>
        <v>-9562927.1099999994</v>
      </c>
      <c r="M114" s="1531"/>
      <c r="N114" s="1485" t="s">
        <v>0</v>
      </c>
    </row>
    <row r="115" spans="1:16" s="187" customFormat="1" ht="15">
      <c r="A115" s="889">
        <f t="shared" ref="A115:A157" si="42">+A114+0.01</f>
        <v>17.030000000000005</v>
      </c>
      <c r="B115" s="179" t="s">
        <v>1096</v>
      </c>
      <c r="C115" s="179"/>
      <c r="D115" s="1488">
        <v>-39889341.759999998</v>
      </c>
      <c r="E115" s="1490">
        <v>-39889341.759999998</v>
      </c>
      <c r="F115" s="180">
        <f t="shared" ref="F115:F116" si="43">+SUM($D115:$E115)/2</f>
        <v>-39889341.759999998</v>
      </c>
      <c r="G115" s="180"/>
      <c r="H115" s="1554"/>
      <c r="I115" s="1531"/>
      <c r="J115" s="180">
        <f>+E115</f>
        <v>-39889341.759999998</v>
      </c>
      <c r="K115" s="180"/>
      <c r="L115" s="1554"/>
      <c r="M115" s="1531"/>
      <c r="N115" s="1485" t="s">
        <v>1</v>
      </c>
      <c r="O115" s="187" t="s">
        <v>961</v>
      </c>
      <c r="P115" s="187" t="s">
        <v>963</v>
      </c>
    </row>
    <row r="116" spans="1:16" s="187" customFormat="1" ht="15">
      <c r="A116" s="889">
        <f t="shared" si="42"/>
        <v>17.040000000000006</v>
      </c>
      <c r="B116" s="179" t="s">
        <v>1097</v>
      </c>
      <c r="C116" s="179"/>
      <c r="D116" s="1488">
        <v>-6441756.7699999996</v>
      </c>
      <c r="E116" s="1490">
        <v>-6441756.7699999996</v>
      </c>
      <c r="F116" s="180">
        <f t="shared" si="43"/>
        <v>-6441756.7699999996</v>
      </c>
      <c r="G116" s="180"/>
      <c r="H116" s="1554"/>
      <c r="I116" s="1531"/>
      <c r="J116" s="180">
        <f>+E116</f>
        <v>-6441756.7699999996</v>
      </c>
      <c r="K116" s="180"/>
      <c r="L116" s="1554"/>
      <c r="M116" s="1531"/>
      <c r="N116" s="1485" t="s">
        <v>1</v>
      </c>
      <c r="O116" s="187" t="s">
        <v>961</v>
      </c>
      <c r="P116" s="187" t="s">
        <v>963</v>
      </c>
    </row>
    <row r="117" spans="1:16" s="187" customFormat="1">
      <c r="A117" s="889">
        <f t="shared" si="42"/>
        <v>17.050000000000008</v>
      </c>
      <c r="B117" s="1561" t="s">
        <v>1098</v>
      </c>
      <c r="C117" s="179"/>
      <c r="D117" s="1488">
        <v>1088162.31</v>
      </c>
      <c r="E117" s="1490">
        <v>791037.79999999981</v>
      </c>
      <c r="F117" s="180"/>
      <c r="G117" s="180"/>
      <c r="H117" s="180">
        <f t="shared" si="41"/>
        <v>939600.05499999993</v>
      </c>
      <c r="I117" s="1531"/>
      <c r="J117" s="180"/>
      <c r="K117" s="180"/>
      <c r="L117" s="180">
        <f t="shared" ref="L117:L128" si="44">+E117</f>
        <v>791037.79999999981</v>
      </c>
      <c r="M117" s="1531"/>
      <c r="N117" s="1485" t="s">
        <v>0</v>
      </c>
    </row>
    <row r="118" spans="1:16" s="187" customFormat="1">
      <c r="A118" s="889">
        <f t="shared" si="42"/>
        <v>17.060000000000009</v>
      </c>
      <c r="B118" s="1561" t="s">
        <v>1099</v>
      </c>
      <c r="C118" s="179"/>
      <c r="D118" s="1488">
        <v>175660.63</v>
      </c>
      <c r="E118" s="1490">
        <v>127677.79000000004</v>
      </c>
      <c r="F118" s="180"/>
      <c r="G118" s="180"/>
      <c r="H118" s="180">
        <f t="shared" si="41"/>
        <v>151669.21000000002</v>
      </c>
      <c r="I118" s="1531"/>
      <c r="J118" s="180"/>
      <c r="K118" s="180"/>
      <c r="L118" s="180">
        <f t="shared" si="44"/>
        <v>127677.79000000004</v>
      </c>
      <c r="M118" s="1531"/>
      <c r="N118" s="1485" t="s">
        <v>0</v>
      </c>
    </row>
    <row r="119" spans="1:16" s="187" customFormat="1">
      <c r="A119" s="889">
        <f t="shared" si="42"/>
        <v>17.070000000000011</v>
      </c>
      <c r="B119" s="1561" t="s">
        <v>1100</v>
      </c>
      <c r="C119" s="179"/>
      <c r="D119" s="1488">
        <v>-3209540.7199999997</v>
      </c>
      <c r="E119" s="1490">
        <v>-2910210.73</v>
      </c>
      <c r="F119" s="180"/>
      <c r="G119" s="180"/>
      <c r="H119" s="180">
        <f t="shared" ref="H119:H120" si="45">+SUM($D119:$E119)/2</f>
        <v>-3059875.7249999996</v>
      </c>
      <c r="I119" s="1531"/>
      <c r="J119" s="180"/>
      <c r="K119" s="180"/>
      <c r="L119" s="180">
        <f t="shared" si="44"/>
        <v>-2910210.73</v>
      </c>
      <c r="M119" s="1531"/>
      <c r="N119" s="1485" t="s">
        <v>1</v>
      </c>
    </row>
    <row r="120" spans="1:16" s="187" customFormat="1">
      <c r="A120" s="889">
        <f t="shared" si="42"/>
        <v>17.080000000000013</v>
      </c>
      <c r="B120" s="1561" t="s">
        <v>1101</v>
      </c>
      <c r="C120" s="179"/>
      <c r="D120" s="1488">
        <v>-518331.39</v>
      </c>
      <c r="E120" s="1490">
        <v>-469990.53</v>
      </c>
      <c r="F120" s="180"/>
      <c r="G120" s="180"/>
      <c r="H120" s="180">
        <f t="shared" si="45"/>
        <v>-494160.96</v>
      </c>
      <c r="I120" s="1531"/>
      <c r="J120" s="180"/>
      <c r="K120" s="180"/>
      <c r="L120" s="180">
        <f t="shared" si="44"/>
        <v>-469990.53</v>
      </c>
      <c r="M120" s="1531"/>
      <c r="N120" s="1485" t="s">
        <v>1</v>
      </c>
    </row>
    <row r="121" spans="1:16" s="187" customFormat="1">
      <c r="A121" s="889">
        <f t="shared" si="42"/>
        <v>17.090000000000014</v>
      </c>
      <c r="B121" s="1561" t="s">
        <v>1102</v>
      </c>
      <c r="C121" s="179"/>
      <c r="D121" s="1488">
        <v>-350595.48</v>
      </c>
      <c r="E121" s="1490">
        <v>-310497.24</v>
      </c>
      <c r="F121" s="180"/>
      <c r="G121" s="180"/>
      <c r="H121" s="180">
        <f t="shared" ref="H121:H128" si="46">+SUM($D121:$E121)/2</f>
        <v>-330546.36</v>
      </c>
      <c r="I121" s="1531"/>
      <c r="J121" s="180"/>
      <c r="K121" s="180"/>
      <c r="L121" s="180">
        <f t="shared" si="44"/>
        <v>-310497.24</v>
      </c>
      <c r="M121" s="1531"/>
      <c r="N121" s="1485" t="s">
        <v>1</v>
      </c>
    </row>
    <row r="122" spans="1:16" s="187" customFormat="1">
      <c r="A122" s="889">
        <f t="shared" si="42"/>
        <v>17.100000000000016</v>
      </c>
      <c r="B122" s="1561" t="s">
        <v>1103</v>
      </c>
      <c r="C122" s="179"/>
      <c r="D122" s="1488">
        <v>-56639.41</v>
      </c>
      <c r="E122" s="1490">
        <v>-50162.390000000014</v>
      </c>
      <c r="F122" s="180"/>
      <c r="G122" s="180"/>
      <c r="H122" s="180">
        <f t="shared" si="46"/>
        <v>-53400.900000000009</v>
      </c>
      <c r="I122" s="1531"/>
      <c r="J122" s="180"/>
      <c r="K122" s="180"/>
      <c r="L122" s="180">
        <f t="shared" si="44"/>
        <v>-50162.390000000014</v>
      </c>
      <c r="M122" s="1531"/>
      <c r="N122" s="1485" t="s">
        <v>1</v>
      </c>
    </row>
    <row r="123" spans="1:16" s="187" customFormat="1">
      <c r="A123" s="889">
        <f t="shared" si="42"/>
        <v>17.110000000000017</v>
      </c>
      <c r="B123" s="1561" t="s">
        <v>1104</v>
      </c>
      <c r="C123" s="179"/>
      <c r="D123" s="1488">
        <v>-14841.9</v>
      </c>
      <c r="E123" s="1490">
        <v>-23495.06</v>
      </c>
      <c r="F123" s="229"/>
      <c r="G123" s="180"/>
      <c r="H123" s="180">
        <f t="shared" si="46"/>
        <v>-19168.48</v>
      </c>
      <c r="I123" s="1531"/>
      <c r="J123" s="180"/>
      <c r="K123" s="180"/>
      <c r="L123" s="180">
        <f t="shared" si="44"/>
        <v>-23495.06</v>
      </c>
      <c r="M123" s="1531"/>
      <c r="N123" s="1485" t="s">
        <v>194</v>
      </c>
    </row>
    <row r="124" spans="1:16" s="187" customFormat="1">
      <c r="A124" s="889">
        <f t="shared" si="42"/>
        <v>17.120000000000019</v>
      </c>
      <c r="B124" s="1561" t="s">
        <v>1105</v>
      </c>
      <c r="C124" s="179"/>
      <c r="D124" s="1488">
        <v>-2395.77</v>
      </c>
      <c r="E124" s="1490">
        <v>-3793.2</v>
      </c>
      <c r="F124" s="229"/>
      <c r="G124" s="180"/>
      <c r="H124" s="180">
        <f t="shared" si="46"/>
        <v>-3094.4849999999997</v>
      </c>
      <c r="I124" s="1531"/>
      <c r="J124" s="180"/>
      <c r="K124" s="180"/>
      <c r="L124" s="180">
        <f t="shared" si="44"/>
        <v>-3793.2</v>
      </c>
      <c r="M124" s="1531"/>
      <c r="N124" s="1485" t="s">
        <v>194</v>
      </c>
    </row>
    <row r="125" spans="1:16" s="187" customFormat="1">
      <c r="A125" s="889">
        <f t="shared" si="42"/>
        <v>17.13000000000002</v>
      </c>
      <c r="B125" s="1561" t="s">
        <v>1106</v>
      </c>
      <c r="C125" s="179"/>
      <c r="D125" s="1488">
        <v>-33398.19</v>
      </c>
      <c r="E125" s="1490">
        <v>-30986.15</v>
      </c>
      <c r="F125" s="180"/>
      <c r="G125" s="180"/>
      <c r="H125" s="180">
        <f t="shared" si="46"/>
        <v>-32192.170000000002</v>
      </c>
      <c r="I125" s="1531"/>
      <c r="J125" s="180"/>
      <c r="K125" s="180"/>
      <c r="L125" s="180">
        <f t="shared" si="44"/>
        <v>-30986.15</v>
      </c>
      <c r="M125" s="1531"/>
      <c r="N125" s="1485" t="s">
        <v>1</v>
      </c>
    </row>
    <row r="126" spans="1:16" s="187" customFormat="1">
      <c r="A126" s="889">
        <f t="shared" si="42"/>
        <v>17.140000000000022</v>
      </c>
      <c r="B126" s="1561" t="s">
        <v>1107</v>
      </c>
      <c r="C126" s="179"/>
      <c r="D126" s="1488">
        <v>-5493.79</v>
      </c>
      <c r="E126" s="1490">
        <v>-5132.3500000000004</v>
      </c>
      <c r="F126" s="180"/>
      <c r="G126" s="180"/>
      <c r="H126" s="180">
        <f t="shared" si="46"/>
        <v>-5313.07</v>
      </c>
      <c r="I126" s="1531"/>
      <c r="J126" s="180"/>
      <c r="K126" s="180"/>
      <c r="L126" s="180">
        <f t="shared" si="44"/>
        <v>-5132.3500000000004</v>
      </c>
      <c r="M126" s="1531"/>
      <c r="N126" s="1485" t="s">
        <v>1</v>
      </c>
    </row>
    <row r="127" spans="1:16" s="187" customFormat="1">
      <c r="A127" s="889">
        <f t="shared" si="42"/>
        <v>17.150000000000023</v>
      </c>
      <c r="B127" s="1561" t="s">
        <v>1108</v>
      </c>
      <c r="C127" s="179"/>
      <c r="D127" s="1488">
        <v>1386382.03</v>
      </c>
      <c r="E127" s="1490">
        <v>1015777.21</v>
      </c>
      <c r="F127" s="180"/>
      <c r="G127" s="180"/>
      <c r="H127" s="180">
        <f t="shared" si="46"/>
        <v>1201079.6200000001</v>
      </c>
      <c r="I127" s="1531"/>
      <c r="J127" s="180"/>
      <c r="K127" s="180"/>
      <c r="L127" s="180">
        <f t="shared" si="44"/>
        <v>1015777.21</v>
      </c>
      <c r="M127" s="1531"/>
      <c r="N127" s="1485" t="s">
        <v>1</v>
      </c>
    </row>
    <row r="128" spans="1:16" s="187" customFormat="1">
      <c r="A128" s="889">
        <f t="shared" si="42"/>
        <v>17.160000000000025</v>
      </c>
      <c r="B128" s="1561" t="s">
        <v>1109</v>
      </c>
      <c r="C128" s="179"/>
      <c r="D128" s="1488">
        <v>224877.09</v>
      </c>
      <c r="E128" s="1490">
        <v>164472.32000000001</v>
      </c>
      <c r="F128" s="180"/>
      <c r="G128" s="180"/>
      <c r="H128" s="180">
        <f t="shared" si="46"/>
        <v>194674.70500000002</v>
      </c>
      <c r="I128" s="1531"/>
      <c r="J128" s="180"/>
      <c r="K128" s="180"/>
      <c r="L128" s="180">
        <f t="shared" si="44"/>
        <v>164472.32000000001</v>
      </c>
      <c r="M128" s="1531"/>
      <c r="N128" s="1485" t="s">
        <v>1</v>
      </c>
    </row>
    <row r="129" spans="1:15" s="187" customFormat="1">
      <c r="A129" s="889">
        <f t="shared" si="42"/>
        <v>17.170000000000027</v>
      </c>
      <c r="B129" s="1561" t="s">
        <v>1110</v>
      </c>
      <c r="C129" s="179"/>
      <c r="D129" s="1488">
        <v>-3984538.1100000003</v>
      </c>
      <c r="E129" s="1490">
        <v>-3819764.05</v>
      </c>
      <c r="F129" s="180"/>
      <c r="G129" s="180"/>
      <c r="H129" s="180"/>
      <c r="I129" s="1531">
        <f t="shared" ref="I129:I130" si="47">+SUM($D129:$E129)/2</f>
        <v>-3902151.08</v>
      </c>
      <c r="J129" s="180"/>
      <c r="K129" s="180"/>
      <c r="L129" s="180"/>
      <c r="M129" s="1531">
        <f>+E129</f>
        <v>-3819764.05</v>
      </c>
      <c r="N129" s="1485" t="s">
        <v>2</v>
      </c>
    </row>
    <row r="130" spans="1:15" s="187" customFormat="1">
      <c r="A130" s="889">
        <f t="shared" si="42"/>
        <v>17.180000000000028</v>
      </c>
      <c r="B130" s="1561" t="s">
        <v>1111</v>
      </c>
      <c r="C130" s="179"/>
      <c r="D130" s="1488">
        <v>-643490.21</v>
      </c>
      <c r="E130" s="1490">
        <v>-616874.62</v>
      </c>
      <c r="F130" s="180"/>
      <c r="G130" s="180"/>
      <c r="H130" s="180"/>
      <c r="I130" s="1531">
        <f t="shared" si="47"/>
        <v>-630182.41500000004</v>
      </c>
      <c r="J130" s="180"/>
      <c r="K130" s="180"/>
      <c r="L130" s="180"/>
      <c r="M130" s="1531">
        <f>+E130</f>
        <v>-616874.62</v>
      </c>
      <c r="N130" s="1485" t="s">
        <v>2</v>
      </c>
    </row>
    <row r="131" spans="1:15" s="187" customFormat="1" ht="12.75" customHeight="1">
      <c r="A131" s="889">
        <f t="shared" si="42"/>
        <v>17.19000000000003</v>
      </c>
      <c r="B131" s="1561" t="s">
        <v>1112</v>
      </c>
      <c r="C131" s="179"/>
      <c r="D131" s="1488">
        <v>-2740446.18</v>
      </c>
      <c r="E131" s="1490">
        <v>-2105686.9</v>
      </c>
      <c r="F131" s="180"/>
      <c r="G131" s="180"/>
      <c r="H131" s="180">
        <f t="shared" ref="H131:H134" si="48">+SUM($D131:$E131)/2</f>
        <v>-2423066.54</v>
      </c>
      <c r="I131" s="1531"/>
      <c r="J131" s="180"/>
      <c r="K131" s="180"/>
      <c r="L131" s="180">
        <f t="shared" ref="L131:L132" si="49">+E131</f>
        <v>-2105686.9</v>
      </c>
      <c r="M131" s="1531"/>
      <c r="N131" s="1485" t="s">
        <v>1</v>
      </c>
    </row>
    <row r="132" spans="1:15" s="187" customFormat="1">
      <c r="A132" s="889">
        <f t="shared" si="42"/>
        <v>17.200000000000031</v>
      </c>
      <c r="B132" s="1561" t="s">
        <v>1113</v>
      </c>
      <c r="C132" s="179"/>
      <c r="D132" s="1488">
        <v>-1465310.46</v>
      </c>
      <c r="E132" s="1490">
        <v>-1210299.02</v>
      </c>
      <c r="F132" s="180"/>
      <c r="G132" s="180"/>
      <c r="H132" s="180">
        <f t="shared" si="48"/>
        <v>-1337804.74</v>
      </c>
      <c r="I132" s="1531"/>
      <c r="J132" s="180"/>
      <c r="K132" s="180"/>
      <c r="L132" s="180">
        <f t="shared" si="49"/>
        <v>-1210299.02</v>
      </c>
      <c r="M132" s="1531"/>
      <c r="N132" s="1485" t="s">
        <v>1</v>
      </c>
    </row>
    <row r="133" spans="1:15" s="187" customFormat="1">
      <c r="A133" s="889">
        <f t="shared" si="42"/>
        <v>17.210000000000033</v>
      </c>
      <c r="B133" s="1561" t="s">
        <v>1114</v>
      </c>
      <c r="C133" s="179"/>
      <c r="D133" s="1488">
        <v>-20288217.989999998</v>
      </c>
      <c r="E133" s="1490">
        <v>-19022797.579999998</v>
      </c>
      <c r="F133" s="180"/>
      <c r="G133" s="180"/>
      <c r="H133" s="180">
        <f t="shared" si="48"/>
        <v>-19655507.784999996</v>
      </c>
      <c r="I133" s="1531"/>
      <c r="J133" s="180"/>
      <c r="K133" s="180"/>
      <c r="L133" s="180">
        <f>+E133</f>
        <v>-19022797.579999998</v>
      </c>
      <c r="M133" s="1531"/>
      <c r="N133" s="1485" t="s">
        <v>1</v>
      </c>
    </row>
    <row r="134" spans="1:15" s="187" customFormat="1">
      <c r="A134" s="889">
        <f t="shared" si="42"/>
        <v>17.220000000000034</v>
      </c>
      <c r="B134" s="1561" t="s">
        <v>1115</v>
      </c>
      <c r="C134" s="179"/>
      <c r="D134" s="1488">
        <v>-5852183.3600000003</v>
      </c>
      <c r="E134" s="1490">
        <v>-5304605.4400000004</v>
      </c>
      <c r="F134" s="180"/>
      <c r="G134" s="180"/>
      <c r="H134" s="180">
        <f t="shared" si="48"/>
        <v>-5578394.4000000004</v>
      </c>
      <c r="I134" s="1531"/>
      <c r="J134" s="180"/>
      <c r="K134" s="180"/>
      <c r="L134" s="180">
        <f>+E134</f>
        <v>-5304605.4400000004</v>
      </c>
      <c r="M134" s="1531"/>
      <c r="N134" s="1485" t="s">
        <v>1</v>
      </c>
    </row>
    <row r="135" spans="1:15" s="187" customFormat="1">
      <c r="A135" s="889">
        <f t="shared" si="42"/>
        <v>17.230000000000036</v>
      </c>
      <c r="B135" s="1561" t="s">
        <v>1116</v>
      </c>
      <c r="C135" s="179"/>
      <c r="D135" s="1488">
        <v>9970374.8000000007</v>
      </c>
      <c r="E135" s="1490">
        <v>7413126</v>
      </c>
      <c r="F135" s="180">
        <f t="shared" ref="F135:F136" si="50">+SUM($D135:$E135)/2</f>
        <v>8691750.4000000004</v>
      </c>
      <c r="G135" s="180"/>
      <c r="H135" s="180"/>
      <c r="I135" s="1531"/>
      <c r="J135" s="180">
        <f>+E135</f>
        <v>7413126</v>
      </c>
      <c r="K135" s="180"/>
      <c r="L135" s="180"/>
      <c r="M135" s="1531"/>
      <c r="N135" s="1485" t="s">
        <v>208</v>
      </c>
    </row>
    <row r="136" spans="1:15" s="187" customFormat="1">
      <c r="A136" s="889">
        <f t="shared" si="42"/>
        <v>17.240000000000038</v>
      </c>
      <c r="B136" s="1561" t="s">
        <v>1117</v>
      </c>
      <c r="C136" s="179"/>
      <c r="D136" s="1488">
        <v>1098309.1100000001</v>
      </c>
      <c r="E136" s="1490">
        <v>960815.6</v>
      </c>
      <c r="F136" s="180">
        <f t="shared" si="50"/>
        <v>1029562.355</v>
      </c>
      <c r="G136" s="180"/>
      <c r="H136" s="180"/>
      <c r="I136" s="1531"/>
      <c r="J136" s="180">
        <f>+E136</f>
        <v>960815.6</v>
      </c>
      <c r="K136" s="180"/>
      <c r="L136" s="180"/>
      <c r="M136" s="1531"/>
      <c r="N136" s="1485" t="s">
        <v>208</v>
      </c>
    </row>
    <row r="137" spans="1:15" s="187" customFormat="1">
      <c r="A137" s="889">
        <f t="shared" si="42"/>
        <v>17.250000000000039</v>
      </c>
      <c r="B137" s="1561" t="s">
        <v>1118</v>
      </c>
      <c r="C137" s="179"/>
      <c r="D137" s="1488">
        <v>-5850611.2400000002</v>
      </c>
      <c r="E137" s="1490">
        <v>-8182070.04</v>
      </c>
      <c r="F137" s="180"/>
      <c r="G137" s="180"/>
      <c r="H137" s="180">
        <f t="shared" ref="H137:H138" si="51">+SUM($D137:$E137)/2</f>
        <v>-7016340.6400000006</v>
      </c>
      <c r="I137" s="1531"/>
      <c r="J137" s="180"/>
      <c r="K137" s="180"/>
      <c r="L137" s="180">
        <f>+E137</f>
        <v>-8182070.04</v>
      </c>
      <c r="M137" s="1531"/>
      <c r="N137" s="1485" t="s">
        <v>1</v>
      </c>
    </row>
    <row r="138" spans="1:15" s="187" customFormat="1">
      <c r="A138" s="889">
        <f t="shared" si="42"/>
        <v>17.260000000000041</v>
      </c>
      <c r="B138" s="1561" t="s">
        <v>1119</v>
      </c>
      <c r="C138" s="179"/>
      <c r="D138" s="1488">
        <v>-947293.46</v>
      </c>
      <c r="E138" s="1490">
        <v>-1323836.1499999999</v>
      </c>
      <c r="F138" s="180"/>
      <c r="G138" s="180"/>
      <c r="H138" s="180">
        <f t="shared" si="51"/>
        <v>-1135564.8049999999</v>
      </c>
      <c r="I138" s="1531"/>
      <c r="J138" s="180"/>
      <c r="K138" s="180"/>
      <c r="L138" s="180">
        <f>+$E138</f>
        <v>-1323836.1499999999</v>
      </c>
      <c r="M138" s="1531"/>
      <c r="N138" s="1485" t="s">
        <v>1</v>
      </c>
    </row>
    <row r="139" spans="1:15" s="187" customFormat="1">
      <c r="A139" s="889">
        <f t="shared" si="42"/>
        <v>17.270000000000042</v>
      </c>
      <c r="B139" s="1561" t="s">
        <v>1120</v>
      </c>
      <c r="C139" s="179"/>
      <c r="D139" s="1488">
        <v>-24264354.120000001</v>
      </c>
      <c r="E139" s="1490">
        <v>-24984882.73</v>
      </c>
      <c r="F139" s="180">
        <f t="shared" ref="F139:F142" si="52">+SUM($D139:$E139)/2</f>
        <v>-24624618.425000001</v>
      </c>
      <c r="G139" s="180"/>
      <c r="H139" s="180"/>
      <c r="I139" s="1531"/>
      <c r="J139" s="180">
        <f>+E139</f>
        <v>-24984882.73</v>
      </c>
      <c r="K139" s="180"/>
      <c r="L139" s="180"/>
      <c r="M139" s="1531"/>
      <c r="N139" s="1485" t="s">
        <v>200</v>
      </c>
    </row>
    <row r="140" spans="1:15" s="187" customFormat="1">
      <c r="A140" s="889">
        <f t="shared" si="42"/>
        <v>17.280000000000044</v>
      </c>
      <c r="B140" s="1561" t="s">
        <v>1121</v>
      </c>
      <c r="C140" s="179"/>
      <c r="D140" s="1488">
        <v>-3873503.26</v>
      </c>
      <c r="E140" s="1490">
        <v>-3992208.09</v>
      </c>
      <c r="F140" s="180">
        <f t="shared" si="52"/>
        <v>-3932855.6749999998</v>
      </c>
      <c r="G140" s="180"/>
      <c r="H140" s="180"/>
      <c r="I140" s="1531"/>
      <c r="J140" s="180">
        <f>+E140</f>
        <v>-3992208.09</v>
      </c>
      <c r="K140" s="180"/>
      <c r="L140" s="180"/>
      <c r="M140" s="1531"/>
      <c r="N140" s="1485" t="s">
        <v>200</v>
      </c>
    </row>
    <row r="141" spans="1:15" s="187" customFormat="1">
      <c r="A141" s="889">
        <f t="shared" si="42"/>
        <v>17.290000000000045</v>
      </c>
      <c r="B141" s="1561" t="s">
        <v>1122</v>
      </c>
      <c r="C141" s="179"/>
      <c r="D141" s="1488">
        <v>183348.9</v>
      </c>
      <c r="E141" s="1490">
        <v>367900.64</v>
      </c>
      <c r="F141" s="180">
        <f t="shared" si="52"/>
        <v>275624.77</v>
      </c>
      <c r="G141" s="180"/>
      <c r="H141" s="180"/>
      <c r="I141" s="1531"/>
      <c r="J141" s="180">
        <f>+E141</f>
        <v>367900.64</v>
      </c>
      <c r="K141" s="180"/>
      <c r="L141" s="180"/>
      <c r="M141" s="1531"/>
      <c r="N141" s="1485" t="s">
        <v>200</v>
      </c>
      <c r="O141" s="187" t="s">
        <v>962</v>
      </c>
    </row>
    <row r="142" spans="1:15" s="187" customFormat="1">
      <c r="A142" s="889">
        <f t="shared" si="42"/>
        <v>17.300000000000047</v>
      </c>
      <c r="B142" s="1561" t="s">
        <v>1123</v>
      </c>
      <c r="C142" s="179"/>
      <c r="D142" s="1488">
        <v>29553.27</v>
      </c>
      <c r="E142" s="1490">
        <v>59412.53</v>
      </c>
      <c r="F142" s="180">
        <f t="shared" si="52"/>
        <v>44482.9</v>
      </c>
      <c r="G142" s="180"/>
      <c r="H142" s="180"/>
      <c r="I142" s="1531"/>
      <c r="J142" s="180">
        <f>+E142</f>
        <v>59412.53</v>
      </c>
      <c r="K142" s="180"/>
      <c r="L142" s="180"/>
      <c r="M142" s="1531"/>
      <c r="N142" s="1485" t="s">
        <v>200</v>
      </c>
      <c r="O142" s="187" t="s">
        <v>962</v>
      </c>
    </row>
    <row r="143" spans="1:15" s="187" customFormat="1">
      <c r="A143" s="889">
        <f t="shared" si="42"/>
        <v>17.310000000000048</v>
      </c>
      <c r="B143" s="1561" t="s">
        <v>1124</v>
      </c>
      <c r="C143" s="179"/>
      <c r="D143" s="1488">
        <v>-258210.81</v>
      </c>
      <c r="E143" s="1490">
        <v>-108461.31</v>
      </c>
      <c r="F143" s="180"/>
      <c r="G143" s="180">
        <f t="shared" ref="G143:G144" si="53">+SUM($D143:$E143)/2</f>
        <v>-183336.06</v>
      </c>
      <c r="H143" s="180"/>
      <c r="I143" s="1531"/>
      <c r="J143" s="180"/>
      <c r="K143" s="180">
        <f>+$E143</f>
        <v>-108461.31</v>
      </c>
      <c r="L143" s="180"/>
      <c r="M143" s="1531"/>
      <c r="N143" s="1485" t="s">
        <v>854</v>
      </c>
      <c r="O143" s="187" t="s">
        <v>961</v>
      </c>
    </row>
    <row r="144" spans="1:15" s="187" customFormat="1">
      <c r="A144" s="889">
        <f t="shared" si="42"/>
        <v>17.32000000000005</v>
      </c>
      <c r="B144" s="1561" t="s">
        <v>1125</v>
      </c>
      <c r="C144" s="179"/>
      <c r="D144" s="1488">
        <v>-41699.99</v>
      </c>
      <c r="E144" s="1490">
        <v>-17516.14</v>
      </c>
      <c r="F144" s="180"/>
      <c r="G144" s="180">
        <f t="shared" si="53"/>
        <v>-29608.064999999999</v>
      </c>
      <c r="H144" s="180"/>
      <c r="I144" s="1531"/>
      <c r="J144" s="180"/>
      <c r="K144" s="180">
        <f>+$E144</f>
        <v>-17516.14</v>
      </c>
      <c r="L144" s="180"/>
      <c r="M144" s="1531"/>
      <c r="N144" s="1485" t="s">
        <v>854</v>
      </c>
      <c r="O144" s="187" t="s">
        <v>961</v>
      </c>
    </row>
    <row r="145" spans="1:15" s="187" customFormat="1">
      <c r="A145" s="889">
        <f t="shared" si="42"/>
        <v>17.330000000000052</v>
      </c>
      <c r="B145" s="1562" t="s">
        <v>1126</v>
      </c>
      <c r="C145" s="179"/>
      <c r="D145" s="1488">
        <v>440696.26</v>
      </c>
      <c r="E145" s="1490">
        <v>-0.4</v>
      </c>
      <c r="F145" s="180"/>
      <c r="G145" s="180"/>
      <c r="H145" s="180">
        <f t="shared" ref="H145:H146" si="54">+SUM($D145:$E145)/2</f>
        <v>220347.93</v>
      </c>
      <c r="I145" s="1531"/>
      <c r="J145" s="180"/>
      <c r="K145" s="180"/>
      <c r="L145" s="180">
        <f>+E145</f>
        <v>-0.4</v>
      </c>
      <c r="M145" s="1531"/>
      <c r="N145" s="1485" t="s">
        <v>0</v>
      </c>
    </row>
    <row r="146" spans="1:15" s="187" customFormat="1">
      <c r="A146" s="889">
        <f t="shared" si="42"/>
        <v>17.340000000000053</v>
      </c>
      <c r="B146" s="563" t="s">
        <v>1127</v>
      </c>
      <c r="C146" s="189"/>
      <c r="D146" s="1488">
        <v>-913.68</v>
      </c>
      <c r="E146" s="1490">
        <v>-0.32</v>
      </c>
      <c r="F146" s="154"/>
      <c r="G146" s="154"/>
      <c r="H146" s="154">
        <f t="shared" si="54"/>
        <v>-457</v>
      </c>
      <c r="I146" s="1531"/>
      <c r="J146" s="154"/>
      <c r="K146" s="154"/>
      <c r="L146" s="154">
        <f>+E146</f>
        <v>-0.32</v>
      </c>
      <c r="M146" s="1531"/>
      <c r="N146" s="1526" t="s">
        <v>0</v>
      </c>
    </row>
    <row r="147" spans="1:15" s="187" customFormat="1">
      <c r="A147" s="1286">
        <f t="shared" si="42"/>
        <v>17.350000000000055</v>
      </c>
      <c r="B147" s="190" t="s">
        <v>1326</v>
      </c>
      <c r="C147" s="1488"/>
      <c r="D147" s="1488">
        <v>-125700</v>
      </c>
      <c r="E147" s="1490">
        <v>-116423.05</v>
      </c>
      <c r="F147" s="1602">
        <f t="shared" ref="F147:F153" si="55">+SUM($D147:$E147)/2</f>
        <v>-121061.52499999999</v>
      </c>
      <c r="G147" s="1602"/>
      <c r="H147" s="1602"/>
      <c r="I147" s="1548"/>
      <c r="J147" s="1602">
        <f t="shared" ref="J147:J153" si="56">+E147</f>
        <v>-116423.05</v>
      </c>
      <c r="K147" s="1488"/>
      <c r="L147" s="1488"/>
      <c r="M147" s="1488"/>
      <c r="N147" s="1599" t="s">
        <v>200</v>
      </c>
      <c r="O147" s="187" t="s">
        <v>1379</v>
      </c>
    </row>
    <row r="148" spans="1:15" s="187" customFormat="1">
      <c r="A148" s="1286">
        <f t="shared" si="42"/>
        <v>17.360000000000056</v>
      </c>
      <c r="B148" s="190" t="s">
        <v>1327</v>
      </c>
      <c r="C148" s="1488"/>
      <c r="D148" s="1488">
        <v>9643.3700000000008</v>
      </c>
      <c r="E148" s="1490">
        <v>9041.61</v>
      </c>
      <c r="F148" s="1602">
        <f t="shared" si="55"/>
        <v>9342.4900000000016</v>
      </c>
      <c r="G148" s="1602"/>
      <c r="H148" s="1602"/>
      <c r="I148" s="1548"/>
      <c r="J148" s="1602">
        <f t="shared" si="56"/>
        <v>9041.61</v>
      </c>
      <c r="K148" s="1488"/>
      <c r="L148" s="1488"/>
      <c r="M148" s="1488"/>
      <c r="N148" s="1599" t="s">
        <v>200</v>
      </c>
      <c r="O148" s="187" t="s">
        <v>1379</v>
      </c>
    </row>
    <row r="149" spans="1:15" s="187" customFormat="1">
      <c r="A149" s="1286">
        <f t="shared" si="42"/>
        <v>17.370000000000058</v>
      </c>
      <c r="B149" s="190" t="s">
        <v>1328</v>
      </c>
      <c r="C149" s="1488"/>
      <c r="D149" s="1488">
        <v>1557.38</v>
      </c>
      <c r="E149" s="1490">
        <v>1460.2</v>
      </c>
      <c r="F149" s="1602">
        <f t="shared" si="55"/>
        <v>1508.79</v>
      </c>
      <c r="G149" s="1602"/>
      <c r="H149" s="1602"/>
      <c r="I149" s="1548"/>
      <c r="J149" s="1602">
        <f t="shared" si="56"/>
        <v>1460.2</v>
      </c>
      <c r="K149" s="1488"/>
      <c r="L149" s="1488"/>
      <c r="M149" s="1488"/>
      <c r="N149" s="1599" t="s">
        <v>200</v>
      </c>
      <c r="O149" s="187" t="s">
        <v>1379</v>
      </c>
    </row>
    <row r="150" spans="1:15" s="187" customFormat="1">
      <c r="A150" s="1286">
        <f t="shared" si="42"/>
        <v>17.380000000000059</v>
      </c>
      <c r="B150" s="190" t="s">
        <v>1329</v>
      </c>
      <c r="C150" s="1488"/>
      <c r="D150" s="1488">
        <v>10257.26</v>
      </c>
      <c r="E150" s="1490">
        <v>-460644.33</v>
      </c>
      <c r="F150" s="1602">
        <f t="shared" si="55"/>
        <v>-225193.535</v>
      </c>
      <c r="G150" s="1602"/>
      <c r="H150" s="1602"/>
      <c r="I150" s="1548"/>
      <c r="J150" s="1602">
        <f t="shared" si="56"/>
        <v>-460644.33</v>
      </c>
      <c r="K150" s="1488"/>
      <c r="L150" s="1488"/>
      <c r="M150" s="1488"/>
      <c r="N150" s="1599" t="s">
        <v>200</v>
      </c>
      <c r="O150" s="187" t="s">
        <v>1379</v>
      </c>
    </row>
    <row r="151" spans="1:15" s="187" customFormat="1">
      <c r="A151" s="1286">
        <f t="shared" si="42"/>
        <v>17.390000000000061</v>
      </c>
      <c r="B151" s="190" t="s">
        <v>1330</v>
      </c>
      <c r="C151" s="1488"/>
      <c r="D151" s="1488">
        <v>1656.45</v>
      </c>
      <c r="E151" s="1490">
        <v>-74391.759999999995</v>
      </c>
      <c r="F151" s="1602">
        <f t="shared" si="55"/>
        <v>-36367.654999999999</v>
      </c>
      <c r="G151" s="1602"/>
      <c r="H151" s="1602"/>
      <c r="I151" s="1548"/>
      <c r="J151" s="1602">
        <f t="shared" si="56"/>
        <v>-74391.759999999995</v>
      </c>
      <c r="K151" s="1488"/>
      <c r="L151" s="1488"/>
      <c r="M151" s="1488"/>
      <c r="N151" s="1599" t="s">
        <v>200</v>
      </c>
      <c r="O151" s="187" t="s">
        <v>1379</v>
      </c>
    </row>
    <row r="152" spans="1:15" s="187" customFormat="1">
      <c r="A152" s="1286">
        <f t="shared" si="42"/>
        <v>17.400000000000063</v>
      </c>
      <c r="B152" s="190" t="s">
        <v>1331</v>
      </c>
      <c r="C152" s="1488"/>
      <c r="D152" s="1488">
        <v>9896268.2699999996</v>
      </c>
      <c r="E152" s="1490">
        <v>9629658.3300000001</v>
      </c>
      <c r="F152" s="1602">
        <f t="shared" si="55"/>
        <v>9762963.3000000007</v>
      </c>
      <c r="G152" s="1602"/>
      <c r="H152" s="1602"/>
      <c r="I152" s="1548"/>
      <c r="J152" s="1602">
        <f t="shared" si="56"/>
        <v>9629658.3300000001</v>
      </c>
      <c r="K152" s="1488"/>
      <c r="L152" s="1488"/>
      <c r="M152" s="1488"/>
      <c r="N152" s="1600" t="s">
        <v>1325</v>
      </c>
      <c r="O152" s="187" t="s">
        <v>1379</v>
      </c>
    </row>
    <row r="153" spans="1:15" s="187" customFormat="1">
      <c r="A153" s="1286">
        <f t="shared" si="42"/>
        <v>17.410000000000064</v>
      </c>
      <c r="B153" s="190" t="s">
        <v>1332</v>
      </c>
      <c r="C153" s="1488"/>
      <c r="D153" s="1488">
        <v>1598155.06</v>
      </c>
      <c r="E153" s="1490">
        <v>1555100.04</v>
      </c>
      <c r="F153" s="1602">
        <f t="shared" si="55"/>
        <v>1576627.55</v>
      </c>
      <c r="G153" s="1602"/>
      <c r="H153" s="1602"/>
      <c r="I153" s="1548"/>
      <c r="J153" s="1602">
        <f t="shared" si="56"/>
        <v>1555100.04</v>
      </c>
      <c r="K153" s="1488"/>
      <c r="L153" s="1488"/>
      <c r="M153" s="1488"/>
      <c r="N153" s="1600" t="s">
        <v>1325</v>
      </c>
      <c r="O153" s="187" t="s">
        <v>1379</v>
      </c>
    </row>
    <row r="154" spans="1:15" s="187" customFormat="1">
      <c r="A154" s="1286">
        <f t="shared" si="42"/>
        <v>17.420000000000066</v>
      </c>
      <c r="B154" s="190" t="s">
        <v>1380</v>
      </c>
      <c r="C154" s="1488"/>
      <c r="D154" s="1488">
        <v>0</v>
      </c>
      <c r="E154" s="1490">
        <v>85.25</v>
      </c>
      <c r="F154" s="1602"/>
      <c r="G154" s="1602"/>
      <c r="H154" s="1602">
        <f t="shared" ref="H154:H156" si="57">+SUM($D154:$E154)/2</f>
        <v>42.625</v>
      </c>
      <c r="I154" s="1548"/>
      <c r="J154" s="1602"/>
      <c r="K154" s="1488"/>
      <c r="L154" s="1488">
        <f t="shared" ref="L154:L156" si="58">+E154</f>
        <v>85.25</v>
      </c>
      <c r="M154" s="1488"/>
      <c r="N154" s="1600" t="s">
        <v>1383</v>
      </c>
      <c r="O154" s="187" t="s">
        <v>1378</v>
      </c>
    </row>
    <row r="155" spans="1:15" s="187" customFormat="1">
      <c r="A155" s="1286">
        <f t="shared" si="42"/>
        <v>17.430000000000067</v>
      </c>
      <c r="B155" s="190" t="s">
        <v>1381</v>
      </c>
      <c r="C155" s="1488"/>
      <c r="D155" s="1488">
        <v>0</v>
      </c>
      <c r="E155" s="1490">
        <v>-2715.54</v>
      </c>
      <c r="F155" s="1602"/>
      <c r="G155" s="1602"/>
      <c r="H155" s="1602">
        <f t="shared" si="57"/>
        <v>-1357.77</v>
      </c>
      <c r="I155" s="1548"/>
      <c r="J155" s="1602"/>
      <c r="K155" s="1488"/>
      <c r="L155" s="1488">
        <f t="shared" si="58"/>
        <v>-2715.54</v>
      </c>
      <c r="M155" s="1488"/>
      <c r="N155" s="1600" t="s">
        <v>1384</v>
      </c>
      <c r="O155" s="187" t="s">
        <v>1378</v>
      </c>
    </row>
    <row r="156" spans="1:15" s="187" customFormat="1">
      <c r="A156" s="1286">
        <f t="shared" si="42"/>
        <v>17.440000000000069</v>
      </c>
      <c r="B156" s="190" t="s">
        <v>1382</v>
      </c>
      <c r="C156" s="1488"/>
      <c r="D156" s="1488">
        <v>0</v>
      </c>
      <c r="E156" s="1488">
        <v>-409.5</v>
      </c>
      <c r="F156" s="1601"/>
      <c r="G156" s="1488"/>
      <c r="H156" s="1488">
        <f t="shared" si="57"/>
        <v>-204.75</v>
      </c>
      <c r="I156" s="1548"/>
      <c r="J156" s="1601"/>
      <c r="K156" s="1488"/>
      <c r="L156" s="1488">
        <f t="shared" si="58"/>
        <v>-409.5</v>
      </c>
      <c r="M156" s="1488"/>
      <c r="N156" s="1600" t="s">
        <v>1384</v>
      </c>
      <c r="O156" s="187" t="s">
        <v>1378</v>
      </c>
    </row>
    <row r="157" spans="1:15" s="187" customFormat="1">
      <c r="A157" s="1286">
        <f t="shared" si="42"/>
        <v>17.45000000000007</v>
      </c>
      <c r="B157" s="1488"/>
      <c r="C157" s="1488" t="s">
        <v>905</v>
      </c>
      <c r="D157" s="1488">
        <v>0</v>
      </c>
      <c r="E157" s="1488">
        <v>0</v>
      </c>
      <c r="F157" s="1601"/>
      <c r="G157" s="1488"/>
      <c r="H157" s="1488"/>
      <c r="I157" s="1548"/>
      <c r="J157" s="1521"/>
      <c r="K157" s="1488"/>
      <c r="L157" s="1488"/>
      <c r="M157" s="1488"/>
      <c r="N157" s="1601"/>
    </row>
    <row r="158" spans="1:15" s="187" customFormat="1">
      <c r="A158" s="1355" t="s">
        <v>899</v>
      </c>
      <c r="B158" s="190"/>
      <c r="C158" s="1520" t="s">
        <v>905</v>
      </c>
      <c r="D158" s="1521">
        <v>0</v>
      </c>
      <c r="E158" s="1521">
        <v>0</v>
      </c>
      <c r="F158" s="1546"/>
      <c r="G158" s="1307"/>
      <c r="H158" s="1307"/>
      <c r="I158" s="1548"/>
      <c r="J158" s="1307"/>
      <c r="K158" s="1307"/>
      <c r="L158" s="1307"/>
      <c r="M158" s="1307"/>
      <c r="N158" s="1600"/>
    </row>
    <row r="159" spans="1:15" s="187" customFormat="1">
      <c r="A159" s="1541" t="str">
        <f>+A112&amp;".xx"</f>
        <v>17.xx</v>
      </c>
      <c r="B159" s="1520"/>
      <c r="C159" s="1520" t="s">
        <v>905</v>
      </c>
      <c r="D159" s="1523">
        <v>0</v>
      </c>
      <c r="E159" s="1523">
        <v>0</v>
      </c>
      <c r="F159" s="1549"/>
      <c r="G159" s="1274"/>
      <c r="H159" s="1274"/>
      <c r="I159" s="1550"/>
      <c r="J159" s="1274"/>
      <c r="K159" s="1274"/>
      <c r="L159" s="1274"/>
      <c r="M159" s="1550"/>
      <c r="N159" s="1522"/>
    </row>
    <row r="160" spans="1:15" s="187" customFormat="1" ht="13.8" thickBot="1">
      <c r="A160" s="891">
        <f>+A112+1</f>
        <v>18</v>
      </c>
      <c r="B160" s="1524"/>
      <c r="C160" s="1524"/>
      <c r="D160" s="1525"/>
      <c r="E160" s="1525"/>
      <c r="F160" s="1551"/>
      <c r="G160" s="1552"/>
      <c r="H160" s="1552"/>
      <c r="I160" s="1553"/>
      <c r="J160" s="1551"/>
      <c r="K160" s="1552"/>
      <c r="L160" s="1552"/>
      <c r="M160" s="1553"/>
    </row>
    <row r="161" spans="1:18" s="179" customFormat="1" ht="14.4" thickBot="1">
      <c r="A161" s="891">
        <f>+A160+1</f>
        <v>19</v>
      </c>
      <c r="B161" s="1527" t="s">
        <v>518</v>
      </c>
      <c r="C161" s="1528"/>
      <c r="D161" s="1529">
        <f t="shared" ref="D161:M161" si="59">SUM(D113:D159)</f>
        <v>-163586250.47000003</v>
      </c>
      <c r="E161" s="1529">
        <f t="shared" si="59"/>
        <v>-177306681.81000003</v>
      </c>
      <c r="F161" s="1530">
        <f t="shared" si="59"/>
        <v>-53879332.789999992</v>
      </c>
      <c r="G161" s="154">
        <f t="shared" si="59"/>
        <v>-212944.125</v>
      </c>
      <c r="H161" s="154">
        <f t="shared" si="59"/>
        <v>-111821855.72999999</v>
      </c>
      <c r="I161" s="1531">
        <f t="shared" si="59"/>
        <v>-4532333.4950000001</v>
      </c>
      <c r="J161" s="1530">
        <f t="shared" si="59"/>
        <v>-55963133.539999999</v>
      </c>
      <c r="K161" s="154">
        <f t="shared" si="59"/>
        <v>-125977.45</v>
      </c>
      <c r="L161" s="154">
        <f t="shared" si="59"/>
        <v>-116780932.15000004</v>
      </c>
      <c r="M161" s="1531">
        <f t="shared" si="59"/>
        <v>-4436638.67</v>
      </c>
      <c r="N161" s="1526" t="str">
        <f>+"Sum by Column of Line "&amp;A112&amp;" Subparts"</f>
        <v>Sum by Column of Line 17 Subparts</v>
      </c>
    </row>
    <row r="162" spans="1:18" s="43" customFormat="1" ht="16.5" customHeight="1">
      <c r="A162" s="785">
        <f t="shared" ref="A162" si="60">+A161+1</f>
        <v>20</v>
      </c>
      <c r="B162" s="1606" t="s">
        <v>1356</v>
      </c>
      <c r="C162" s="1657"/>
      <c r="D162" s="269">
        <f>+'WP06 ADIT Support'!D31</f>
        <v>-0.38477366255144019</v>
      </c>
      <c r="E162" s="269">
        <f>+'WP06 ADIT Support'!E31</f>
        <v>-2598136.0596707808</v>
      </c>
      <c r="F162" s="885"/>
      <c r="G162" s="269"/>
      <c r="H162" s="1654">
        <f t="shared" ref="H162" si="61">+SUM($D162:$E162)/2</f>
        <v>-1299068.2222222218</v>
      </c>
      <c r="I162" s="1655"/>
      <c r="J162" s="885"/>
      <c r="K162" s="269"/>
      <c r="L162" s="269">
        <f>+E162</f>
        <v>-2598136.0596707808</v>
      </c>
      <c r="M162" s="1655"/>
      <c r="N162" s="1656" t="s">
        <v>1357</v>
      </c>
      <c r="O162" s="1680" t="s">
        <v>1453</v>
      </c>
    </row>
    <row r="163" spans="1:18" s="187" customFormat="1" ht="15">
      <c r="A163" s="891">
        <f>+A162+1</f>
        <v>21</v>
      </c>
      <c r="B163" s="2098" t="s">
        <v>516</v>
      </c>
      <c r="C163" s="2098"/>
      <c r="D163" s="1532">
        <f t="shared" ref="D163:M163" si="62">+D135+D136</f>
        <v>11068683.91</v>
      </c>
      <c r="E163" s="1532">
        <f t="shared" si="62"/>
        <v>8373941.5999999996</v>
      </c>
      <c r="F163" s="1533">
        <f t="shared" si="62"/>
        <v>9721312.7550000008</v>
      </c>
      <c r="G163" s="1532">
        <f t="shared" si="62"/>
        <v>0</v>
      </c>
      <c r="H163" s="1532">
        <f t="shared" si="62"/>
        <v>0</v>
      </c>
      <c r="I163" s="1534">
        <f t="shared" si="62"/>
        <v>0</v>
      </c>
      <c r="J163" s="1533">
        <f t="shared" si="62"/>
        <v>8373941.5999999996</v>
      </c>
      <c r="K163" s="1532">
        <f t="shared" si="62"/>
        <v>0</v>
      </c>
      <c r="L163" s="1532">
        <f t="shared" si="62"/>
        <v>0</v>
      </c>
      <c r="M163" s="1534">
        <f t="shared" si="62"/>
        <v>0</v>
      </c>
      <c r="N163" s="189"/>
      <c r="O163" s="43"/>
      <c r="P163" s="181"/>
      <c r="Q163" s="181"/>
      <c r="R163" s="181"/>
    </row>
    <row r="164" spans="1:18" s="44" customFormat="1" ht="13.8">
      <c r="A164" s="862">
        <f t="shared" ref="A164" si="63">+A163+1</f>
        <v>22</v>
      </c>
      <c r="B164" s="1658" t="s">
        <v>1427</v>
      </c>
      <c r="C164" s="1607"/>
      <c r="D164" s="269">
        <f t="shared" ref="D164:M164" si="64">+D161+D162-D163</f>
        <v>-174654934.7647737</v>
      </c>
      <c r="E164" s="269">
        <f t="shared" si="64"/>
        <v>-188278759.4696708</v>
      </c>
      <c r="F164" s="885">
        <f t="shared" si="64"/>
        <v>-63600645.544999994</v>
      </c>
      <c r="G164" s="269">
        <f t="shared" si="64"/>
        <v>-212944.125</v>
      </c>
      <c r="H164" s="269">
        <f t="shared" si="64"/>
        <v>-113120923.95222221</v>
      </c>
      <c r="I164" s="1655">
        <f t="shared" si="64"/>
        <v>-4532333.4950000001</v>
      </c>
      <c r="J164" s="885">
        <f t="shared" si="64"/>
        <v>-64337075.140000001</v>
      </c>
      <c r="K164" s="269">
        <f t="shared" si="64"/>
        <v>-125977.45</v>
      </c>
      <c r="L164" s="269">
        <f t="shared" si="64"/>
        <v>-119379068.20967081</v>
      </c>
      <c r="M164" s="1655">
        <f t="shared" si="64"/>
        <v>-4436638.67</v>
      </c>
      <c r="N164" s="1679" t="str">
        <f>+"Ln "&amp;A161&amp;" Plus Ln "&amp;A162&amp;" Less Ln "&amp;A163</f>
        <v>Ln 19 Plus Ln 20 Less Ln 21</v>
      </c>
      <c r="O164" s="1680" t="s">
        <v>1454</v>
      </c>
    </row>
    <row r="165" spans="1:18" s="187" customFormat="1">
      <c r="A165" s="891">
        <f>+A164+1</f>
        <v>23</v>
      </c>
      <c r="B165" s="1536"/>
      <c r="C165" s="1536"/>
      <c r="D165" s="1536"/>
      <c r="E165" s="1537"/>
      <c r="F165" s="1415"/>
      <c r="G165" s="1415"/>
      <c r="H165" s="1415"/>
      <c r="I165" s="1415"/>
      <c r="J165" s="154"/>
      <c r="K165" s="154"/>
      <c r="L165" s="1415"/>
      <c r="M165" s="1415"/>
      <c r="N165" s="1526"/>
    </row>
    <row r="166" spans="1:18" s="187" customFormat="1" ht="16.8">
      <c r="A166" s="891">
        <f>+A165+1</f>
        <v>24</v>
      </c>
      <c r="B166" s="649" t="s">
        <v>759</v>
      </c>
      <c r="C166" s="1517"/>
      <c r="D166" s="1517"/>
      <c r="E166" s="1538"/>
      <c r="F166" s="2101" t="str">
        <f>F8</f>
        <v>Average of BOY/EOY (Col (C+D)/2)</v>
      </c>
      <c r="G166" s="2087"/>
      <c r="H166" s="2087"/>
      <c r="I166" s="2088"/>
      <c r="J166" s="2101" t="str">
        <f>J8</f>
        <v>EOY (Col D)</v>
      </c>
      <c r="K166" s="2087"/>
      <c r="L166" s="2087"/>
      <c r="M166" s="2088"/>
      <c r="N166" s="1539" t="s">
        <v>50</v>
      </c>
    </row>
    <row r="167" spans="1:18" s="187" customFormat="1">
      <c r="A167" s="889">
        <f t="shared" ref="A167:A206" si="65">+A166+0.01</f>
        <v>24.01</v>
      </c>
      <c r="B167" s="1561" t="s">
        <v>1128</v>
      </c>
      <c r="C167" s="179"/>
      <c r="D167" s="1488">
        <v>-253267.51</v>
      </c>
      <c r="E167" s="1488">
        <v>-3808622.06</v>
      </c>
      <c r="F167" s="1499">
        <f t="shared" ref="F167:F176" si="66">+SUM($D167:$E167)/2</f>
        <v>-2030944.7850000001</v>
      </c>
      <c r="G167" s="154"/>
      <c r="H167" s="154"/>
      <c r="I167" s="1531"/>
      <c r="J167" s="1499">
        <f t="shared" ref="J167:J176" si="67">+E167</f>
        <v>-3808622.06</v>
      </c>
      <c r="K167" s="154"/>
      <c r="L167" s="154"/>
      <c r="M167" s="1531"/>
      <c r="N167" s="1542" t="s">
        <v>200</v>
      </c>
    </row>
    <row r="168" spans="1:18" s="187" customFormat="1">
      <c r="A168" s="889">
        <f t="shared" si="65"/>
        <v>24.020000000000003</v>
      </c>
      <c r="B168" s="1561" t="s">
        <v>1129</v>
      </c>
      <c r="C168" s="179"/>
      <c r="D168" s="1488">
        <v>-40833.69</v>
      </c>
      <c r="E168" s="1488">
        <v>-614990.31000000006</v>
      </c>
      <c r="F168" s="1499">
        <f t="shared" si="66"/>
        <v>-327912</v>
      </c>
      <c r="G168" s="154"/>
      <c r="H168" s="154"/>
      <c r="I168" s="1531"/>
      <c r="J168" s="1499">
        <f t="shared" si="67"/>
        <v>-614990.31000000006</v>
      </c>
      <c r="K168" s="154"/>
      <c r="L168" s="154"/>
      <c r="M168" s="1531"/>
      <c r="N168" s="1542" t="s">
        <v>200</v>
      </c>
    </row>
    <row r="169" spans="1:18" s="187" customFormat="1">
      <c r="A169" s="889">
        <f t="shared" si="65"/>
        <v>24.030000000000005</v>
      </c>
      <c r="B169" s="1561" t="s">
        <v>1130</v>
      </c>
      <c r="C169" s="179"/>
      <c r="D169" s="1488">
        <v>-30344474.099999998</v>
      </c>
      <c r="E169" s="1488">
        <v>-27254676.609999999</v>
      </c>
      <c r="F169" s="1888">
        <f t="shared" si="66"/>
        <v>-28799575.354999997</v>
      </c>
      <c r="G169" s="1556"/>
      <c r="H169" s="1556"/>
      <c r="I169" s="1557"/>
      <c r="J169" s="1888">
        <f t="shared" ref="J169:J170" si="68">+E169</f>
        <v>-27254676.609999999</v>
      </c>
      <c r="K169" s="1556"/>
      <c r="L169" s="1556"/>
      <c r="M169" s="1557"/>
      <c r="N169" s="1889" t="s">
        <v>1739</v>
      </c>
    </row>
    <row r="170" spans="1:18" s="187" customFormat="1">
      <c r="A170" s="889">
        <f t="shared" si="65"/>
        <v>24.040000000000006</v>
      </c>
      <c r="B170" s="1561" t="s">
        <v>1131</v>
      </c>
      <c r="C170" s="179"/>
      <c r="D170" s="1488">
        <v>-4900349.6400000006</v>
      </c>
      <c r="E170" s="1488">
        <v>-4401376.1500000004</v>
      </c>
      <c r="F170" s="1888">
        <f t="shared" si="66"/>
        <v>-4650862.8950000005</v>
      </c>
      <c r="G170" s="1556"/>
      <c r="H170" s="1556"/>
      <c r="I170" s="1557"/>
      <c r="J170" s="1888">
        <f t="shared" si="68"/>
        <v>-4401376.1500000004</v>
      </c>
      <c r="K170" s="1556"/>
      <c r="L170" s="1556"/>
      <c r="M170" s="1557"/>
      <c r="N170" s="1889" t="s">
        <v>1739</v>
      </c>
    </row>
    <row r="171" spans="1:18" s="187" customFormat="1">
      <c r="A171" s="889">
        <f t="shared" si="65"/>
        <v>24.050000000000008</v>
      </c>
      <c r="B171" s="1561" t="s">
        <v>1132</v>
      </c>
      <c r="C171" s="179"/>
      <c r="D171" s="1488">
        <v>-824861.53</v>
      </c>
      <c r="E171" s="1488">
        <v>-514420.89</v>
      </c>
      <c r="F171" s="1499"/>
      <c r="G171" s="154">
        <f t="shared" ref="G171:G172" si="69">+SUM($D171:$E171)/2</f>
        <v>-669641.21</v>
      </c>
      <c r="H171" s="154"/>
      <c r="I171" s="1531"/>
      <c r="J171" s="1499"/>
      <c r="K171" s="154">
        <f>+E171</f>
        <v>-514420.89</v>
      </c>
      <c r="L171" s="154"/>
      <c r="M171" s="1531"/>
      <c r="N171" s="1498" t="s">
        <v>298</v>
      </c>
      <c r="O171" s="187" t="s">
        <v>962</v>
      </c>
    </row>
    <row r="172" spans="1:18" s="187" customFormat="1">
      <c r="A172" s="889">
        <f t="shared" si="65"/>
        <v>24.060000000000009</v>
      </c>
      <c r="B172" s="1561" t="s">
        <v>1133</v>
      </c>
      <c r="C172" s="179"/>
      <c r="D172" s="1488">
        <v>-133207.44</v>
      </c>
      <c r="E172" s="1488">
        <v>-83074.17</v>
      </c>
      <c r="F172" s="1499"/>
      <c r="G172" s="154">
        <f t="shared" si="69"/>
        <v>-108140.80499999999</v>
      </c>
      <c r="H172" s="154"/>
      <c r="I172" s="1531"/>
      <c r="J172" s="1499"/>
      <c r="K172" s="154">
        <f>+E172</f>
        <v>-83074.17</v>
      </c>
      <c r="L172" s="154"/>
      <c r="M172" s="1531"/>
      <c r="N172" s="1498" t="s">
        <v>298</v>
      </c>
      <c r="O172" s="187" t="s">
        <v>962</v>
      </c>
    </row>
    <row r="173" spans="1:18" s="187" customFormat="1">
      <c r="A173" s="889">
        <f t="shared" si="65"/>
        <v>24.070000000000011</v>
      </c>
      <c r="B173" s="179" t="s">
        <v>1134</v>
      </c>
      <c r="C173" s="179"/>
      <c r="D173" s="1488">
        <v>-1738063.16</v>
      </c>
      <c r="E173" s="1488">
        <v>-1106040.17</v>
      </c>
      <c r="F173" s="1499">
        <f t="shared" si="66"/>
        <v>-1422051.665</v>
      </c>
      <c r="G173" s="154"/>
      <c r="H173" s="154"/>
      <c r="I173" s="1531"/>
      <c r="J173" s="1499">
        <f t="shared" si="67"/>
        <v>-1106040.17</v>
      </c>
      <c r="K173" s="154"/>
      <c r="L173" s="154"/>
      <c r="M173" s="1531"/>
      <c r="N173" s="1542" t="s">
        <v>200</v>
      </c>
    </row>
    <row r="174" spans="1:18" s="187" customFormat="1">
      <c r="A174" s="889">
        <f t="shared" si="65"/>
        <v>24.080000000000013</v>
      </c>
      <c r="B174" s="179" t="s">
        <v>1135</v>
      </c>
      <c r="C174" s="179"/>
      <c r="D174" s="1488">
        <v>-280680.98</v>
      </c>
      <c r="E174" s="1488">
        <v>-178615.16</v>
      </c>
      <c r="F174" s="1499">
        <f t="shared" si="66"/>
        <v>-229648.07</v>
      </c>
      <c r="G174" s="154"/>
      <c r="H174" s="154"/>
      <c r="I174" s="1531"/>
      <c r="J174" s="1499">
        <f t="shared" si="67"/>
        <v>-178615.16</v>
      </c>
      <c r="K174" s="154"/>
      <c r="L174" s="154"/>
      <c r="M174" s="1531"/>
      <c r="N174" s="1542" t="s">
        <v>200</v>
      </c>
    </row>
    <row r="175" spans="1:18" s="187" customFormat="1">
      <c r="A175" s="889">
        <f t="shared" si="65"/>
        <v>24.090000000000014</v>
      </c>
      <c r="B175" s="1561" t="s">
        <v>1136</v>
      </c>
      <c r="C175" s="179"/>
      <c r="D175" s="1488">
        <v>-32911826.259999998</v>
      </c>
      <c r="E175" s="1488">
        <v>-34669396.909999996</v>
      </c>
      <c r="F175" s="1499">
        <f t="shared" si="66"/>
        <v>-33790611.584999993</v>
      </c>
      <c r="G175" s="154"/>
      <c r="H175" s="154"/>
      <c r="I175" s="1531"/>
      <c r="J175" s="1499">
        <f t="shared" si="67"/>
        <v>-34669396.909999996</v>
      </c>
      <c r="K175" s="154"/>
      <c r="L175" s="154"/>
      <c r="M175" s="1531"/>
      <c r="N175" s="1542" t="s">
        <v>199</v>
      </c>
    </row>
    <row r="176" spans="1:18" s="187" customFormat="1">
      <c r="A176" s="889">
        <f t="shared" si="65"/>
        <v>24.100000000000016</v>
      </c>
      <c r="B176" s="1561" t="s">
        <v>1137</v>
      </c>
      <c r="C176" s="179"/>
      <c r="D176" s="1488">
        <v>-5314953.1199999992</v>
      </c>
      <c r="E176" s="1488">
        <v>-5598784.3699999992</v>
      </c>
      <c r="F176" s="1499">
        <f t="shared" si="66"/>
        <v>-5456868.7449999992</v>
      </c>
      <c r="G176" s="154"/>
      <c r="H176" s="154"/>
      <c r="I176" s="1531"/>
      <c r="J176" s="1499">
        <f t="shared" si="67"/>
        <v>-5598784.3699999992</v>
      </c>
      <c r="K176" s="154"/>
      <c r="L176" s="154"/>
      <c r="M176" s="1531"/>
      <c r="N176" s="1542" t="s">
        <v>199</v>
      </c>
    </row>
    <row r="177" spans="1:14" s="187" customFormat="1">
      <c r="A177" s="889">
        <f t="shared" si="65"/>
        <v>24.110000000000017</v>
      </c>
      <c r="B177" s="1561" t="s">
        <v>1138</v>
      </c>
      <c r="C177" s="179"/>
      <c r="D177" s="1488">
        <v>-602008.97</v>
      </c>
      <c r="E177" s="1488">
        <v>-988092.24</v>
      </c>
      <c r="F177" s="1499"/>
      <c r="G177" s="154"/>
      <c r="H177" s="154">
        <f t="shared" ref="H177:H178" si="70">+SUM($D177:$E177)/2</f>
        <v>-795050.60499999998</v>
      </c>
      <c r="I177" s="1531"/>
      <c r="J177" s="1499"/>
      <c r="K177" s="154"/>
      <c r="L177" s="154">
        <f>+E177</f>
        <v>-988092.24</v>
      </c>
      <c r="M177" s="1531"/>
      <c r="N177" s="1498" t="s">
        <v>280</v>
      </c>
    </row>
    <row r="178" spans="1:14" s="187" customFormat="1">
      <c r="A178" s="889">
        <f t="shared" si="65"/>
        <v>24.120000000000019</v>
      </c>
      <c r="B178" s="1561" t="s">
        <v>1139</v>
      </c>
      <c r="C178" s="179"/>
      <c r="D178" s="1488">
        <v>-97209.22</v>
      </c>
      <c r="E178" s="1488">
        <v>-159558.07</v>
      </c>
      <c r="F178" s="1499"/>
      <c r="G178" s="154"/>
      <c r="H178" s="154">
        <f t="shared" si="70"/>
        <v>-128383.645</v>
      </c>
      <c r="I178" s="1531"/>
      <c r="J178" s="1499"/>
      <c r="K178" s="154"/>
      <c r="L178" s="154">
        <f>+E178</f>
        <v>-159558.07</v>
      </c>
      <c r="M178" s="1531"/>
      <c r="N178" s="1498" t="s">
        <v>280</v>
      </c>
    </row>
    <row r="179" spans="1:14" s="187" customFormat="1">
      <c r="A179" s="889">
        <f t="shared" si="65"/>
        <v>24.13000000000002</v>
      </c>
      <c r="B179" s="1561" t="s">
        <v>1140</v>
      </c>
      <c r="C179" s="179"/>
      <c r="D179" s="1488">
        <v>11200.42</v>
      </c>
      <c r="E179" s="1488">
        <v>-99960821.959999993</v>
      </c>
      <c r="F179" s="1499">
        <f t="shared" ref="F179:F180" si="71">+SUM($D179:$E179)/2</f>
        <v>-49974810.769999996</v>
      </c>
      <c r="G179" s="154"/>
      <c r="H179" s="154"/>
      <c r="I179" s="1531"/>
      <c r="J179" s="1499">
        <f t="shared" ref="J179:J180" si="72">+E179</f>
        <v>-99960821.959999993</v>
      </c>
      <c r="K179" s="154"/>
      <c r="L179" s="154"/>
      <c r="M179" s="1531"/>
      <c r="N179" s="1498" t="s">
        <v>3</v>
      </c>
    </row>
    <row r="180" spans="1:14" s="187" customFormat="1">
      <c r="A180" s="889">
        <f t="shared" si="65"/>
        <v>24.140000000000022</v>
      </c>
      <c r="B180" s="1561" t="s">
        <v>1141</v>
      </c>
      <c r="C180" s="179"/>
      <c r="D180" s="1488">
        <v>1808.77</v>
      </c>
      <c r="E180" s="1488">
        <v>-16142740.720000001</v>
      </c>
      <c r="F180" s="1499">
        <f t="shared" si="71"/>
        <v>-8070465.9750000006</v>
      </c>
      <c r="G180" s="154"/>
      <c r="H180" s="154"/>
      <c r="I180" s="1531"/>
      <c r="J180" s="1499">
        <f t="shared" si="72"/>
        <v>-16142740.720000001</v>
      </c>
      <c r="K180" s="154"/>
      <c r="L180" s="154"/>
      <c r="M180" s="1531"/>
      <c r="N180" s="1498" t="s">
        <v>3</v>
      </c>
    </row>
    <row r="181" spans="1:14" s="187" customFormat="1">
      <c r="A181" s="889">
        <f t="shared" si="65"/>
        <v>24.150000000000023</v>
      </c>
      <c r="B181" s="179" t="s">
        <v>1142</v>
      </c>
      <c r="C181" s="179"/>
      <c r="D181" s="1488">
        <v>0</v>
      </c>
      <c r="E181" s="1488">
        <v>0</v>
      </c>
      <c r="F181" s="1499">
        <v>0</v>
      </c>
      <c r="G181" s="154"/>
      <c r="H181" s="154"/>
      <c r="I181" s="1531"/>
      <c r="J181" s="1499">
        <v>0</v>
      </c>
      <c r="K181" s="154"/>
      <c r="L181" s="154"/>
      <c r="M181" s="1531"/>
      <c r="N181" s="1542" t="s">
        <v>203</v>
      </c>
    </row>
    <row r="182" spans="1:14" s="187" customFormat="1">
      <c r="A182" s="889">
        <f t="shared" si="65"/>
        <v>24.160000000000025</v>
      </c>
      <c r="B182" s="179" t="s">
        <v>1143</v>
      </c>
      <c r="C182" s="179"/>
      <c r="D182" s="1488">
        <v>0</v>
      </c>
      <c r="E182" s="1488">
        <v>0</v>
      </c>
      <c r="F182" s="1499">
        <v>0</v>
      </c>
      <c r="G182" s="154"/>
      <c r="H182" s="154"/>
      <c r="I182" s="1531"/>
      <c r="J182" s="1499">
        <v>0</v>
      </c>
      <c r="K182" s="154"/>
      <c r="L182" s="154"/>
      <c r="M182" s="1531"/>
      <c r="N182" s="1542" t="s">
        <v>203</v>
      </c>
    </row>
    <row r="183" spans="1:14" s="187" customFormat="1">
      <c r="A183" s="889">
        <f t="shared" si="65"/>
        <v>24.170000000000027</v>
      </c>
      <c r="B183" s="1561" t="s">
        <v>1144</v>
      </c>
      <c r="C183" s="179"/>
      <c r="D183" s="1488">
        <v>0</v>
      </c>
      <c r="E183" s="1488">
        <v>0</v>
      </c>
      <c r="F183" s="1499">
        <v>0</v>
      </c>
      <c r="G183" s="154"/>
      <c r="H183" s="154"/>
      <c r="I183" s="1531"/>
      <c r="J183" s="1499">
        <v>0</v>
      </c>
      <c r="K183" s="154"/>
      <c r="L183" s="154"/>
      <c r="M183" s="1531"/>
      <c r="N183" s="1498" t="s">
        <v>4</v>
      </c>
    </row>
    <row r="184" spans="1:14" s="187" customFormat="1">
      <c r="A184" s="889">
        <f t="shared" si="65"/>
        <v>24.180000000000028</v>
      </c>
      <c r="B184" s="1561" t="s">
        <v>1145</v>
      </c>
      <c r="C184" s="179"/>
      <c r="D184" s="1488">
        <v>0</v>
      </c>
      <c r="E184" s="1488">
        <v>0</v>
      </c>
      <c r="F184" s="1499">
        <v>0</v>
      </c>
      <c r="G184" s="154"/>
      <c r="H184" s="154"/>
      <c r="I184" s="1531"/>
      <c r="J184" s="1499">
        <v>0</v>
      </c>
      <c r="K184" s="154"/>
      <c r="L184" s="154"/>
      <c r="M184" s="1531"/>
      <c r="N184" s="1498" t="s">
        <v>4</v>
      </c>
    </row>
    <row r="185" spans="1:14" s="187" customFormat="1">
      <c r="A185" s="889">
        <f t="shared" si="65"/>
        <v>24.19000000000003</v>
      </c>
      <c r="B185" s="1561" t="s">
        <v>1146</v>
      </c>
      <c r="C185" s="179"/>
      <c r="D185" s="1488">
        <v>-1130198.1299999999</v>
      </c>
      <c r="E185" s="1488">
        <v>-1130138.8199999998</v>
      </c>
      <c r="F185" s="1499"/>
      <c r="G185" s="154">
        <f t="shared" ref="G185:G186" si="73">+SUM($D185:$E185)/2</f>
        <v>-1130168.4749999999</v>
      </c>
      <c r="H185" s="154"/>
      <c r="I185" s="1531"/>
      <c r="J185" s="1499"/>
      <c r="K185" s="154">
        <f>+E185</f>
        <v>-1130138.8199999998</v>
      </c>
      <c r="L185" s="154"/>
      <c r="M185" s="1531"/>
      <c r="N185" s="1498" t="s">
        <v>5</v>
      </c>
    </row>
    <row r="186" spans="1:14" s="187" customFormat="1">
      <c r="A186" s="889">
        <f t="shared" si="65"/>
        <v>24.200000000000031</v>
      </c>
      <c r="B186" s="1561" t="s">
        <v>1147</v>
      </c>
      <c r="C186" s="179"/>
      <c r="D186" s="1488">
        <v>-182511.44</v>
      </c>
      <c r="E186" s="1488">
        <v>-182515.81</v>
      </c>
      <c r="F186" s="1499"/>
      <c r="G186" s="154">
        <f t="shared" si="73"/>
        <v>-182513.625</v>
      </c>
      <c r="H186" s="154"/>
      <c r="I186" s="1531"/>
      <c r="J186" s="1499"/>
      <c r="K186" s="154">
        <f>+E186</f>
        <v>-182515.81</v>
      </c>
      <c r="L186" s="154"/>
      <c r="M186" s="1531"/>
      <c r="N186" s="1498" t="s">
        <v>5</v>
      </c>
    </row>
    <row r="187" spans="1:14" s="187" customFormat="1">
      <c r="A187" s="889">
        <f t="shared" si="65"/>
        <v>24.210000000000033</v>
      </c>
      <c r="B187" s="1561" t="s">
        <v>1148</v>
      </c>
      <c r="C187" s="179"/>
      <c r="D187" s="1488">
        <v>0</v>
      </c>
      <c r="E187" s="1488">
        <v>0</v>
      </c>
      <c r="F187" s="1499">
        <f t="shared" ref="F187:F194" si="74">+SUM($D187:$E187)/2</f>
        <v>0</v>
      </c>
      <c r="G187" s="154"/>
      <c r="H187" s="154"/>
      <c r="I187" s="1531"/>
      <c r="J187" s="1499">
        <f t="shared" ref="J187:J194" si="75">+E187</f>
        <v>0</v>
      </c>
      <c r="K187" s="154"/>
      <c r="L187" s="154"/>
      <c r="M187" s="1531"/>
      <c r="N187" s="1498" t="s">
        <v>947</v>
      </c>
    </row>
    <row r="188" spans="1:14" s="187" customFormat="1">
      <c r="A188" s="889">
        <f t="shared" si="65"/>
        <v>24.220000000000034</v>
      </c>
      <c r="B188" s="1561" t="s">
        <v>1149</v>
      </c>
      <c r="C188" s="179"/>
      <c r="D188" s="1488">
        <v>0</v>
      </c>
      <c r="E188" s="1488">
        <v>0</v>
      </c>
      <c r="F188" s="1499">
        <f t="shared" si="74"/>
        <v>0</v>
      </c>
      <c r="G188" s="154"/>
      <c r="H188" s="154"/>
      <c r="I188" s="1531"/>
      <c r="J188" s="1499">
        <f t="shared" si="75"/>
        <v>0</v>
      </c>
      <c r="K188" s="154"/>
      <c r="L188" s="154"/>
      <c r="M188" s="1531"/>
      <c r="N188" s="1498" t="s">
        <v>947</v>
      </c>
    </row>
    <row r="189" spans="1:14" s="187" customFormat="1">
      <c r="A189" s="889">
        <f t="shared" si="65"/>
        <v>24.230000000000036</v>
      </c>
      <c r="B189" s="1519" t="s">
        <v>1152</v>
      </c>
      <c r="C189" s="179"/>
      <c r="D189" s="1488">
        <v>-1928359.03</v>
      </c>
      <c r="E189" s="1488">
        <v>-2585464.4900000002</v>
      </c>
      <c r="F189" s="1499">
        <f t="shared" si="74"/>
        <v>-2256911.7600000002</v>
      </c>
      <c r="G189" s="154"/>
      <c r="H189" s="154"/>
      <c r="I189" s="1531"/>
      <c r="J189" s="1499">
        <f t="shared" si="75"/>
        <v>-2585464.4900000002</v>
      </c>
      <c r="K189" s="154"/>
      <c r="L189" s="154"/>
      <c r="M189" s="1531"/>
      <c r="N189" s="1498" t="s">
        <v>4</v>
      </c>
    </row>
    <row r="190" spans="1:14" s="187" customFormat="1">
      <c r="A190" s="889">
        <f t="shared" si="65"/>
        <v>24.240000000000038</v>
      </c>
      <c r="B190" s="1519" t="s">
        <v>1153</v>
      </c>
      <c r="C190" s="179"/>
      <c r="D190" s="1488">
        <v>-311448.8</v>
      </c>
      <c r="E190" s="1488">
        <v>-417565.21</v>
      </c>
      <c r="F190" s="1499">
        <f t="shared" si="74"/>
        <v>-364507.005</v>
      </c>
      <c r="G190" s="154"/>
      <c r="H190" s="154"/>
      <c r="I190" s="1531"/>
      <c r="J190" s="1499">
        <f t="shared" si="75"/>
        <v>-417565.21</v>
      </c>
      <c r="K190" s="154"/>
      <c r="L190" s="154"/>
      <c r="M190" s="1531"/>
      <c r="N190" s="1498" t="s">
        <v>4</v>
      </c>
    </row>
    <row r="191" spans="1:14" s="187" customFormat="1">
      <c r="A191" s="889">
        <f t="shared" si="65"/>
        <v>24.250000000000039</v>
      </c>
      <c r="B191" s="179" t="s">
        <v>1154</v>
      </c>
      <c r="C191" s="179"/>
      <c r="D191" s="1488">
        <v>-3800920.45</v>
      </c>
      <c r="E191" s="1488">
        <v>-3869018.19</v>
      </c>
      <c r="F191" s="1499">
        <f t="shared" si="74"/>
        <v>-3834969.3200000003</v>
      </c>
      <c r="G191" s="154"/>
      <c r="H191" s="154"/>
      <c r="I191" s="1531"/>
      <c r="J191" s="1499">
        <f t="shared" si="75"/>
        <v>-3869018.19</v>
      </c>
      <c r="K191" s="154"/>
      <c r="L191" s="154"/>
      <c r="M191" s="1531"/>
      <c r="N191" s="1542" t="s">
        <v>948</v>
      </c>
    </row>
    <row r="192" spans="1:14" s="187" customFormat="1">
      <c r="A192" s="889">
        <f t="shared" si="65"/>
        <v>24.260000000000041</v>
      </c>
      <c r="B192" s="179" t="s">
        <v>1155</v>
      </c>
      <c r="C192" s="179"/>
      <c r="D192" s="1488">
        <v>-613809.34</v>
      </c>
      <c r="E192" s="1488">
        <v>-624806.49</v>
      </c>
      <c r="F192" s="1499">
        <f t="shared" si="74"/>
        <v>-619307.91500000004</v>
      </c>
      <c r="G192" s="154"/>
      <c r="H192" s="154"/>
      <c r="I192" s="1531"/>
      <c r="J192" s="1499">
        <f t="shared" si="75"/>
        <v>-624806.49</v>
      </c>
      <c r="K192" s="154"/>
      <c r="L192" s="154"/>
      <c r="M192" s="1531"/>
      <c r="N192" s="1542" t="s">
        <v>948</v>
      </c>
    </row>
    <row r="193" spans="1:15" s="187" customFormat="1">
      <c r="A193" s="889">
        <f t="shared" si="65"/>
        <v>24.270000000000042</v>
      </c>
      <c r="B193" s="179" t="s">
        <v>1156</v>
      </c>
      <c r="C193" s="179"/>
      <c r="D193" s="1488">
        <v>-4630595.01</v>
      </c>
      <c r="E193" s="1488">
        <v>-4158660.98</v>
      </c>
      <c r="F193" s="1499">
        <f t="shared" si="74"/>
        <v>-4394627.9950000001</v>
      </c>
      <c r="G193" s="154"/>
      <c r="H193" s="154"/>
      <c r="I193" s="1531"/>
      <c r="J193" s="1499">
        <f t="shared" si="75"/>
        <v>-4158660.98</v>
      </c>
      <c r="K193" s="154"/>
      <c r="L193" s="154"/>
      <c r="M193" s="1531"/>
      <c r="N193" s="1498" t="s">
        <v>949</v>
      </c>
    </row>
    <row r="194" spans="1:15" s="187" customFormat="1" ht="12.75" customHeight="1">
      <c r="A194" s="889">
        <f t="shared" si="65"/>
        <v>24.280000000000044</v>
      </c>
      <c r="B194" s="179" t="s">
        <v>1157</v>
      </c>
      <c r="C194" s="179"/>
      <c r="D194" s="1488">
        <v>-747771.07</v>
      </c>
      <c r="E194" s="1488">
        <v>-671558.13</v>
      </c>
      <c r="F194" s="1499">
        <f t="shared" si="74"/>
        <v>-709664.6</v>
      </c>
      <c r="G194" s="154"/>
      <c r="H194" s="154"/>
      <c r="I194" s="1531"/>
      <c r="J194" s="1499">
        <f t="shared" si="75"/>
        <v>-671558.13</v>
      </c>
      <c r="K194" s="154"/>
      <c r="L194" s="154"/>
      <c r="M194" s="1531"/>
      <c r="N194" s="1498" t="s">
        <v>949</v>
      </c>
    </row>
    <row r="195" spans="1:15" s="187" customFormat="1" ht="12.75" customHeight="1">
      <c r="A195" s="889">
        <f>+A194+0.01</f>
        <v>24.290000000000045</v>
      </c>
      <c r="B195" s="179" t="s">
        <v>1158</v>
      </c>
      <c r="C195" s="179"/>
      <c r="D195" s="1488">
        <v>-507911.06</v>
      </c>
      <c r="E195" s="1488">
        <v>-389774.68</v>
      </c>
      <c r="F195" s="1499"/>
      <c r="G195" s="154"/>
      <c r="H195" s="154">
        <f>+SUM($D195:$E195)/2</f>
        <v>-448842.87</v>
      </c>
      <c r="I195" s="1531"/>
      <c r="J195" s="1499"/>
      <c r="K195" s="154"/>
      <c r="L195" s="154">
        <f>+E195</f>
        <v>-389774.68</v>
      </c>
      <c r="M195" s="1531"/>
      <c r="N195" s="1498" t="s">
        <v>6</v>
      </c>
    </row>
    <row r="196" spans="1:15" s="187" customFormat="1" ht="12.75" customHeight="1">
      <c r="A196" s="889">
        <f>+A195+0.01</f>
        <v>24.300000000000047</v>
      </c>
      <c r="B196" s="179" t="s">
        <v>1159</v>
      </c>
      <c r="C196" s="179"/>
      <c r="D196" s="1488">
        <v>-82021.72</v>
      </c>
      <c r="E196" s="1488">
        <v>-62943.8</v>
      </c>
      <c r="F196" s="1499"/>
      <c r="G196" s="154"/>
      <c r="H196" s="154">
        <f>+SUM($D196:$E196)/2</f>
        <v>-72482.760000000009</v>
      </c>
      <c r="I196" s="1531"/>
      <c r="J196" s="1499"/>
      <c r="K196" s="154"/>
      <c r="L196" s="154">
        <f>+E196</f>
        <v>-62943.8</v>
      </c>
      <c r="M196" s="1531"/>
      <c r="N196" s="1498" t="s">
        <v>6</v>
      </c>
    </row>
    <row r="197" spans="1:15" s="187" customFormat="1" ht="12.75" customHeight="1">
      <c r="A197" s="889">
        <f>+A196+0.01</f>
        <v>24.310000000000048</v>
      </c>
      <c r="B197" s="1561" t="s">
        <v>1150</v>
      </c>
      <c r="C197" s="179"/>
      <c r="D197" s="1488">
        <v>5961724.6999999993</v>
      </c>
      <c r="E197" s="1488">
        <v>4720191.0600000005</v>
      </c>
      <c r="F197" s="1499">
        <f t="shared" ref="F197:H206" si="76">+SUM($D197:$E197)/2</f>
        <v>5340957.88</v>
      </c>
      <c r="G197" s="154"/>
      <c r="H197" s="154"/>
      <c r="I197" s="1531"/>
      <c r="J197" s="1499">
        <f t="shared" ref="J197:J198" si="77">+E197</f>
        <v>4720191.0600000005</v>
      </c>
      <c r="K197" s="154"/>
      <c r="L197" s="154"/>
      <c r="M197" s="1531"/>
      <c r="N197" s="1498" t="s">
        <v>208</v>
      </c>
    </row>
    <row r="198" spans="1:15" s="187" customFormat="1" ht="12.75" customHeight="1">
      <c r="A198" s="889">
        <f t="shared" si="65"/>
        <v>24.32000000000005</v>
      </c>
      <c r="B198" s="1561" t="s">
        <v>1151</v>
      </c>
      <c r="C198" s="179"/>
      <c r="D198" s="1488">
        <v>962601.35000000009</v>
      </c>
      <c r="E198" s="1488">
        <v>772250.31</v>
      </c>
      <c r="F198" s="1499">
        <f t="shared" si="76"/>
        <v>867425.83000000007</v>
      </c>
      <c r="G198" s="154"/>
      <c r="H198" s="154"/>
      <c r="I198" s="1531"/>
      <c r="J198" s="1499">
        <f t="shared" si="77"/>
        <v>772250.31</v>
      </c>
      <c r="K198" s="154"/>
      <c r="L198" s="154"/>
      <c r="M198" s="1531"/>
      <c r="N198" s="1498" t="s">
        <v>208</v>
      </c>
    </row>
    <row r="199" spans="1:15" s="187" customFormat="1">
      <c r="A199" s="889">
        <f t="shared" si="65"/>
        <v>24.330000000000052</v>
      </c>
      <c r="B199" s="179" t="s">
        <v>1160</v>
      </c>
      <c r="C199" s="179"/>
      <c r="D199" s="1488">
        <v>0</v>
      </c>
      <c r="E199" s="1488">
        <v>0</v>
      </c>
      <c r="F199" s="1555"/>
      <c r="G199" s="154"/>
      <c r="H199" s="154">
        <f t="shared" si="76"/>
        <v>0</v>
      </c>
      <c r="I199" s="1531"/>
      <c r="J199" s="229"/>
      <c r="K199" s="154"/>
      <c r="L199" s="154">
        <f>+E199</f>
        <v>0</v>
      </c>
      <c r="M199" s="1531"/>
      <c r="N199" s="1498" t="s">
        <v>1</v>
      </c>
    </row>
    <row r="200" spans="1:15" s="187" customFormat="1">
      <c r="A200" s="889">
        <f t="shared" si="65"/>
        <v>24.340000000000053</v>
      </c>
      <c r="B200" s="179" t="s">
        <v>1161</v>
      </c>
      <c r="C200" s="179"/>
      <c r="D200" s="1488">
        <v>0</v>
      </c>
      <c r="E200" s="1488">
        <v>0</v>
      </c>
      <c r="F200" s="1555"/>
      <c r="G200" s="1556"/>
      <c r="H200" s="154">
        <f t="shared" si="76"/>
        <v>0</v>
      </c>
      <c r="I200" s="1557"/>
      <c r="J200" s="229"/>
      <c r="K200" s="1556"/>
      <c r="L200" s="1556">
        <f>+E200</f>
        <v>0</v>
      </c>
      <c r="M200" s="1557"/>
      <c r="N200" s="1498" t="s">
        <v>1</v>
      </c>
    </row>
    <row r="201" spans="1:15" s="187" customFormat="1">
      <c r="A201" s="1286">
        <f t="shared" si="65"/>
        <v>24.350000000000055</v>
      </c>
      <c r="B201" s="190" t="s">
        <v>1334</v>
      </c>
      <c r="C201" s="190"/>
      <c r="D201" s="1488">
        <v>-632488.56000000006</v>
      </c>
      <c r="E201" s="1488">
        <v>-677020.4</v>
      </c>
      <c r="F201" s="1546">
        <f t="shared" si="76"/>
        <v>-654754.48</v>
      </c>
      <c r="G201" s="1307"/>
      <c r="H201" s="1307"/>
      <c r="I201" s="1548"/>
      <c r="J201" s="1546">
        <f t="shared" ref="J201:J206" si="78">+E201</f>
        <v>-677020.4</v>
      </c>
      <c r="K201" s="1558"/>
      <c r="L201" s="1558"/>
      <c r="M201" s="1559"/>
      <c r="N201" s="1598" t="s">
        <v>200</v>
      </c>
    </row>
    <row r="202" spans="1:15" s="187" customFormat="1">
      <c r="A202" s="1286">
        <f t="shared" si="65"/>
        <v>24.360000000000056</v>
      </c>
      <c r="B202" s="190" t="s">
        <v>1335</v>
      </c>
      <c r="C202" s="190"/>
      <c r="D202" s="1488">
        <v>-102141.01</v>
      </c>
      <c r="E202" s="1488">
        <v>-109332.48</v>
      </c>
      <c r="F202" s="1546">
        <f t="shared" si="76"/>
        <v>-105736.745</v>
      </c>
      <c r="G202" s="1307"/>
      <c r="H202" s="1307"/>
      <c r="I202" s="1548"/>
      <c r="J202" s="1546">
        <f t="shared" si="78"/>
        <v>-109332.48</v>
      </c>
      <c r="K202" s="1558"/>
      <c r="L202" s="1558"/>
      <c r="M202" s="1559"/>
      <c r="N202" s="1598" t="s">
        <v>200</v>
      </c>
    </row>
    <row r="203" spans="1:15" s="187" customFormat="1">
      <c r="A203" s="1286">
        <f t="shared" si="65"/>
        <v>24.370000000000058</v>
      </c>
      <c r="B203" s="190" t="s">
        <v>1336</v>
      </c>
      <c r="C203" s="190"/>
      <c r="D203" s="1488">
        <v>-104682.71</v>
      </c>
      <c r="E203" s="1488">
        <v>-97636.02</v>
      </c>
      <c r="F203" s="1546">
        <f t="shared" si="76"/>
        <v>-101159.36500000001</v>
      </c>
      <c r="G203" s="1307"/>
      <c r="H203" s="1307"/>
      <c r="I203" s="1548"/>
      <c r="J203" s="1546">
        <f t="shared" si="78"/>
        <v>-97636.02</v>
      </c>
      <c r="K203" s="1558"/>
      <c r="L203" s="1558"/>
      <c r="M203" s="1559"/>
      <c r="N203" s="1540" t="s">
        <v>1333</v>
      </c>
    </row>
    <row r="204" spans="1:15" s="187" customFormat="1">
      <c r="A204" s="1286">
        <f t="shared" si="65"/>
        <v>24.380000000000059</v>
      </c>
      <c r="B204" s="190" t="s">
        <v>1337</v>
      </c>
      <c r="C204" s="190"/>
      <c r="D204" s="1488">
        <v>-16905.28</v>
      </c>
      <c r="E204" s="1488">
        <v>-15767.31</v>
      </c>
      <c r="F204" s="1546">
        <f t="shared" si="76"/>
        <v>-16336.294999999998</v>
      </c>
      <c r="G204" s="1307"/>
      <c r="H204" s="1307"/>
      <c r="I204" s="1548"/>
      <c r="J204" s="1546">
        <f t="shared" si="78"/>
        <v>-15767.31</v>
      </c>
      <c r="K204" s="1558"/>
      <c r="L204" s="1558"/>
      <c r="M204" s="1559"/>
      <c r="N204" s="1540" t="s">
        <v>1333</v>
      </c>
    </row>
    <row r="205" spans="1:15" s="187" customFormat="1">
      <c r="A205" s="1286">
        <f t="shared" si="65"/>
        <v>24.390000000000061</v>
      </c>
      <c r="B205" s="190" t="s">
        <v>1385</v>
      </c>
      <c r="C205" s="1520"/>
      <c r="D205" s="1521">
        <v>0</v>
      </c>
      <c r="E205" s="1521">
        <v>-142906.54</v>
      </c>
      <c r="F205" s="1546">
        <f t="shared" si="76"/>
        <v>-71453.27</v>
      </c>
      <c r="G205" s="1558"/>
      <c r="H205" s="1558"/>
      <c r="I205" s="1559"/>
      <c r="J205" s="1546">
        <f t="shared" si="78"/>
        <v>-142906.54</v>
      </c>
      <c r="K205" s="1558"/>
      <c r="L205" s="1558"/>
      <c r="M205" s="1559"/>
      <c r="N205" s="1540" t="s">
        <v>200</v>
      </c>
      <c r="O205" s="187" t="s">
        <v>1378</v>
      </c>
    </row>
    <row r="206" spans="1:15" s="187" customFormat="1">
      <c r="A206" s="1286">
        <f t="shared" si="65"/>
        <v>24.400000000000063</v>
      </c>
      <c r="B206" s="190" t="s">
        <v>1386</v>
      </c>
      <c r="C206" s="1520"/>
      <c r="D206" s="1521">
        <v>0</v>
      </c>
      <c r="E206" s="1521">
        <v>-23078.080000000002</v>
      </c>
      <c r="F206" s="1546">
        <f t="shared" si="76"/>
        <v>-11539.04</v>
      </c>
      <c r="G206" s="1558"/>
      <c r="H206" s="1558"/>
      <c r="I206" s="1559"/>
      <c r="J206" s="1546">
        <f t="shared" si="78"/>
        <v>-23078.080000000002</v>
      </c>
      <c r="K206" s="1558"/>
      <c r="L206" s="1558"/>
      <c r="M206" s="1559"/>
      <c r="N206" s="1540" t="s">
        <v>200</v>
      </c>
      <c r="O206" s="187" t="s">
        <v>1378</v>
      </c>
    </row>
    <row r="207" spans="1:15" s="187" customFormat="1">
      <c r="A207" s="1286" t="str">
        <f>+A166&amp;".xx"</f>
        <v>24.xx</v>
      </c>
      <c r="B207" s="1543"/>
      <c r="C207" s="1520" t="s">
        <v>905</v>
      </c>
      <c r="D207" s="1521">
        <v>0</v>
      </c>
      <c r="E207" s="1521">
        <v>0</v>
      </c>
      <c r="F207" s="1544"/>
      <c r="G207" s="1558"/>
      <c r="H207" s="1558"/>
      <c r="I207" s="1559"/>
      <c r="J207" s="1544"/>
      <c r="K207" s="1558"/>
      <c r="L207" s="1558"/>
      <c r="M207" s="1559"/>
      <c r="N207" s="1545"/>
    </row>
    <row r="208" spans="1:15" s="187" customFormat="1">
      <c r="A208" s="1286" t="str">
        <f>+A166&amp;".xx"</f>
        <v>24.xx</v>
      </c>
      <c r="B208" s="1543"/>
      <c r="C208" s="1520" t="s">
        <v>905</v>
      </c>
      <c r="D208" s="1521">
        <v>0</v>
      </c>
      <c r="E208" s="1521">
        <v>0</v>
      </c>
      <c r="F208" s="1544"/>
      <c r="G208" s="1558"/>
      <c r="H208" s="1558"/>
      <c r="I208" s="1559"/>
      <c r="J208" s="1544"/>
      <c r="K208" s="1558"/>
      <c r="L208" s="1558"/>
      <c r="M208" s="1559"/>
      <c r="N208" s="1545"/>
    </row>
    <row r="209" spans="1:14" s="187" customFormat="1">
      <c r="A209" s="1286" t="str">
        <f>+A166&amp;".xx"</f>
        <v>24.xx</v>
      </c>
      <c r="B209" s="190"/>
      <c r="C209" s="1520" t="s">
        <v>905</v>
      </c>
      <c r="D209" s="1523">
        <v>0</v>
      </c>
      <c r="E209" s="1523">
        <v>0</v>
      </c>
      <c r="F209" s="1546"/>
      <c r="G209" s="1307"/>
      <c r="H209" s="1307"/>
      <c r="I209" s="1548"/>
      <c r="J209" s="1546"/>
      <c r="K209" s="1307"/>
      <c r="L209" s="1307"/>
      <c r="M209" s="1548"/>
      <c r="N209" s="1540"/>
    </row>
    <row r="210" spans="1:14" s="187" customFormat="1" ht="13.8" thickBot="1">
      <c r="A210" s="891">
        <f>+A166+1</f>
        <v>25</v>
      </c>
      <c r="B210" s="1524"/>
      <c r="C210" s="1524"/>
      <c r="D210" s="1525"/>
      <c r="E210" s="1525"/>
      <c r="F210" s="1551"/>
      <c r="G210" s="1552"/>
      <c r="H210" s="1552"/>
      <c r="I210" s="1553"/>
      <c r="J210" s="1551"/>
      <c r="K210" s="1552"/>
      <c r="L210" s="1552"/>
      <c r="M210" s="1553"/>
      <c r="N210" s="1526"/>
    </row>
    <row r="211" spans="1:14" s="179" customFormat="1" ht="14.4" thickBot="1">
      <c r="A211" s="891">
        <f>+A210+1</f>
        <v>26</v>
      </c>
      <c r="B211" s="1527" t="s">
        <v>519</v>
      </c>
      <c r="C211" s="1528"/>
      <c r="D211" s="1529">
        <f t="shared" ref="D211:M211" si="79">SUM(D167:D209)</f>
        <v>-85296163.989999995</v>
      </c>
      <c r="E211" s="1529">
        <f t="shared" si="79"/>
        <v>-205146955.85000002</v>
      </c>
      <c r="F211" s="1530">
        <f t="shared" si="79"/>
        <v>-141686335.92499995</v>
      </c>
      <c r="G211" s="154">
        <f t="shared" si="79"/>
        <v>-2090464.1149999998</v>
      </c>
      <c r="H211" s="154">
        <f t="shared" si="79"/>
        <v>-1444759.8800000001</v>
      </c>
      <c r="I211" s="1531">
        <f t="shared" si="79"/>
        <v>0</v>
      </c>
      <c r="J211" s="1530">
        <f t="shared" si="79"/>
        <v>-201636437.37</v>
      </c>
      <c r="K211" s="154">
        <f t="shared" si="79"/>
        <v>-1910149.69</v>
      </c>
      <c r="L211" s="154">
        <f t="shared" si="79"/>
        <v>-1600368.79</v>
      </c>
      <c r="M211" s="1531">
        <f t="shared" si="79"/>
        <v>0</v>
      </c>
      <c r="N211" s="1526" t="str">
        <f>+"Sum by Column of Line "&amp;A166&amp;" Subparts"</f>
        <v>Sum by Column of Line 24 Subparts</v>
      </c>
    </row>
    <row r="212" spans="1:14" s="187" customFormat="1" ht="15">
      <c r="A212" s="891">
        <f t="shared" ref="A212:A222" si="80">+A211+1</f>
        <v>27</v>
      </c>
      <c r="B212" s="2090" t="s">
        <v>558</v>
      </c>
      <c r="C212" s="2090"/>
      <c r="D212" s="1532">
        <f>+D197+D198</f>
        <v>6924326.0499999989</v>
      </c>
      <c r="E212" s="1532">
        <f t="shared" ref="E212:M212" si="81">+E197+E198</f>
        <v>5492441.370000001</v>
      </c>
      <c r="F212" s="1533">
        <f t="shared" si="81"/>
        <v>6208383.71</v>
      </c>
      <c r="G212" s="1532">
        <f t="shared" si="81"/>
        <v>0</v>
      </c>
      <c r="H212" s="1532">
        <f t="shared" si="81"/>
        <v>0</v>
      </c>
      <c r="I212" s="1534">
        <f t="shared" si="81"/>
        <v>0</v>
      </c>
      <c r="J212" s="1533">
        <f t="shared" si="81"/>
        <v>5492441.370000001</v>
      </c>
      <c r="K212" s="1532">
        <f t="shared" si="81"/>
        <v>0</v>
      </c>
      <c r="L212" s="1532">
        <f t="shared" si="81"/>
        <v>0</v>
      </c>
      <c r="M212" s="1534">
        <f t="shared" si="81"/>
        <v>0</v>
      </c>
      <c r="N212" s="189"/>
    </row>
    <row r="213" spans="1:14" s="187" customFormat="1">
      <c r="A213" s="891">
        <f t="shared" si="80"/>
        <v>28</v>
      </c>
      <c r="B213" s="2097" t="s">
        <v>559</v>
      </c>
      <c r="C213" s="2097"/>
      <c r="D213" s="154">
        <f t="shared" ref="D213:M213" si="82">+D211-D212</f>
        <v>-92220490.039999992</v>
      </c>
      <c r="E213" s="154">
        <f t="shared" si="82"/>
        <v>-210639397.22000003</v>
      </c>
      <c r="F213" s="1530">
        <f t="shared" si="82"/>
        <v>-147894719.63499996</v>
      </c>
      <c r="G213" s="154">
        <f t="shared" si="82"/>
        <v>-2090464.1149999998</v>
      </c>
      <c r="H213" s="154">
        <f t="shared" si="82"/>
        <v>-1444759.8800000001</v>
      </c>
      <c r="I213" s="1531">
        <f t="shared" si="82"/>
        <v>0</v>
      </c>
      <c r="J213" s="1530">
        <f t="shared" si="82"/>
        <v>-207128878.74000001</v>
      </c>
      <c r="K213" s="154">
        <f t="shared" si="82"/>
        <v>-1910149.69</v>
      </c>
      <c r="L213" s="154">
        <f t="shared" si="82"/>
        <v>-1600368.79</v>
      </c>
      <c r="M213" s="1531">
        <f t="shared" si="82"/>
        <v>0</v>
      </c>
      <c r="N213" s="189" t="str">
        <f>+"Ln "&amp;A211&amp;" Less Ln "&amp;A212</f>
        <v>Ln 26 Less Ln 27</v>
      </c>
    </row>
    <row r="214" spans="1:14" s="187" customFormat="1" ht="13.8">
      <c r="A214" s="891">
        <f t="shared" si="80"/>
        <v>29</v>
      </c>
      <c r="B214" s="1524"/>
      <c r="C214" s="1524"/>
      <c r="D214" s="1524"/>
      <c r="E214" s="1535"/>
      <c r="F214" s="189"/>
      <c r="G214" s="1525"/>
      <c r="H214" s="1525"/>
      <c r="I214" s="1525"/>
      <c r="J214" s="1525"/>
      <c r="K214" s="1525"/>
      <c r="L214" s="1525"/>
      <c r="M214" s="1525"/>
      <c r="N214" s="1525"/>
    </row>
    <row r="215" spans="1:14" s="187" customFormat="1">
      <c r="A215" s="891">
        <f t="shared" si="80"/>
        <v>30</v>
      </c>
      <c r="B215" s="2099" t="s">
        <v>435</v>
      </c>
      <c r="C215" s="2099"/>
      <c r="D215" s="2099"/>
      <c r="E215" s="2099"/>
      <c r="F215" s="2099"/>
      <c r="G215" s="2099"/>
      <c r="H215" s="2099"/>
      <c r="I215" s="189"/>
      <c r="J215" s="1526"/>
      <c r="K215" s="1526"/>
      <c r="L215" s="1526"/>
      <c r="M215" s="1526"/>
      <c r="N215" s="1526"/>
    </row>
    <row r="216" spans="1:14" s="187" customFormat="1" ht="13.95" customHeight="1">
      <c r="A216" s="891">
        <f t="shared" si="80"/>
        <v>31</v>
      </c>
      <c r="B216" s="2100"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216" s="2100"/>
      <c r="D216" s="2100"/>
      <c r="E216" s="2100"/>
      <c r="F216" s="2100"/>
      <c r="G216" s="2100"/>
      <c r="H216" s="2100"/>
      <c r="I216" s="2100"/>
      <c r="J216" s="2100"/>
      <c r="K216" s="2100"/>
      <c r="L216" s="2100"/>
      <c r="M216" s="2100"/>
      <c r="N216" s="1526"/>
    </row>
    <row r="217" spans="1:14" s="187" customFormat="1">
      <c r="A217" s="891">
        <f t="shared" si="80"/>
        <v>32</v>
      </c>
      <c r="B217" s="2099" t="str">
        <f>+"2.  ADIT items related only to Transmission are directly assigned to Column "&amp;G$5&amp;" for True-Up and Column "&amp;K$5&amp;" for Projected"</f>
        <v>2.  ADIT items related only to Transmission are directly assigned to Column F for True-Up and Column J for Projected</v>
      </c>
      <c r="C217" s="2099"/>
      <c r="D217" s="2099"/>
      <c r="E217" s="2099"/>
      <c r="F217" s="2099"/>
      <c r="G217" s="2099"/>
      <c r="H217" s="2099"/>
      <c r="I217" s="189"/>
      <c r="J217" s="1526"/>
      <c r="K217" s="1526"/>
      <c r="L217" s="1526"/>
      <c r="M217" s="1526"/>
      <c r="N217" s="1526"/>
    </row>
    <row r="218" spans="1:14" s="187" customFormat="1">
      <c r="A218" s="891">
        <f t="shared" si="80"/>
        <v>33</v>
      </c>
      <c r="B218" s="2099"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218" s="2099"/>
      <c r="D218" s="2099"/>
      <c r="E218" s="2099"/>
      <c r="F218" s="2099"/>
      <c r="G218" s="2099"/>
      <c r="H218" s="2099"/>
      <c r="I218" s="2099"/>
      <c r="J218" s="2099"/>
      <c r="K218" s="2099"/>
      <c r="L218" s="2099"/>
      <c r="M218" s="2099"/>
      <c r="N218" s="1547"/>
    </row>
    <row r="219" spans="1:14" s="187" customFormat="1">
      <c r="A219" s="891">
        <f t="shared" si="80"/>
        <v>34</v>
      </c>
      <c r="B219" s="2099"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219" s="2099"/>
      <c r="D219" s="2099"/>
      <c r="E219" s="2099"/>
      <c r="F219" s="2099"/>
      <c r="G219" s="2099"/>
      <c r="H219" s="2099"/>
      <c r="I219" s="2099"/>
      <c r="J219" s="2099"/>
      <c r="K219" s="2099"/>
      <c r="L219" s="2099"/>
      <c r="M219" s="2099"/>
      <c r="N219" s="1526"/>
    </row>
    <row r="220" spans="1:14">
      <c r="A220" s="785">
        <f t="shared" si="80"/>
        <v>35</v>
      </c>
      <c r="B220" s="2096" t="s">
        <v>954</v>
      </c>
      <c r="C220" s="2096"/>
      <c r="D220" s="2096"/>
      <c r="E220" s="2096"/>
      <c r="F220" s="2096"/>
      <c r="G220" s="2096"/>
      <c r="H220" s="2096"/>
      <c r="I220" s="2096"/>
      <c r="J220" s="2096"/>
      <c r="K220" s="2096"/>
      <c r="L220" s="2096"/>
      <c r="M220" s="2096"/>
      <c r="N220" s="2096"/>
    </row>
    <row r="221" spans="1:14">
      <c r="A221" s="785">
        <f t="shared" si="80"/>
        <v>36</v>
      </c>
      <c r="B221" s="2095" t="s">
        <v>953</v>
      </c>
      <c r="C221" s="2095"/>
      <c r="D221" s="2095"/>
      <c r="E221" s="2095"/>
      <c r="F221" s="2095"/>
      <c r="G221" s="2095"/>
      <c r="H221" s="2095"/>
      <c r="I221" s="2095"/>
      <c r="J221" s="2095"/>
      <c r="K221" s="2095"/>
      <c r="L221" s="2095"/>
      <c r="M221" s="2095"/>
      <c r="N221" s="2095"/>
    </row>
    <row r="222" spans="1:14" s="44" customFormat="1">
      <c r="A222" s="785">
        <f t="shared" si="80"/>
        <v>37</v>
      </c>
      <c r="B222" s="1659" t="s">
        <v>1358</v>
      </c>
      <c r="C222" s="188"/>
      <c r="D222" s="188"/>
      <c r="E222" s="188"/>
      <c r="F222" s="188"/>
      <c r="G222" s="45"/>
      <c r="H222" s="45"/>
      <c r="I222" s="45"/>
      <c r="J222" s="45"/>
      <c r="K222" s="45"/>
      <c r="L222" s="45"/>
      <c r="M222" s="45"/>
      <c r="N222" s="45"/>
    </row>
    <row r="223" spans="1:14">
      <c r="A223" s="786"/>
      <c r="B223" s="688"/>
      <c r="C223" s="688"/>
      <c r="D223" s="688"/>
      <c r="E223" s="688"/>
      <c r="F223" s="688"/>
      <c r="G223" s="837"/>
      <c r="H223" s="837"/>
      <c r="I223" s="837"/>
      <c r="J223" s="837"/>
      <c r="K223" s="837"/>
      <c r="L223" s="837"/>
      <c r="M223" s="837"/>
      <c r="N223" s="837"/>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27">
    <mergeCell ref="B221:N221"/>
    <mergeCell ref="B220:N220"/>
    <mergeCell ref="B213:C213"/>
    <mergeCell ref="F8:I8"/>
    <mergeCell ref="J8:M8"/>
    <mergeCell ref="J15:M15"/>
    <mergeCell ref="F15:I15"/>
    <mergeCell ref="B163:C163"/>
    <mergeCell ref="B217:H217"/>
    <mergeCell ref="B216:M216"/>
    <mergeCell ref="F166:I166"/>
    <mergeCell ref="J166:M166"/>
    <mergeCell ref="B215:H215"/>
    <mergeCell ref="B212:C212"/>
    <mergeCell ref="B218:M218"/>
    <mergeCell ref="B219:M219"/>
    <mergeCell ref="A1:N1"/>
    <mergeCell ref="A2:N2"/>
    <mergeCell ref="F112:I112"/>
    <mergeCell ref="J112:M112"/>
    <mergeCell ref="A3:N3"/>
    <mergeCell ref="B109:C109"/>
    <mergeCell ref="A4:A5"/>
    <mergeCell ref="F17:I17"/>
    <mergeCell ref="J17:M17"/>
    <mergeCell ref="F6:I6"/>
    <mergeCell ref="J6:M6"/>
  </mergeCells>
  <phoneticPr fontId="0" type="noConversion"/>
  <printOptions horizontalCentered="1"/>
  <pageMargins left="0.5" right="0.5" top="0.5" bottom="0.5" header="0.3" footer="0.5"/>
  <pageSetup scale="48" fitToHeight="6" orientation="landscape" r:id="rId10"/>
  <headerFooter>
    <oddFooter>&amp;C
&amp;R&amp;A</oddFooter>
  </headerFooter>
  <rowBreaks count="1" manualBreakCount="1">
    <brk id="2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4" workbookViewId="0">
      <selection activeCell="L6" sqref="L6"/>
    </sheetView>
  </sheetViews>
  <sheetFormatPr defaultRowHeight="13.2"/>
  <cols>
    <col min="1" max="1" width="4.5546875" customWidth="1"/>
    <col min="2" max="2" width="21.21875" customWidth="1"/>
    <col min="3" max="3" width="13" customWidth="1"/>
    <col min="4" max="5" width="14.109375" bestFit="1" customWidth="1"/>
    <col min="6" max="6" width="21.33203125" customWidth="1"/>
    <col min="9" max="9" width="10" bestFit="1" customWidth="1"/>
  </cols>
  <sheetData>
    <row r="1" spans="1:8" s="169" customFormat="1">
      <c r="A1" s="2067" t="str">
        <f>+'MISO Cover'!C6</f>
        <v>Entergy New Orleans, Inc.</v>
      </c>
      <c r="B1" s="2067"/>
      <c r="C1" s="2067"/>
      <c r="D1" s="2067"/>
      <c r="E1" s="2067"/>
      <c r="F1" s="2067"/>
      <c r="H1" s="838"/>
    </row>
    <row r="2" spans="1:8" s="169" customFormat="1">
      <c r="A2" s="2068" t="s">
        <v>1440</v>
      </c>
      <c r="B2" s="2068"/>
      <c r="C2" s="2068"/>
      <c r="D2" s="2068"/>
      <c r="E2" s="2068"/>
      <c r="F2" s="2068"/>
    </row>
    <row r="3" spans="1:8" s="169" customFormat="1">
      <c r="A3" s="2067" t="str">
        <f>+'MISO Cover'!K4</f>
        <v>For  the 12 Months Ended 12/31/2016</v>
      </c>
      <c r="B3" s="2067"/>
      <c r="C3" s="2067"/>
      <c r="D3" s="2067"/>
      <c r="E3" s="2067"/>
      <c r="F3" s="2067"/>
    </row>
    <row r="5" spans="1:8">
      <c r="A5" t="s">
        <v>281</v>
      </c>
      <c r="B5" s="197" t="s">
        <v>68</v>
      </c>
      <c r="C5" s="197" t="s">
        <v>115</v>
      </c>
      <c r="D5" s="197" t="s">
        <v>56</v>
      </c>
      <c r="E5" s="197" t="s">
        <v>69</v>
      </c>
      <c r="F5" s="1770" t="s">
        <v>67</v>
      </c>
    </row>
    <row r="6" spans="1:8">
      <c r="B6" s="197"/>
      <c r="C6" s="197"/>
      <c r="D6" s="197"/>
      <c r="E6" s="197"/>
      <c r="F6" s="1771"/>
    </row>
    <row r="7" spans="1:8" ht="15">
      <c r="A7" s="197">
        <v>1</v>
      </c>
      <c r="B7" s="1660" t="s">
        <v>1428</v>
      </c>
      <c r="C7" s="1660" t="s">
        <v>1429</v>
      </c>
      <c r="D7" s="1661" t="s">
        <v>1430</v>
      </c>
      <c r="E7" s="1661" t="s">
        <v>1431</v>
      </c>
      <c r="F7" s="1772" t="s">
        <v>141</v>
      </c>
    </row>
    <row r="8" spans="1:8">
      <c r="A8" s="197">
        <f>+A7+1</f>
        <v>2</v>
      </c>
      <c r="B8" t="s">
        <v>414</v>
      </c>
      <c r="C8" t="s">
        <v>1432</v>
      </c>
      <c r="D8" s="1662">
        <v>68458967</v>
      </c>
      <c r="E8" s="1662">
        <v>73074597</v>
      </c>
      <c r="F8" s="1771" t="s">
        <v>1569</v>
      </c>
    </row>
    <row r="9" spans="1:8">
      <c r="A9" s="197">
        <f t="shared" ref="A9:A31" si="0">+A8+1</f>
        <v>3</v>
      </c>
      <c r="C9" t="s">
        <v>1433</v>
      </c>
      <c r="D9" s="1663">
        <f>+'WP04 PIS'!C28</f>
        <v>68458967</v>
      </c>
      <c r="E9" s="1663">
        <f>+'WP04 PIS'!C40</f>
        <v>73074597</v>
      </c>
      <c r="F9" s="1771" t="s">
        <v>1434</v>
      </c>
    </row>
    <row r="10" spans="1:8">
      <c r="A10" s="197">
        <f t="shared" si="0"/>
        <v>4</v>
      </c>
      <c r="C10" t="s">
        <v>1435</v>
      </c>
      <c r="D10" s="1258">
        <f>+D8-D9</f>
        <v>0</v>
      </c>
      <c r="E10" s="1258">
        <f>+E8-E9</f>
        <v>0</v>
      </c>
      <c r="F10" s="1771" t="str">
        <f>+"Ln "&amp;A8&amp;" - Ln "&amp;A9</f>
        <v>Ln 2 - Ln 3</v>
      </c>
    </row>
    <row r="11" spans="1:8">
      <c r="A11" s="197">
        <f t="shared" si="0"/>
        <v>5</v>
      </c>
      <c r="D11" s="1258"/>
      <c r="E11" s="1258"/>
      <c r="F11" s="1771"/>
    </row>
    <row r="12" spans="1:8">
      <c r="A12" s="197">
        <f t="shared" si="0"/>
        <v>6</v>
      </c>
      <c r="B12" t="s">
        <v>580</v>
      </c>
      <c r="C12" t="s">
        <v>1432</v>
      </c>
      <c r="D12" s="1662">
        <v>69660296</v>
      </c>
      <c r="E12" s="1662">
        <v>65970695</v>
      </c>
      <c r="F12" s="1771" t="s">
        <v>1570</v>
      </c>
    </row>
    <row r="13" spans="1:8">
      <c r="A13" s="197">
        <f t="shared" si="0"/>
        <v>7</v>
      </c>
      <c r="C13" t="s">
        <v>1433</v>
      </c>
      <c r="D13" s="1663">
        <f>+'WP04 PIS'!G28</f>
        <v>69660296</v>
      </c>
      <c r="E13" s="1663">
        <f>+'WP04 PIS'!G40</f>
        <v>63839585</v>
      </c>
      <c r="F13" s="1771" t="str">
        <f>+F9</f>
        <v>WP04 Ln 23 &amp; 35 (3)</v>
      </c>
    </row>
    <row r="14" spans="1:8">
      <c r="A14" s="197">
        <f t="shared" si="0"/>
        <v>8</v>
      </c>
      <c r="C14" t="s">
        <v>1435</v>
      </c>
      <c r="D14" s="1258">
        <f>+D12-D13</f>
        <v>0</v>
      </c>
      <c r="E14" s="1258">
        <f>+E12-E13</f>
        <v>2131110</v>
      </c>
      <c r="F14" s="1771" t="str">
        <f>+"Ln "&amp;A12&amp;" - Ln "&amp;A13</f>
        <v>Ln 6 - Ln 7</v>
      </c>
    </row>
    <row r="15" spans="1:8">
      <c r="A15" s="197">
        <f t="shared" si="0"/>
        <v>9</v>
      </c>
      <c r="D15" s="1258"/>
      <c r="E15" s="1258"/>
      <c r="F15" s="1771"/>
    </row>
    <row r="16" spans="1:8">
      <c r="A16" s="197">
        <f t="shared" si="0"/>
        <v>10</v>
      </c>
      <c r="B16" t="s">
        <v>192</v>
      </c>
      <c r="C16" t="s">
        <v>1432</v>
      </c>
      <c r="D16" s="1662">
        <v>-3781481</v>
      </c>
      <c r="E16" s="1662">
        <v>-2525094</v>
      </c>
      <c r="F16" s="1771" t="s">
        <v>1571</v>
      </c>
    </row>
    <row r="17" spans="1:6">
      <c r="A17" s="197">
        <f t="shared" si="0"/>
        <v>11</v>
      </c>
      <c r="C17" t="s">
        <v>1433</v>
      </c>
      <c r="D17" s="1663">
        <f>+'WP04 PIS'!K28</f>
        <v>-3781481</v>
      </c>
      <c r="E17" s="1663">
        <f>+'WP04 PIS'!K40</f>
        <v>6358391.9999999991</v>
      </c>
      <c r="F17" s="1771" t="str">
        <f>+F9</f>
        <v>WP04 Ln 23 &amp; 35 (3)</v>
      </c>
    </row>
    <row r="18" spans="1:6">
      <c r="A18" s="197">
        <f t="shared" si="0"/>
        <v>12</v>
      </c>
      <c r="C18" t="s">
        <v>1435</v>
      </c>
      <c r="D18" s="1258">
        <f>+D16-D17</f>
        <v>0</v>
      </c>
      <c r="E18" s="1258">
        <f>+E16-E17</f>
        <v>-8883486</v>
      </c>
      <c r="F18" s="1771" t="str">
        <f>+"Ln "&amp;A16&amp;" - Ln "&amp;A17</f>
        <v>Ln 10 - Ln 11</v>
      </c>
    </row>
    <row r="19" spans="1:6">
      <c r="A19" s="197">
        <f t="shared" si="0"/>
        <v>13</v>
      </c>
      <c r="D19" s="1258"/>
      <c r="E19" s="1258"/>
      <c r="F19" s="1771"/>
    </row>
    <row r="20" spans="1:6">
      <c r="A20" s="197">
        <f t="shared" si="0"/>
        <v>14</v>
      </c>
      <c r="B20" t="s">
        <v>413</v>
      </c>
      <c r="C20" t="s">
        <v>1432</v>
      </c>
      <c r="D20" s="1662">
        <v>173878340</v>
      </c>
      <c r="E20" s="1662">
        <v>100946395</v>
      </c>
      <c r="F20" s="1771" t="s">
        <v>1565</v>
      </c>
    </row>
    <row r="21" spans="1:6">
      <c r="A21" s="197">
        <f t="shared" si="0"/>
        <v>15</v>
      </c>
      <c r="C21" t="s">
        <v>1433</v>
      </c>
      <c r="D21" s="1258">
        <f>+'WP04 PIS'!F28</f>
        <v>173878341</v>
      </c>
      <c r="E21" s="1258">
        <f>+'WP04 PIS'!F40</f>
        <v>100946395</v>
      </c>
      <c r="F21" s="1771" t="str">
        <f>+F17</f>
        <v>WP04 Ln 23 &amp; 35 (3)</v>
      </c>
    </row>
    <row r="22" spans="1:6">
      <c r="A22" s="197">
        <f t="shared" si="0"/>
        <v>16</v>
      </c>
      <c r="C22" t="s">
        <v>1435</v>
      </c>
      <c r="D22" s="1666">
        <f>D20-D21</f>
        <v>-1</v>
      </c>
      <c r="E22" s="1666">
        <f>E20-E21</f>
        <v>0</v>
      </c>
      <c r="F22" s="1771" t="str">
        <f>+"Ln "&amp;A20&amp;" - Ln "&amp;A21</f>
        <v>Ln 14 - Ln 15</v>
      </c>
    </row>
    <row r="23" spans="1:6">
      <c r="A23" s="197">
        <f t="shared" si="0"/>
        <v>17</v>
      </c>
      <c r="D23" s="1258"/>
      <c r="E23" s="1258"/>
      <c r="F23" s="1771"/>
    </row>
    <row r="24" spans="1:6">
      <c r="A24" s="197">
        <f t="shared" si="0"/>
        <v>18</v>
      </c>
      <c r="B24" t="s">
        <v>22</v>
      </c>
      <c r="C24" t="s">
        <v>1432</v>
      </c>
      <c r="D24" s="1662">
        <v>198082317</v>
      </c>
      <c r="E24" s="1662">
        <v>210849688</v>
      </c>
      <c r="F24" s="1771" t="s">
        <v>1572</v>
      </c>
    </row>
    <row r="25" spans="1:6">
      <c r="A25" s="197">
        <f t="shared" si="0"/>
        <v>19</v>
      </c>
      <c r="C25" t="s">
        <v>1433</v>
      </c>
      <c r="D25" s="1258">
        <f>+'WP04 PIS'!J28</f>
        <v>198082317</v>
      </c>
      <c r="E25" s="1258">
        <f>+'WP04 PIS'!J40</f>
        <v>210849687</v>
      </c>
      <c r="F25" s="1771" t="str">
        <f>+F21</f>
        <v>WP04 Ln 23 &amp; 35 (3)</v>
      </c>
    </row>
    <row r="26" spans="1:6">
      <c r="A26" s="197">
        <f t="shared" si="0"/>
        <v>20</v>
      </c>
      <c r="C26" t="s">
        <v>1435</v>
      </c>
      <c r="D26" s="1666">
        <f>D24-D25</f>
        <v>0</v>
      </c>
      <c r="E26" s="1666">
        <f>E24-E25</f>
        <v>1</v>
      </c>
      <c r="F26" s="1771" t="str">
        <f>+"Ln "&amp;A24&amp;" - Ln "&amp;A25</f>
        <v>Ln 18 - Ln 19</v>
      </c>
    </row>
    <row r="27" spans="1:6">
      <c r="A27" s="197">
        <f t="shared" si="0"/>
        <v>21</v>
      </c>
      <c r="D27" s="1258"/>
      <c r="E27" s="1258"/>
      <c r="F27" s="1771"/>
    </row>
    <row r="28" spans="1:6" ht="26.4">
      <c r="A28" s="1774">
        <f t="shared" si="0"/>
        <v>22</v>
      </c>
      <c r="B28" s="682" t="s">
        <v>114</v>
      </c>
      <c r="C28" s="682"/>
      <c r="D28" s="1775">
        <f>+D10+D14+D18+D22+D26</f>
        <v>-1</v>
      </c>
      <c r="E28" s="1775">
        <f>+E10+E14+E18+E22+E26</f>
        <v>-6752375</v>
      </c>
      <c r="F28" s="1769" t="str">
        <f>+"Ln "&amp;A10&amp;" + Ln "&amp;A14&amp;" + Ln "&amp;A18&amp;" + Ln "&amp;A22&amp;" + Ln "&amp;A26</f>
        <v>Ln 4 + Ln 8 + Ln 12 + Ln 16 + Ln 20</v>
      </c>
    </row>
    <row r="29" spans="1:6">
      <c r="A29" s="197">
        <f t="shared" si="0"/>
        <v>23</v>
      </c>
      <c r="B29" t="s">
        <v>1436</v>
      </c>
      <c r="D29" s="1787">
        <f>'Appendix A'!G225</f>
        <v>0.38477366255144019</v>
      </c>
      <c r="E29" s="1787">
        <f>D29</f>
        <v>0.38477366255144019</v>
      </c>
      <c r="F29" s="1771" t="s">
        <v>1437</v>
      </c>
    </row>
    <row r="30" spans="1:6">
      <c r="A30" s="197">
        <f t="shared" si="0"/>
        <v>24</v>
      </c>
      <c r="D30" s="1768"/>
      <c r="E30" s="1768"/>
      <c r="F30" s="1771"/>
    </row>
    <row r="31" spans="1:6">
      <c r="A31" s="197">
        <f t="shared" si="0"/>
        <v>25</v>
      </c>
      <c r="B31" t="s">
        <v>1441</v>
      </c>
      <c r="D31" s="1258">
        <f>+D28*D29</f>
        <v>-0.38477366255144019</v>
      </c>
      <c r="E31" s="1258">
        <f>+E28*E29</f>
        <v>-2598136.0596707808</v>
      </c>
      <c r="F31" s="1773" t="str">
        <f>+"Ln "&amp;A28&amp;" * Ln "&amp;A29</f>
        <v>Ln 22 * Ln 23</v>
      </c>
    </row>
    <row r="32" spans="1:6">
      <c r="F32" s="1771"/>
    </row>
    <row r="33" spans="1:6">
      <c r="A33" t="s">
        <v>125</v>
      </c>
    </row>
    <row r="34" spans="1:6" ht="13.2" customHeight="1">
      <c r="A34" s="1664" t="s">
        <v>171</v>
      </c>
      <c r="B34" s="2102" t="s">
        <v>1438</v>
      </c>
      <c r="C34" s="2102"/>
      <c r="D34" s="2102"/>
      <c r="E34" s="2102"/>
      <c r="F34" s="2102"/>
    </row>
    <row r="35" spans="1:6">
      <c r="A35" s="1665" t="s">
        <v>320</v>
      </c>
      <c r="B35" t="s">
        <v>1439</v>
      </c>
    </row>
    <row r="36" spans="1:6">
      <c r="A36" s="1665" t="s">
        <v>321</v>
      </c>
      <c r="B36" t="s">
        <v>1442</v>
      </c>
    </row>
  </sheetData>
  <mergeCells count="4">
    <mergeCell ref="B34:F34"/>
    <mergeCell ref="A2:F2"/>
    <mergeCell ref="A1:F1"/>
    <mergeCell ref="A3:F3"/>
  </mergeCells>
  <printOptions horizontalCentered="1"/>
  <pageMargins left="0.7" right="0.7" top="0.75" bottom="0.75" header="0.3" footer="0.5"/>
  <pageSetup orientation="portrait"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15"/>
  <sheetViews>
    <sheetView topLeftCell="E1" zoomScaleNormal="100" workbookViewId="0">
      <selection activeCell="L6" sqref="L6"/>
    </sheetView>
  </sheetViews>
  <sheetFormatPr defaultColWidth="9.109375" defaultRowHeight="13.2"/>
  <cols>
    <col min="1" max="1" width="3.109375" style="763" bestFit="1" customWidth="1"/>
    <col min="2" max="2" width="5.33203125" style="44" customWidth="1"/>
    <col min="3" max="3" width="19.6640625" style="44" bestFit="1" customWidth="1"/>
    <col min="4" max="15" width="11.33203125" style="44" bestFit="1" customWidth="1"/>
    <col min="16" max="17" width="11.44140625" style="44" bestFit="1" customWidth="1"/>
    <col min="18" max="16384" width="9.109375" style="44"/>
  </cols>
  <sheetData>
    <row r="1" spans="1:22" s="66" customFormat="1">
      <c r="A1" s="2038" t="str">
        <f>+'MISO Cover'!C6</f>
        <v>Entergy New Orleans, Inc.</v>
      </c>
      <c r="B1" s="2038"/>
      <c r="C1" s="2038"/>
      <c r="D1" s="2038"/>
      <c r="E1" s="2038"/>
      <c r="F1" s="2038"/>
      <c r="G1" s="2038"/>
      <c r="H1" s="2038"/>
      <c r="I1" s="2038"/>
      <c r="J1" s="2038"/>
      <c r="K1" s="2038"/>
      <c r="L1" s="2038"/>
      <c r="M1" s="2038"/>
      <c r="N1" s="2038"/>
      <c r="O1" s="2038"/>
      <c r="P1" s="2038"/>
      <c r="Q1" s="2038"/>
    </row>
    <row r="2" spans="1:22" s="66" customFormat="1">
      <c r="A2" s="2039" t="s">
        <v>866</v>
      </c>
      <c r="B2" s="2039"/>
      <c r="C2" s="2039"/>
      <c r="D2" s="2039"/>
      <c r="E2" s="2039"/>
      <c r="F2" s="2039"/>
      <c r="G2" s="2039"/>
      <c r="H2" s="2039"/>
      <c r="I2" s="2039"/>
      <c r="J2" s="2039"/>
      <c r="K2" s="2039"/>
      <c r="L2" s="2039"/>
      <c r="M2" s="2039"/>
      <c r="N2" s="2039"/>
      <c r="O2" s="2039"/>
      <c r="P2" s="2039"/>
      <c r="Q2" s="2039"/>
    </row>
    <row r="3" spans="1:22" s="66" customFormat="1">
      <c r="A3" s="2038" t="str">
        <f>+'MISO Cover'!K4</f>
        <v>For  the 12 Months Ended 12/31/2016</v>
      </c>
      <c r="B3" s="2038"/>
      <c r="C3" s="2038"/>
      <c r="D3" s="2038"/>
      <c r="E3" s="2038"/>
      <c r="F3" s="2038"/>
      <c r="G3" s="2038"/>
      <c r="H3" s="2038"/>
      <c r="I3" s="2038"/>
      <c r="J3" s="2038"/>
      <c r="K3" s="2038"/>
      <c r="L3" s="2038"/>
      <c r="M3" s="2038"/>
      <c r="N3" s="2038"/>
      <c r="O3" s="2038"/>
      <c r="P3" s="2038"/>
      <c r="Q3" s="2038"/>
    </row>
    <row r="4" spans="1:22" s="66" customFormat="1">
      <c r="A4" s="231"/>
      <c r="B4" s="799"/>
      <c r="C4" s="44"/>
      <c r="D4" s="44"/>
      <c r="E4" s="229"/>
      <c r="F4" s="79"/>
      <c r="G4" s="79"/>
      <c r="H4" s="79"/>
      <c r="I4" s="79"/>
    </row>
    <row r="5" spans="1:22" s="66" customFormat="1">
      <c r="A5" s="231"/>
      <c r="B5" s="759"/>
      <c r="C5" s="759"/>
      <c r="D5" s="759"/>
      <c r="E5" s="759"/>
      <c r="F5" s="759"/>
      <c r="G5" s="759"/>
      <c r="H5" s="759"/>
      <c r="I5" s="759"/>
      <c r="J5" s="759"/>
      <c r="K5" s="759"/>
      <c r="L5" s="759"/>
      <c r="M5" s="759"/>
      <c r="N5" s="759"/>
      <c r="O5" s="759"/>
      <c r="P5" s="759"/>
      <c r="Q5" s="759"/>
    </row>
    <row r="6" spans="1:22" s="763" customFormat="1">
      <c r="A6" s="763" t="s">
        <v>281</v>
      </c>
      <c r="B6" s="763" t="s">
        <v>68</v>
      </c>
      <c r="C6" s="763" t="s">
        <v>115</v>
      </c>
      <c r="D6" s="763" t="s">
        <v>56</v>
      </c>
      <c r="E6" s="763" t="s">
        <v>69</v>
      </c>
      <c r="F6" s="763" t="s">
        <v>67</v>
      </c>
      <c r="G6" s="763" t="s">
        <v>157</v>
      </c>
      <c r="H6" s="763" t="s">
        <v>70</v>
      </c>
      <c r="I6" s="763" t="s">
        <v>170</v>
      </c>
      <c r="J6" s="763" t="s">
        <v>60</v>
      </c>
      <c r="K6" s="763" t="s">
        <v>61</v>
      </c>
      <c r="L6" s="763" t="s">
        <v>72</v>
      </c>
      <c r="M6" s="763" t="s">
        <v>99</v>
      </c>
      <c r="N6" s="763" t="s">
        <v>100</v>
      </c>
      <c r="O6" s="763" t="s">
        <v>158</v>
      </c>
      <c r="P6" s="763" t="s">
        <v>224</v>
      </c>
      <c r="Q6" s="763" t="s">
        <v>225</v>
      </c>
    </row>
    <row r="7" spans="1:22" s="66" customFormat="1">
      <c r="A7" s="231"/>
      <c r="B7" s="275"/>
      <c r="C7" s="272"/>
      <c r="D7" s="45"/>
      <c r="E7" s="45"/>
      <c r="F7" s="45"/>
      <c r="G7" s="45"/>
      <c r="H7" s="45"/>
      <c r="I7" s="45"/>
      <c r="J7" s="45"/>
      <c r="K7" s="45"/>
      <c r="L7" s="45"/>
      <c r="M7" s="45"/>
      <c r="N7" s="45"/>
      <c r="O7" s="45"/>
      <c r="P7" s="45"/>
      <c r="Q7" s="486" t="s">
        <v>49</v>
      </c>
      <c r="R7" s="80"/>
    </row>
    <row r="8" spans="1:22" s="231" customFormat="1">
      <c r="A8" s="231">
        <v>1</v>
      </c>
      <c r="B8" s="1164" t="s">
        <v>447</v>
      </c>
      <c r="C8" s="1164" t="s">
        <v>113</v>
      </c>
      <c r="D8" s="1459" t="s">
        <v>38</v>
      </c>
      <c r="E8" s="1459" t="s">
        <v>28</v>
      </c>
      <c r="F8" s="1459" t="s">
        <v>29</v>
      </c>
      <c r="G8" s="1459" t="s">
        <v>30</v>
      </c>
      <c r="H8" s="1459" t="s">
        <v>31</v>
      </c>
      <c r="I8" s="1459" t="s">
        <v>27</v>
      </c>
      <c r="J8" s="1459" t="s">
        <v>32</v>
      </c>
      <c r="K8" s="1459" t="s">
        <v>33</v>
      </c>
      <c r="L8" s="1459" t="s">
        <v>34</v>
      </c>
      <c r="M8" s="1459" t="s">
        <v>35</v>
      </c>
      <c r="N8" s="1459" t="s">
        <v>36</v>
      </c>
      <c r="O8" s="1459" t="s">
        <v>37</v>
      </c>
      <c r="P8" s="1459" t="s">
        <v>38</v>
      </c>
      <c r="Q8" s="1164" t="s">
        <v>142</v>
      </c>
      <c r="R8" s="239"/>
    </row>
    <row r="9" spans="1:22" s="66" customFormat="1">
      <c r="A9" s="231">
        <f>+A8+1</f>
        <v>2</v>
      </c>
      <c r="B9" s="541">
        <v>154</v>
      </c>
      <c r="C9" s="273" t="s">
        <v>500</v>
      </c>
      <c r="D9" s="194">
        <v>0</v>
      </c>
      <c r="E9" s="194">
        <v>0</v>
      </c>
      <c r="F9" s="194">
        <v>0</v>
      </c>
      <c r="G9" s="194">
        <v>0</v>
      </c>
      <c r="H9" s="194">
        <v>0</v>
      </c>
      <c r="I9" s="194">
        <v>0</v>
      </c>
      <c r="J9" s="194">
        <v>0</v>
      </c>
      <c r="K9" s="194">
        <v>0</v>
      </c>
      <c r="L9" s="194">
        <v>0</v>
      </c>
      <c r="M9" s="194">
        <v>0</v>
      </c>
      <c r="N9" s="194">
        <v>0</v>
      </c>
      <c r="O9" s="194">
        <v>0</v>
      </c>
      <c r="P9" s="194">
        <v>0</v>
      </c>
      <c r="Q9" s="269">
        <f>+SUM(D9:P9)/13</f>
        <v>0</v>
      </c>
      <c r="R9" s="80"/>
      <c r="S9" s="231"/>
    </row>
    <row r="10" spans="1:22" s="66" customFormat="1">
      <c r="A10" s="231">
        <f>+A9+1</f>
        <v>3</v>
      </c>
      <c r="B10" s="269">
        <v>163</v>
      </c>
      <c r="C10" s="268" t="s">
        <v>501</v>
      </c>
      <c r="D10" s="194">
        <v>1839191.04205</v>
      </c>
      <c r="E10" s="194">
        <v>1761434.19</v>
      </c>
      <c r="F10" s="194">
        <v>1798430.78</v>
      </c>
      <c r="G10" s="194">
        <v>1787252.41</v>
      </c>
      <c r="H10" s="194">
        <v>1363292.3</v>
      </c>
      <c r="I10" s="194">
        <v>1308170.1499999999</v>
      </c>
      <c r="J10" s="194">
        <v>1369555.31</v>
      </c>
      <c r="K10" s="194">
        <v>1367128.73</v>
      </c>
      <c r="L10" s="194">
        <v>1272754.1499999999</v>
      </c>
      <c r="M10" s="194">
        <v>258934.48</v>
      </c>
      <c r="N10" s="194">
        <v>424748.28</v>
      </c>
      <c r="O10" s="194">
        <v>284103.59999999998</v>
      </c>
      <c r="P10" s="194">
        <v>393218.83</v>
      </c>
      <c r="Q10" s="269">
        <f>+SUM(D10:P10)/13</f>
        <v>1171401.0963115385</v>
      </c>
      <c r="R10" s="80"/>
      <c r="S10" s="1749" t="s">
        <v>1578</v>
      </c>
      <c r="T10" s="1749"/>
      <c r="U10" s="1749"/>
      <c r="V10" s="1749"/>
    </row>
    <row r="11" spans="1:22" s="66" customFormat="1">
      <c r="A11" s="231"/>
      <c r="B11" s="274"/>
      <c r="C11" s="274"/>
      <c r="D11" s="676"/>
      <c r="E11" s="268"/>
      <c r="F11" s="268"/>
      <c r="G11" s="268"/>
      <c r="H11" s="226"/>
      <c r="I11" s="226"/>
      <c r="J11" s="203"/>
      <c r="K11" s="226"/>
      <c r="L11" s="226"/>
      <c r="M11" s="546"/>
      <c r="N11" s="546"/>
      <c r="O11" s="268"/>
      <c r="P11" s="676"/>
      <c r="Q11" s="268"/>
      <c r="R11" s="80"/>
    </row>
    <row r="12" spans="1:22">
      <c r="A12" s="188" t="s">
        <v>299</v>
      </c>
      <c r="C12" s="188"/>
      <c r="D12" s="188"/>
      <c r="E12" s="188"/>
      <c r="F12" s="188"/>
      <c r="G12" s="188"/>
      <c r="H12" s="188"/>
      <c r="I12" s="188"/>
      <c r="J12" s="188"/>
      <c r="K12" s="188"/>
      <c r="L12" s="188"/>
      <c r="M12" s="188"/>
      <c r="N12" s="188"/>
      <c r="O12" s="188"/>
      <c r="P12" s="188"/>
      <c r="Q12" s="188"/>
      <c r="R12" s="188"/>
    </row>
    <row r="13" spans="1:22">
      <c r="A13" s="787" t="s">
        <v>171</v>
      </c>
      <c r="B13" s="43" t="s">
        <v>574</v>
      </c>
      <c r="C13" s="43"/>
    </row>
    <row r="14" spans="1:22">
      <c r="A14" s="710" t="s">
        <v>320</v>
      </c>
      <c r="B14" s="43" t="s">
        <v>575</v>
      </c>
      <c r="C14" s="43"/>
    </row>
    <row r="15" spans="1:22">
      <c r="A15" s="231"/>
      <c r="B15" s="43"/>
      <c r="C15" s="43"/>
    </row>
  </sheetData>
  <mergeCells count="3">
    <mergeCell ref="A2:Q2"/>
    <mergeCell ref="A1:Q1"/>
    <mergeCell ref="A3:Q3"/>
  </mergeCells>
  <pageMargins left="0.7" right="0.7" top="0.7" bottom="0.7" header="0.3" footer="0.5"/>
  <pageSetup scale="66" orientation="landscape" r:id="rId1"/>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0"/>
  <sheetViews>
    <sheetView zoomScaleNormal="100" workbookViewId="0">
      <selection activeCell="L6" sqref="L6"/>
    </sheetView>
  </sheetViews>
  <sheetFormatPr defaultColWidth="8.88671875" defaultRowHeight="13.2"/>
  <cols>
    <col min="1" max="1" width="4.88671875" style="1242" customWidth="1"/>
    <col min="2" max="2" width="8.5546875" style="1228" bestFit="1" customWidth="1"/>
    <col min="3" max="3" width="34.5546875" style="1228" bestFit="1" customWidth="1"/>
    <col min="4" max="4" width="11.6640625" style="1228" customWidth="1"/>
    <col min="5" max="5" width="11.44140625" style="1228" bestFit="1" customWidth="1"/>
    <col min="6" max="6" width="12.33203125" style="1228" bestFit="1" customWidth="1"/>
    <col min="7" max="12" width="11.44140625" style="1228" bestFit="1" customWidth="1"/>
    <col min="13" max="13" width="10.44140625" style="1228" bestFit="1" customWidth="1"/>
    <col min="14" max="15" width="11.44140625" style="1228" bestFit="1" customWidth="1"/>
    <col min="16" max="16" width="10.44140625" style="1228" bestFit="1" customWidth="1"/>
    <col min="17" max="17" width="11.44140625" style="1228" bestFit="1" customWidth="1"/>
    <col min="18" max="18" width="8.88671875" style="1226"/>
    <col min="19" max="16384" width="8.88671875" style="1228"/>
  </cols>
  <sheetData>
    <row r="1" spans="1:21" s="44" customFormat="1">
      <c r="A1" s="2038" t="str">
        <f>+'MISO Cover'!C6</f>
        <v>Entergy New Orleans, Inc.</v>
      </c>
      <c r="B1" s="2038"/>
      <c r="C1" s="2038"/>
      <c r="D1" s="2038"/>
      <c r="E1" s="2038"/>
      <c r="F1" s="2038"/>
      <c r="G1" s="2038"/>
      <c r="H1" s="2038"/>
      <c r="I1" s="2038"/>
      <c r="J1" s="2038"/>
      <c r="K1" s="2038"/>
      <c r="L1" s="2038"/>
      <c r="M1" s="2038"/>
      <c r="N1" s="2038"/>
      <c r="O1" s="2038"/>
      <c r="P1" s="2038"/>
      <c r="Q1" s="2038"/>
      <c r="R1" s="43"/>
    </row>
    <row r="2" spans="1:21" s="44" customFormat="1">
      <c r="A2" s="2039" t="s">
        <v>867</v>
      </c>
      <c r="B2" s="2039"/>
      <c r="C2" s="2039"/>
      <c r="D2" s="2039"/>
      <c r="E2" s="2039"/>
      <c r="F2" s="2039"/>
      <c r="G2" s="2039"/>
      <c r="H2" s="2039"/>
      <c r="I2" s="2039"/>
      <c r="J2" s="2039"/>
      <c r="K2" s="2039"/>
      <c r="L2" s="2039"/>
      <c r="M2" s="2039"/>
      <c r="N2" s="2039"/>
      <c r="O2" s="2039"/>
      <c r="P2" s="2039"/>
      <c r="Q2" s="2039"/>
      <c r="R2" s="43"/>
    </row>
    <row r="3" spans="1:21" s="44" customFormat="1">
      <c r="A3" s="2038" t="str">
        <f>+'MISO Cover'!K4</f>
        <v>For  the 12 Months Ended 12/31/2016</v>
      </c>
      <c r="B3" s="2038"/>
      <c r="C3" s="2038"/>
      <c r="D3" s="2038"/>
      <c r="E3" s="2038"/>
      <c r="F3" s="2038"/>
      <c r="G3" s="2038"/>
      <c r="H3" s="2038"/>
      <c r="I3" s="2038"/>
      <c r="J3" s="2038"/>
      <c r="K3" s="2038"/>
      <c r="L3" s="2038"/>
      <c r="M3" s="2038"/>
      <c r="N3" s="2038"/>
      <c r="O3" s="2038"/>
      <c r="P3" s="2038"/>
      <c r="Q3" s="2038"/>
      <c r="R3" s="43"/>
    </row>
    <row r="4" spans="1:21" s="44" customFormat="1">
      <c r="A4" s="1221"/>
      <c r="B4" s="221"/>
      <c r="C4" s="221"/>
      <c r="D4" s="221"/>
      <c r="E4" s="1222"/>
      <c r="F4" s="1222"/>
      <c r="G4" s="1222"/>
      <c r="H4" s="1222"/>
      <c r="I4" s="1222"/>
      <c r="J4" s="1222"/>
      <c r="K4" s="1222"/>
      <c r="L4" s="1222"/>
      <c r="M4" s="1222"/>
      <c r="R4" s="43"/>
    </row>
    <row r="5" spans="1:21" s="1221" customFormat="1">
      <c r="A5" s="1221" t="s">
        <v>281</v>
      </c>
      <c r="B5" s="1221" t="s">
        <v>68</v>
      </c>
      <c r="C5" s="1221" t="s">
        <v>115</v>
      </c>
      <c r="D5" s="1221" t="s">
        <v>56</v>
      </c>
      <c r="E5" s="1221" t="s">
        <v>69</v>
      </c>
      <c r="F5" s="1221" t="s">
        <v>67</v>
      </c>
      <c r="G5" s="1221" t="s">
        <v>157</v>
      </c>
      <c r="H5" s="1221" t="s">
        <v>70</v>
      </c>
      <c r="I5" s="1221" t="s">
        <v>170</v>
      </c>
      <c r="J5" s="1221" t="s">
        <v>60</v>
      </c>
      <c r="K5" s="1221" t="s">
        <v>61</v>
      </c>
      <c r="L5" s="1221" t="s">
        <v>72</v>
      </c>
      <c r="M5" s="1221" t="s">
        <v>99</v>
      </c>
      <c r="N5" s="1221" t="s">
        <v>100</v>
      </c>
      <c r="O5" s="1221" t="s">
        <v>158</v>
      </c>
      <c r="P5" s="1221" t="s">
        <v>224</v>
      </c>
      <c r="Q5" s="1221" t="s">
        <v>225</v>
      </c>
      <c r="R5" s="1220"/>
    </row>
    <row r="6" spans="1:21" s="44" customFormat="1" ht="13.2" customHeight="1">
      <c r="B6" s="221"/>
      <c r="C6" s="221"/>
      <c r="D6" s="221"/>
      <c r="E6" s="221"/>
      <c r="F6" s="221"/>
      <c r="G6" s="221"/>
      <c r="H6" s="221"/>
      <c r="I6" s="221"/>
      <c r="J6" s="221"/>
      <c r="Q6" s="2104" t="s">
        <v>268</v>
      </c>
      <c r="R6" s="43"/>
    </row>
    <row r="7" spans="1:21" s="1226" customFormat="1">
      <c r="A7" s="1223">
        <v>1</v>
      </c>
      <c r="B7" s="1460" t="s">
        <v>174</v>
      </c>
      <c r="C7" s="1460" t="s">
        <v>270</v>
      </c>
      <c r="D7" s="1459" t="s">
        <v>38</v>
      </c>
      <c r="E7" s="1459" t="s">
        <v>28</v>
      </c>
      <c r="F7" s="1459" t="s">
        <v>29</v>
      </c>
      <c r="G7" s="1459" t="s">
        <v>30</v>
      </c>
      <c r="H7" s="1459" t="s">
        <v>31</v>
      </c>
      <c r="I7" s="1459" t="s">
        <v>27</v>
      </c>
      <c r="J7" s="1459" t="s">
        <v>32</v>
      </c>
      <c r="K7" s="1459" t="s">
        <v>33</v>
      </c>
      <c r="L7" s="1459" t="s">
        <v>34</v>
      </c>
      <c r="M7" s="1459" t="s">
        <v>35</v>
      </c>
      <c r="N7" s="1459" t="s">
        <v>36</v>
      </c>
      <c r="O7" s="1459" t="s">
        <v>37</v>
      </c>
      <c r="P7" s="1459" t="s">
        <v>38</v>
      </c>
      <c r="Q7" s="2105"/>
    </row>
    <row r="8" spans="1:21">
      <c r="A8" s="1227">
        <f>+A7+1</f>
        <v>2</v>
      </c>
    </row>
    <row r="9" spans="1:21">
      <c r="A9" s="1229">
        <f>+A8+0.01</f>
        <v>2.0099999999999998</v>
      </c>
      <c r="B9" s="284" t="s">
        <v>1162</v>
      </c>
      <c r="C9" s="1417"/>
      <c r="D9" s="1488">
        <v>127360.1</v>
      </c>
      <c r="E9" s="208">
        <v>133761.47999999998</v>
      </c>
      <c r="F9" s="208">
        <v>67836.27</v>
      </c>
      <c r="G9" s="208">
        <v>128365.56</v>
      </c>
      <c r="H9" s="208">
        <v>127786.04999999999</v>
      </c>
      <c r="I9" s="208">
        <v>135212.30000000002</v>
      </c>
      <c r="J9" s="208">
        <v>140586.71</v>
      </c>
      <c r="K9" s="208">
        <v>147339.23000000001</v>
      </c>
      <c r="L9" s="208">
        <v>149121.28</v>
      </c>
      <c r="M9" s="208">
        <v>79423.490000000005</v>
      </c>
      <c r="N9" s="208">
        <v>84012.160000000003</v>
      </c>
      <c r="O9" s="208">
        <v>93735.56</v>
      </c>
      <c r="P9" s="208">
        <v>105733.16</v>
      </c>
      <c r="Q9" s="78">
        <f t="shared" ref="Q9:Q26" si="0">SUM(D9:P9)/13</f>
        <v>116944.10384615384</v>
      </c>
      <c r="R9" s="524"/>
    </row>
    <row r="10" spans="1:21">
      <c r="A10" s="1229">
        <f t="shared" ref="A10:A18" si="1">+A9+0.01</f>
        <v>2.0199999999999996</v>
      </c>
      <c r="B10" s="284" t="s">
        <v>1163</v>
      </c>
      <c r="C10" s="1417"/>
      <c r="D10" s="208">
        <v>0</v>
      </c>
      <c r="E10" s="208">
        <v>51693.34</v>
      </c>
      <c r="F10" s="208">
        <v>46993.34</v>
      </c>
      <c r="G10" s="208">
        <v>42293.34</v>
      </c>
      <c r="H10" s="208">
        <v>37593.340000000004</v>
      </c>
      <c r="I10" s="208">
        <v>32893.339999999997</v>
      </c>
      <c r="J10" s="208">
        <v>28193.34</v>
      </c>
      <c r="K10" s="208">
        <v>23493.34</v>
      </c>
      <c r="L10" s="208">
        <v>18793.34</v>
      </c>
      <c r="M10" s="208">
        <v>14093.340000000004</v>
      </c>
      <c r="N10" s="208">
        <v>9393.3399999999965</v>
      </c>
      <c r="O10" s="208">
        <v>4693.3399999999965</v>
      </c>
      <c r="P10" s="208">
        <v>0</v>
      </c>
      <c r="Q10" s="78">
        <f t="shared" si="0"/>
        <v>23855.903076923078</v>
      </c>
      <c r="R10" s="524"/>
    </row>
    <row r="11" spans="1:21">
      <c r="A11" s="1229">
        <f t="shared" si="1"/>
        <v>2.0299999999999994</v>
      </c>
      <c r="B11" s="284" t="s">
        <v>1164</v>
      </c>
      <c r="C11" s="1417"/>
      <c r="D11" s="208">
        <v>0</v>
      </c>
      <c r="E11" s="208">
        <v>-92807.000000000116</v>
      </c>
      <c r="F11" s="208">
        <v>-185614.00000000012</v>
      </c>
      <c r="G11" s="208">
        <v>1201611</v>
      </c>
      <c r="H11" s="208">
        <v>1068099</v>
      </c>
      <c r="I11" s="208">
        <v>934586.99999999988</v>
      </c>
      <c r="J11" s="208">
        <v>801074.99999999988</v>
      </c>
      <c r="K11" s="208">
        <v>667562.99999999988</v>
      </c>
      <c r="L11" s="208">
        <v>400897.99999999988</v>
      </c>
      <c r="M11" s="208">
        <v>400897.99999999988</v>
      </c>
      <c r="N11" s="208">
        <v>400897.99999999988</v>
      </c>
      <c r="O11" s="208">
        <v>0</v>
      </c>
      <c r="P11" s="208">
        <v>0</v>
      </c>
      <c r="Q11" s="78">
        <f t="shared" si="0"/>
        <v>430554.46153846144</v>
      </c>
      <c r="R11" s="1230"/>
      <c r="U11" s="1231"/>
    </row>
    <row r="12" spans="1:21">
      <c r="A12" s="1229">
        <f t="shared" si="1"/>
        <v>2.0399999999999991</v>
      </c>
      <c r="B12" s="284" t="s">
        <v>1165</v>
      </c>
      <c r="C12" s="1417"/>
      <c r="D12" s="208">
        <v>958106.48999999987</v>
      </c>
      <c r="E12" s="208">
        <v>802253.61000000034</v>
      </c>
      <c r="F12" s="208">
        <v>646400.73</v>
      </c>
      <c r="G12" s="208">
        <v>490547.8499999987</v>
      </c>
      <c r="H12" s="208">
        <v>334694.96999999986</v>
      </c>
      <c r="I12" s="208">
        <v>178842.21000000008</v>
      </c>
      <c r="J12" s="208">
        <v>1289205.8999999994</v>
      </c>
      <c r="K12" s="208">
        <v>1149243.5999999996</v>
      </c>
      <c r="L12" s="208">
        <v>1009281.2999999992</v>
      </c>
      <c r="M12" s="208">
        <v>869318.99999999977</v>
      </c>
      <c r="N12" s="208">
        <v>729356.70999999926</v>
      </c>
      <c r="O12" s="208">
        <v>1125274.8399999994</v>
      </c>
      <c r="P12" s="208">
        <v>1029270.34</v>
      </c>
      <c r="Q12" s="78">
        <f t="shared" si="0"/>
        <v>816292.11923076888</v>
      </c>
      <c r="R12" s="524"/>
    </row>
    <row r="13" spans="1:21">
      <c r="A13" s="1229">
        <f>+A12+0.01</f>
        <v>2.0499999999999989</v>
      </c>
      <c r="B13" s="284" t="s">
        <v>1166</v>
      </c>
      <c r="C13" s="1417"/>
      <c r="D13" s="208">
        <v>64384.390000000203</v>
      </c>
      <c r="E13" s="208">
        <v>53653.630000000194</v>
      </c>
      <c r="F13" s="208">
        <v>64384.390000000203</v>
      </c>
      <c r="G13" s="208">
        <v>32192.130000000368</v>
      </c>
      <c r="H13" s="208">
        <v>21461.370000000301</v>
      </c>
      <c r="I13" s="208">
        <v>10730.61000000029</v>
      </c>
      <c r="J13" s="208">
        <v>-8.999999972184014E-2</v>
      </c>
      <c r="K13" s="208">
        <v>123321.86000000025</v>
      </c>
      <c r="L13" s="208">
        <v>112110.77000000027</v>
      </c>
      <c r="M13" s="208">
        <v>100899.6800000003</v>
      </c>
      <c r="N13" s="208">
        <v>89688.590000000215</v>
      </c>
      <c r="O13" s="208">
        <v>78477.500000000247</v>
      </c>
      <c r="P13" s="208">
        <v>67266.41000000028</v>
      </c>
      <c r="Q13" s="78">
        <f t="shared" si="0"/>
        <v>62967.018461538712</v>
      </c>
      <c r="R13" s="524"/>
    </row>
    <row r="14" spans="1:21">
      <c r="A14" s="1229">
        <f t="shared" si="1"/>
        <v>2.0599999999999987</v>
      </c>
      <c r="B14" s="284" t="s">
        <v>1167</v>
      </c>
      <c r="C14" s="1417"/>
      <c r="D14" s="208">
        <v>0</v>
      </c>
      <c r="E14" s="208">
        <v>0</v>
      </c>
      <c r="F14" s="208">
        <v>0</v>
      </c>
      <c r="G14" s="208">
        <v>0</v>
      </c>
      <c r="H14" s="208">
        <v>0</v>
      </c>
      <c r="I14" s="208">
        <v>0</v>
      </c>
      <c r="J14" s="208">
        <v>0</v>
      </c>
      <c r="K14" s="208">
        <v>0</v>
      </c>
      <c r="L14" s="208">
        <v>0</v>
      </c>
      <c r="M14" s="208">
        <v>0</v>
      </c>
      <c r="N14" s="208">
        <v>0</v>
      </c>
      <c r="O14" s="208">
        <v>0</v>
      </c>
      <c r="P14" s="208">
        <v>0</v>
      </c>
      <c r="Q14" s="78">
        <f t="shared" si="0"/>
        <v>0</v>
      </c>
      <c r="R14" s="524"/>
    </row>
    <row r="15" spans="1:21">
      <c r="A15" s="1229">
        <f t="shared" si="1"/>
        <v>2.0699999999999985</v>
      </c>
      <c r="B15" s="284" t="s">
        <v>1168</v>
      </c>
      <c r="C15" s="1417"/>
      <c r="D15" s="208">
        <v>0</v>
      </c>
      <c r="E15" s="208">
        <v>13235429.449999999</v>
      </c>
      <c r="F15" s="208">
        <v>12711709.459999999</v>
      </c>
      <c r="G15" s="208">
        <v>11440538.459999999</v>
      </c>
      <c r="H15" s="208">
        <v>10169367.459999999</v>
      </c>
      <c r="I15" s="208">
        <v>8921886.2699999996</v>
      </c>
      <c r="J15" s="208">
        <v>7647332.2699999986</v>
      </c>
      <c r="K15" s="208">
        <v>6372778.2699999996</v>
      </c>
      <c r="L15" s="208">
        <v>5098224.2699999996</v>
      </c>
      <c r="M15" s="208">
        <v>3823670.2699999991</v>
      </c>
      <c r="N15" s="208">
        <v>2549116.2699999991</v>
      </c>
      <c r="O15" s="208">
        <v>1274562.2699999991</v>
      </c>
      <c r="P15" s="208">
        <v>0</v>
      </c>
      <c r="Q15" s="78">
        <f t="shared" si="0"/>
        <v>6403431.9015384596</v>
      </c>
      <c r="R15" s="524"/>
    </row>
    <row r="16" spans="1:21">
      <c r="A16" s="1229">
        <f t="shared" si="1"/>
        <v>2.0799999999999983</v>
      </c>
      <c r="B16" s="284" t="s">
        <v>1169</v>
      </c>
      <c r="C16" s="1487"/>
      <c r="D16" s="208">
        <v>21189.599999999999</v>
      </c>
      <c r="E16" s="208">
        <v>20012.400000000001</v>
      </c>
      <c r="F16" s="208">
        <v>18835.2</v>
      </c>
      <c r="G16" s="208">
        <v>17658</v>
      </c>
      <c r="H16" s="208">
        <v>16480.8</v>
      </c>
      <c r="I16" s="208">
        <v>15303.6</v>
      </c>
      <c r="J16" s="208">
        <v>14126.4</v>
      </c>
      <c r="K16" s="208">
        <v>12949.2</v>
      </c>
      <c r="L16" s="208">
        <v>11772</v>
      </c>
      <c r="M16" s="208">
        <v>10594.8</v>
      </c>
      <c r="N16" s="208">
        <v>9417.6</v>
      </c>
      <c r="O16" s="208">
        <v>8240.4</v>
      </c>
      <c r="P16" s="208">
        <v>7063.2</v>
      </c>
      <c r="Q16" s="78">
        <f t="shared" si="0"/>
        <v>14126.400000000001</v>
      </c>
      <c r="R16" s="524"/>
    </row>
    <row r="17" spans="1:18">
      <c r="A17" s="1229">
        <f t="shared" si="1"/>
        <v>2.0899999999999981</v>
      </c>
      <c r="B17" s="284" t="s">
        <v>1170</v>
      </c>
      <c r="C17" s="1417"/>
      <c r="D17" s="208">
        <v>13647.569999999982</v>
      </c>
      <c r="E17" s="208">
        <v>27809.329999999998</v>
      </c>
      <c r="F17" s="208">
        <v>23737.849999999991</v>
      </c>
      <c r="G17" s="208">
        <v>20970.159999999993</v>
      </c>
      <c r="H17" s="208">
        <v>28092.670000000006</v>
      </c>
      <c r="I17" s="208">
        <v>25066.77</v>
      </c>
      <c r="J17" s="208">
        <v>22040.870000000014</v>
      </c>
      <c r="K17" s="208">
        <v>18861.390000000003</v>
      </c>
      <c r="L17" s="208">
        <v>19537.509999999998</v>
      </c>
      <c r="M17" s="208">
        <v>20398.000000000007</v>
      </c>
      <c r="N17" s="208">
        <v>18553.800000000007</v>
      </c>
      <c r="O17" s="208">
        <v>17262.440000000006</v>
      </c>
      <c r="P17" s="208">
        <v>17235.720000000005</v>
      </c>
      <c r="Q17" s="78">
        <f t="shared" si="0"/>
        <v>21016.467692307695</v>
      </c>
      <c r="R17" s="524"/>
    </row>
    <row r="18" spans="1:18">
      <c r="A18" s="1229">
        <f t="shared" si="1"/>
        <v>2.0999999999999979</v>
      </c>
      <c r="B18" s="284" t="s">
        <v>1171</v>
      </c>
      <c r="C18" s="1417"/>
      <c r="D18" s="208">
        <v>-4240.510000000002</v>
      </c>
      <c r="E18" s="208">
        <v>-4240.510000000002</v>
      </c>
      <c r="F18" s="208">
        <v>-4240.510000000002</v>
      </c>
      <c r="G18" s="208">
        <v>0</v>
      </c>
      <c r="H18" s="208">
        <v>0</v>
      </c>
      <c r="I18" s="208">
        <v>0</v>
      </c>
      <c r="J18" s="208">
        <v>0</v>
      </c>
      <c r="K18" s="208">
        <v>0</v>
      </c>
      <c r="L18" s="208">
        <v>0</v>
      </c>
      <c r="M18" s="208">
        <v>0</v>
      </c>
      <c r="N18" s="208">
        <v>0</v>
      </c>
      <c r="O18" s="208">
        <v>0</v>
      </c>
      <c r="P18" s="208">
        <v>0</v>
      </c>
      <c r="Q18" s="78">
        <f t="shared" si="0"/>
        <v>-978.57923076923123</v>
      </c>
      <c r="R18" s="524"/>
    </row>
    <row r="19" spans="1:18">
      <c r="A19" s="1358">
        <f t="shared" ref="A19:A24" si="2">+A18+0.01</f>
        <v>2.1099999999999977</v>
      </c>
      <c r="B19" s="1302" t="s">
        <v>1496</v>
      </c>
      <c r="C19" s="1310"/>
      <c r="D19" s="194">
        <v>900000</v>
      </c>
      <c r="E19" s="194">
        <v>0</v>
      </c>
      <c r="F19" s="194">
        <v>0</v>
      </c>
      <c r="G19" s="194">
        <v>0</v>
      </c>
      <c r="H19" s="194">
        <v>0</v>
      </c>
      <c r="I19" s="194">
        <v>0</v>
      </c>
      <c r="J19" s="194">
        <v>0</v>
      </c>
      <c r="K19" s="194">
        <v>0</v>
      </c>
      <c r="L19" s="194">
        <v>0</v>
      </c>
      <c r="M19" s="194">
        <v>0</v>
      </c>
      <c r="N19" s="194">
        <v>0</v>
      </c>
      <c r="O19" s="194">
        <v>0</v>
      </c>
      <c r="P19" s="194">
        <v>0</v>
      </c>
      <c r="Q19" s="269">
        <f t="shared" si="0"/>
        <v>69230.769230769234</v>
      </c>
      <c r="R19" s="524"/>
    </row>
    <row r="20" spans="1:18">
      <c r="A20" s="1358">
        <f t="shared" si="2"/>
        <v>2.1199999999999974</v>
      </c>
      <c r="B20" s="1302" t="s">
        <v>1497</v>
      </c>
      <c r="C20" s="1310"/>
      <c r="D20" s="194">
        <v>0</v>
      </c>
      <c r="E20" s="194">
        <v>0</v>
      </c>
      <c r="F20" s="194">
        <v>0</v>
      </c>
      <c r="G20" s="194">
        <v>0</v>
      </c>
      <c r="H20" s="194">
        <v>0</v>
      </c>
      <c r="I20" s="194">
        <v>0</v>
      </c>
      <c r="J20" s="194">
        <v>0</v>
      </c>
      <c r="K20" s="194">
        <v>0</v>
      </c>
      <c r="L20" s="194">
        <v>0</v>
      </c>
      <c r="M20" s="194">
        <v>0</v>
      </c>
      <c r="N20" s="194">
        <v>0</v>
      </c>
      <c r="O20" s="194">
        <v>0</v>
      </c>
      <c r="P20" s="194">
        <v>7517.6</v>
      </c>
      <c r="Q20" s="269">
        <f t="shared" ref="Q20" si="3">SUM(D20:P20)/13</f>
        <v>578.27692307692314</v>
      </c>
      <c r="R20" s="524"/>
    </row>
    <row r="21" spans="1:18">
      <c r="A21" s="1358">
        <f t="shared" si="2"/>
        <v>2.1299999999999972</v>
      </c>
      <c r="B21" s="1302" t="s">
        <v>1498</v>
      </c>
      <c r="C21" s="1310"/>
      <c r="D21" s="194">
        <v>0</v>
      </c>
      <c r="E21" s="194">
        <v>0</v>
      </c>
      <c r="F21" s="194">
        <v>0</v>
      </c>
      <c r="G21" s="194">
        <v>6570</v>
      </c>
      <c r="H21" s="194">
        <v>0</v>
      </c>
      <c r="I21" s="194">
        <v>0</v>
      </c>
      <c r="J21" s="194">
        <v>0</v>
      </c>
      <c r="K21" s="194">
        <v>0</v>
      </c>
      <c r="L21" s="194">
        <v>0</v>
      </c>
      <c r="M21" s="194">
        <v>0</v>
      </c>
      <c r="N21" s="194">
        <v>0</v>
      </c>
      <c r="O21" s="194">
        <v>0</v>
      </c>
      <c r="P21" s="194">
        <v>0</v>
      </c>
      <c r="Q21" s="269">
        <f t="shared" ref="Q21" si="4">SUM(D21:P21)/13</f>
        <v>505.38461538461536</v>
      </c>
      <c r="R21" s="524"/>
    </row>
    <row r="22" spans="1:18">
      <c r="A22" s="1358">
        <f t="shared" si="2"/>
        <v>2.139999999999997</v>
      </c>
      <c r="B22" s="1302" t="s">
        <v>1499</v>
      </c>
      <c r="C22" s="1310"/>
      <c r="D22" s="194">
        <v>0</v>
      </c>
      <c r="E22" s="194">
        <v>0</v>
      </c>
      <c r="F22" s="194">
        <v>0</v>
      </c>
      <c r="G22" s="194">
        <v>7372.62</v>
      </c>
      <c r="H22" s="194">
        <v>7372.62</v>
      </c>
      <c r="I22" s="194">
        <v>2949.03</v>
      </c>
      <c r="J22" s="194">
        <v>1474.5</v>
      </c>
      <c r="K22" s="194">
        <v>0</v>
      </c>
      <c r="L22" s="194">
        <v>0</v>
      </c>
      <c r="M22" s="194">
        <v>0</v>
      </c>
      <c r="N22" s="194">
        <v>0</v>
      </c>
      <c r="O22" s="194">
        <v>0</v>
      </c>
      <c r="P22" s="194">
        <v>0</v>
      </c>
      <c r="Q22" s="269">
        <f t="shared" ref="Q22" si="5">SUM(D22:P22)/13</f>
        <v>1474.5207692307692</v>
      </c>
      <c r="R22" s="524"/>
    </row>
    <row r="23" spans="1:18">
      <c r="A23" s="1358">
        <f t="shared" si="2"/>
        <v>2.1499999999999968</v>
      </c>
      <c r="B23" s="1302" t="s">
        <v>1500</v>
      </c>
      <c r="C23" s="1310"/>
      <c r="D23" s="194">
        <v>0</v>
      </c>
      <c r="E23" s="194">
        <v>0</v>
      </c>
      <c r="F23" s="194">
        <v>0</v>
      </c>
      <c r="G23" s="194">
        <v>0</v>
      </c>
      <c r="H23" s="194">
        <v>0</v>
      </c>
      <c r="I23" s="194">
        <v>0</v>
      </c>
      <c r="J23" s="194">
        <v>0</v>
      </c>
      <c r="K23" s="194">
        <v>0</v>
      </c>
      <c r="L23" s="194">
        <v>0</v>
      </c>
      <c r="M23" s="194">
        <v>0</v>
      </c>
      <c r="N23" s="194">
        <v>0</v>
      </c>
      <c r="O23" s="194">
        <v>0</v>
      </c>
      <c r="P23" s="194">
        <v>82500.06</v>
      </c>
      <c r="Q23" s="269">
        <f t="shared" ref="Q23" si="6">SUM(D23:P23)/13</f>
        <v>6346.1584615384618</v>
      </c>
      <c r="R23" s="524"/>
    </row>
    <row r="24" spans="1:18">
      <c r="A24" s="1358">
        <f t="shared" si="2"/>
        <v>2.1599999999999966</v>
      </c>
      <c r="B24" s="784"/>
      <c r="C24" s="1310" t="s">
        <v>905</v>
      </c>
      <c r="D24" s="194">
        <v>0</v>
      </c>
      <c r="E24" s="194">
        <v>0</v>
      </c>
      <c r="F24" s="194">
        <v>0</v>
      </c>
      <c r="G24" s="194">
        <v>0</v>
      </c>
      <c r="H24" s="194">
        <v>0</v>
      </c>
      <c r="I24" s="194">
        <v>0</v>
      </c>
      <c r="J24" s="194">
        <v>0</v>
      </c>
      <c r="K24" s="194">
        <v>0</v>
      </c>
      <c r="L24" s="194">
        <v>0</v>
      </c>
      <c r="M24" s="194">
        <v>0</v>
      </c>
      <c r="N24" s="194">
        <v>0</v>
      </c>
      <c r="O24" s="194">
        <v>0</v>
      </c>
      <c r="P24" s="194">
        <v>0</v>
      </c>
      <c r="Q24" s="269">
        <f t="shared" ref="Q24" si="7">SUM(D24:P24)/13</f>
        <v>0</v>
      </c>
      <c r="R24" s="524"/>
    </row>
    <row r="25" spans="1:18">
      <c r="A25" s="1358" t="s">
        <v>899</v>
      </c>
      <c r="B25" s="784"/>
      <c r="C25" s="1310" t="s">
        <v>905</v>
      </c>
      <c r="D25" s="194">
        <v>0</v>
      </c>
      <c r="E25" s="194">
        <v>0</v>
      </c>
      <c r="F25" s="194">
        <v>0</v>
      </c>
      <c r="G25" s="194">
        <v>0</v>
      </c>
      <c r="H25" s="194">
        <v>0</v>
      </c>
      <c r="I25" s="194">
        <v>0</v>
      </c>
      <c r="J25" s="194">
        <v>0</v>
      </c>
      <c r="K25" s="194">
        <v>0</v>
      </c>
      <c r="L25" s="194">
        <v>0</v>
      </c>
      <c r="M25" s="194">
        <v>0</v>
      </c>
      <c r="N25" s="194">
        <v>0</v>
      </c>
      <c r="O25" s="194">
        <v>0</v>
      </c>
      <c r="P25" s="194">
        <v>0</v>
      </c>
      <c r="Q25" s="269">
        <f t="shared" si="0"/>
        <v>0</v>
      </c>
      <c r="R25" s="524"/>
    </row>
    <row r="26" spans="1:18" s="1231" customFormat="1">
      <c r="A26" s="1358" t="s">
        <v>901</v>
      </c>
      <c r="B26" s="784"/>
      <c r="C26" s="1310" t="s">
        <v>905</v>
      </c>
      <c r="D26" s="264">
        <v>0</v>
      </c>
      <c r="E26" s="264">
        <v>0</v>
      </c>
      <c r="F26" s="264">
        <v>0</v>
      </c>
      <c r="G26" s="264">
        <v>0</v>
      </c>
      <c r="H26" s="264">
        <v>0</v>
      </c>
      <c r="I26" s="264">
        <v>0</v>
      </c>
      <c r="J26" s="264">
        <v>0</v>
      </c>
      <c r="K26" s="264">
        <v>0</v>
      </c>
      <c r="L26" s="264">
        <v>0</v>
      </c>
      <c r="M26" s="264">
        <v>0</v>
      </c>
      <c r="N26" s="264">
        <v>0</v>
      </c>
      <c r="O26" s="264">
        <v>0</v>
      </c>
      <c r="P26" s="264">
        <v>0</v>
      </c>
      <c r="Q26" s="564">
        <f t="shared" si="0"/>
        <v>0</v>
      </c>
      <c r="R26" s="540"/>
    </row>
    <row r="27" spans="1:18">
      <c r="A27" s="1227">
        <f>+A8+1</f>
        <v>3</v>
      </c>
      <c r="B27" s="1228" t="s">
        <v>114</v>
      </c>
      <c r="C27" s="1226" t="str">
        <f>+"Sum Line "&amp;A8&amp;" Subparts"</f>
        <v>Sum Line 2 Subparts</v>
      </c>
      <c r="D27" s="1232">
        <f t="shared" ref="D27:Q27" si="8">SUM(D9:D26)</f>
        <v>2080447.6400000001</v>
      </c>
      <c r="E27" s="1232">
        <f t="shared" si="8"/>
        <v>14227565.73</v>
      </c>
      <c r="F27" s="1232">
        <f t="shared" si="8"/>
        <v>13390042.729999999</v>
      </c>
      <c r="G27" s="1232">
        <f t="shared" si="8"/>
        <v>13388119.119999997</v>
      </c>
      <c r="H27" s="1232">
        <f t="shared" si="8"/>
        <v>11810948.279999999</v>
      </c>
      <c r="I27" s="1232">
        <f t="shared" si="8"/>
        <v>10257471.129999999</v>
      </c>
      <c r="J27" s="1232">
        <f t="shared" si="8"/>
        <v>9944034.8999999985</v>
      </c>
      <c r="K27" s="1232">
        <f t="shared" si="8"/>
        <v>8515549.8899999987</v>
      </c>
      <c r="L27" s="1232">
        <f t="shared" si="8"/>
        <v>6819738.4699999988</v>
      </c>
      <c r="M27" s="1232">
        <f t="shared" si="8"/>
        <v>5319296.5799999991</v>
      </c>
      <c r="N27" s="1232">
        <f t="shared" si="8"/>
        <v>3890436.4699999983</v>
      </c>
      <c r="O27" s="1232">
        <f t="shared" si="8"/>
        <v>2602246.3499999987</v>
      </c>
      <c r="P27" s="1232">
        <f t="shared" si="8"/>
        <v>1316586.4900000005</v>
      </c>
      <c r="Q27" s="1233">
        <f t="shared" si="8"/>
        <v>7966344.9061538447</v>
      </c>
    </row>
    <row r="28" spans="1:18">
      <c r="A28" s="1227"/>
      <c r="C28" s="1226"/>
      <c r="D28" s="1232" t="s">
        <v>595</v>
      </c>
      <c r="E28" s="1226"/>
      <c r="F28" s="1226"/>
      <c r="G28" s="1226"/>
      <c r="H28" s="1226"/>
      <c r="I28" s="1226"/>
      <c r="J28" s="1226"/>
      <c r="K28" s="1226"/>
      <c r="L28" s="1226"/>
      <c r="M28" s="1226"/>
      <c r="N28" s="1226"/>
      <c r="O28" s="1226"/>
      <c r="P28" s="1232" t="s">
        <v>596</v>
      </c>
      <c r="Q28" s="1233"/>
    </row>
    <row r="29" spans="1:18" s="1231" customFormat="1">
      <c r="A29" s="1227">
        <f>+A27+1</f>
        <v>4</v>
      </c>
      <c r="B29" s="1234"/>
      <c r="D29" s="1228"/>
      <c r="E29" s="1228"/>
      <c r="F29" s="1228"/>
      <c r="G29" s="1228"/>
      <c r="H29" s="1228"/>
      <c r="I29" s="1228"/>
      <c r="J29" s="1228"/>
      <c r="K29" s="1228"/>
      <c r="L29" s="1228"/>
      <c r="M29" s="1228"/>
      <c r="N29" s="1228"/>
      <c r="O29" s="1228"/>
      <c r="P29" s="1228"/>
      <c r="Q29" s="269"/>
      <c r="R29" s="540"/>
    </row>
    <row r="30" spans="1:18" ht="15">
      <c r="A30" s="1227">
        <f>+A29+1</f>
        <v>5</v>
      </c>
      <c r="B30" s="939"/>
      <c r="C30" s="939"/>
      <c r="D30" s="2104" t="s">
        <v>268</v>
      </c>
      <c r="E30" s="1235" t="s">
        <v>709</v>
      </c>
      <c r="F30" s="1235" t="s">
        <v>321</v>
      </c>
      <c r="G30" s="1235" t="s">
        <v>322</v>
      </c>
      <c r="H30" s="1235" t="s">
        <v>710</v>
      </c>
      <c r="I30" s="1236"/>
      <c r="J30" s="1236"/>
      <c r="K30" s="1236"/>
      <c r="L30" s="1237"/>
      <c r="M30" s="1237"/>
      <c r="N30" s="1237"/>
      <c r="O30" s="1237"/>
      <c r="P30" s="1237"/>
    </row>
    <row r="31" spans="1:18" ht="27.6" customHeight="1">
      <c r="A31" s="1227">
        <f>+A30+1</f>
        <v>6</v>
      </c>
      <c r="B31" s="1460" t="str">
        <f>+B7</f>
        <v>Account</v>
      </c>
      <c r="C31" s="1460" t="str">
        <f>+C7</f>
        <v>Account Name</v>
      </c>
      <c r="D31" s="2105"/>
      <c r="E31" s="1466" t="s">
        <v>156</v>
      </c>
      <c r="F31" s="577" t="s">
        <v>137</v>
      </c>
      <c r="G31" s="1466" t="s">
        <v>160</v>
      </c>
      <c r="H31" s="1466" t="s">
        <v>145</v>
      </c>
      <c r="I31" s="1236"/>
      <c r="P31" s="1226"/>
      <c r="R31" s="1228"/>
    </row>
    <row r="32" spans="1:18">
      <c r="A32" s="1227">
        <f>+A31+1</f>
        <v>7</v>
      </c>
      <c r="B32" s="1226"/>
      <c r="C32" s="1226"/>
      <c r="D32" s="1226"/>
      <c r="E32" s="1226"/>
      <c r="F32" s="1226"/>
      <c r="G32" s="1226"/>
      <c r="H32" s="1226"/>
    </row>
    <row r="33" spans="1:18">
      <c r="A33" s="1229">
        <f>+A32+0.01</f>
        <v>7.01</v>
      </c>
      <c r="B33" s="1418" t="str">
        <f>+B9</f>
        <v>165000: Prepayments</v>
      </c>
      <c r="C33" s="1417"/>
      <c r="D33" s="1420">
        <f>+Q9</f>
        <v>116944.10384615384</v>
      </c>
      <c r="E33" s="1417"/>
      <c r="F33" s="858"/>
      <c r="G33" s="1419"/>
      <c r="H33" s="1420">
        <f>+D33</f>
        <v>116944.10384615384</v>
      </c>
      <c r="P33" s="1226"/>
      <c r="R33" s="1228"/>
    </row>
    <row r="34" spans="1:18">
      <c r="A34" s="1229">
        <f t="shared" ref="A34:A48" si="9">+A33+0.01</f>
        <v>7.02</v>
      </c>
      <c r="B34" s="1418" t="str">
        <f t="shared" ref="B34" si="10">+B10</f>
        <v>165004: Pp Taxes-Regulatory Commis.</v>
      </c>
      <c r="C34" s="1417"/>
      <c r="D34" s="1420">
        <f>+Q10</f>
        <v>23855.903076923078</v>
      </c>
      <c r="E34" s="1419">
        <f>+D34</f>
        <v>23855.903076923078</v>
      </c>
      <c r="F34" s="858"/>
      <c r="G34" s="1419"/>
      <c r="H34" s="1420"/>
      <c r="P34" s="1226"/>
      <c r="R34" s="1228"/>
    </row>
    <row r="35" spans="1:18">
      <c r="A35" s="1229">
        <f t="shared" si="9"/>
        <v>7.0299999999999994</v>
      </c>
      <c r="B35" s="1418" t="str">
        <f t="shared" ref="B35" si="11">+B11</f>
        <v>165005: Pp Taxes - Corp Franch Tax</v>
      </c>
      <c r="C35" s="1417"/>
      <c r="D35" s="1420">
        <f>+Q11</f>
        <v>430554.46153846144</v>
      </c>
      <c r="E35" s="1419"/>
      <c r="F35" s="858"/>
      <c r="G35" s="1419">
        <f>+D35</f>
        <v>430554.46153846144</v>
      </c>
      <c r="H35" s="1420"/>
      <c r="P35" s="1226"/>
      <c r="R35" s="1228"/>
    </row>
    <row r="36" spans="1:18">
      <c r="A36" s="1229">
        <f t="shared" si="9"/>
        <v>7.0399999999999991</v>
      </c>
      <c r="B36" s="1418" t="str">
        <f t="shared" ref="B36" si="12">+B12</f>
        <v>165100: Prepaid Insurance</v>
      </c>
      <c r="C36" s="1417"/>
      <c r="D36" s="1420">
        <f>+Q12</f>
        <v>816292.11923076888</v>
      </c>
      <c r="E36" s="1419"/>
      <c r="F36" s="858"/>
      <c r="G36" s="1419">
        <f>+D36</f>
        <v>816292.11923076888</v>
      </c>
      <c r="H36" s="1420"/>
      <c r="P36" s="1226"/>
      <c r="R36" s="1228"/>
    </row>
    <row r="37" spans="1:18">
      <c r="A37" s="1229">
        <f>+A36+0.01</f>
        <v>7.0499999999999989</v>
      </c>
      <c r="B37" s="1418" t="str">
        <f t="shared" ref="B37" si="13">+B13</f>
        <v>165400: Prepaid Ins Directors&amp;Officers</v>
      </c>
      <c r="C37" s="1417"/>
      <c r="D37" s="1420">
        <f t="shared" ref="D37:D48" si="14">Q13</f>
        <v>62967.018461538712</v>
      </c>
      <c r="E37" s="1419"/>
      <c r="F37" s="858"/>
      <c r="G37" s="1419"/>
      <c r="H37" s="1420">
        <f>+D37</f>
        <v>62967.018461538712</v>
      </c>
      <c r="P37" s="1226"/>
      <c r="R37" s="1228"/>
    </row>
    <row r="38" spans="1:18">
      <c r="A38" s="1229">
        <f t="shared" si="9"/>
        <v>7.0599999999999987</v>
      </c>
      <c r="B38" s="1418" t="str">
        <f t="shared" ref="B38" si="15">+B14</f>
        <v>165510: Prepaid Dues to EEI</v>
      </c>
      <c r="C38" s="1417"/>
      <c r="D38" s="1420">
        <f t="shared" si="14"/>
        <v>0</v>
      </c>
      <c r="E38" s="1419"/>
      <c r="F38" s="858"/>
      <c r="G38" s="1419"/>
      <c r="H38" s="1420">
        <f>+D38</f>
        <v>0</v>
      </c>
      <c r="P38" s="1226"/>
      <c r="R38" s="1228"/>
    </row>
    <row r="39" spans="1:18">
      <c r="A39" s="1229">
        <f t="shared" si="9"/>
        <v>7.0699999999999985</v>
      </c>
      <c r="B39" s="1418" t="str">
        <f t="shared" ref="B39" si="16">+B15</f>
        <v>165520: Ad Valorem Taxes</v>
      </c>
      <c r="C39" s="1417"/>
      <c r="D39" s="1420">
        <f t="shared" si="14"/>
        <v>6403431.9015384596</v>
      </c>
      <c r="E39" s="1419"/>
      <c r="F39" s="858"/>
      <c r="G39" s="1419">
        <f>+D39</f>
        <v>6403431.9015384596</v>
      </c>
      <c r="H39" s="1420"/>
      <c r="P39" s="1226"/>
      <c r="R39" s="1228"/>
    </row>
    <row r="40" spans="1:18">
      <c r="A40" s="1229">
        <f t="shared" si="9"/>
        <v>7.0799999999999983</v>
      </c>
      <c r="B40" s="1418" t="str">
        <f t="shared" ref="B40" si="17">+B16</f>
        <v>165603: PPD IQNavigator, Inc</v>
      </c>
      <c r="C40" s="1417"/>
      <c r="D40" s="1420">
        <f t="shared" si="14"/>
        <v>14126.400000000001</v>
      </c>
      <c r="E40" s="1419"/>
      <c r="F40" s="858"/>
      <c r="G40" s="1419"/>
      <c r="H40" s="1420">
        <f>+D40</f>
        <v>14126.400000000001</v>
      </c>
      <c r="P40" s="1226"/>
      <c r="R40" s="1228"/>
    </row>
    <row r="41" spans="1:18">
      <c r="A41" s="1229">
        <f t="shared" si="9"/>
        <v>7.0899999999999981</v>
      </c>
      <c r="B41" s="1418" t="str">
        <f t="shared" ref="B41" si="18">+B17</f>
        <v>165RNT: Prepaid Rent Expense</v>
      </c>
      <c r="C41" s="1417"/>
      <c r="D41" s="1420">
        <f t="shared" si="14"/>
        <v>21016.467692307695</v>
      </c>
      <c r="E41" s="1419">
        <f t="shared" ref="E41" si="19">+D41</f>
        <v>21016.467692307695</v>
      </c>
      <c r="F41" s="858"/>
      <c r="G41" s="1419"/>
      <c r="H41" s="1420"/>
      <c r="P41" s="1226"/>
      <c r="R41" s="1228"/>
    </row>
    <row r="42" spans="1:18">
      <c r="A42" s="1229">
        <f t="shared" si="9"/>
        <v>7.0999999999999979</v>
      </c>
      <c r="B42" s="1418" t="str">
        <f t="shared" ref="B42:B47" si="20">+B18</f>
        <v>165SAI: PrePaid Designated Servic-SAIC</v>
      </c>
      <c r="C42" s="1417"/>
      <c r="D42" s="1451">
        <f t="shared" si="14"/>
        <v>-978.57923076923123</v>
      </c>
      <c r="E42" s="1421"/>
      <c r="F42" s="1417"/>
      <c r="G42" s="1419"/>
      <c r="H42" s="1420">
        <f>+D42</f>
        <v>-978.57923076923123</v>
      </c>
      <c r="P42" s="1226"/>
      <c r="R42" s="1228"/>
    </row>
    <row r="43" spans="1:18">
      <c r="A43" s="1358">
        <f t="shared" si="9"/>
        <v>7.1099999999999977</v>
      </c>
      <c r="B43" s="1309" t="str">
        <f t="shared" si="20"/>
        <v>165403: Pp Taxes Franchise-La</v>
      </c>
      <c r="C43" s="1308"/>
      <c r="D43" s="1717">
        <f t="shared" si="14"/>
        <v>69230.769230769234</v>
      </c>
      <c r="E43" s="1308">
        <f>+D43</f>
        <v>69230.769230769234</v>
      </c>
      <c r="F43" s="1310"/>
      <c r="G43" s="1311"/>
      <c r="H43" s="1310"/>
      <c r="P43" s="1226"/>
      <c r="R43" s="1228"/>
    </row>
    <row r="44" spans="1:18">
      <c r="A44" s="1358">
        <f t="shared" si="9"/>
        <v>7.1199999999999974</v>
      </c>
      <c r="B44" s="1309" t="str">
        <f t="shared" si="20"/>
        <v>165611: PPD all GE companies</v>
      </c>
      <c r="C44" s="1308"/>
      <c r="D44" s="1717">
        <f t="shared" si="14"/>
        <v>578.27692307692314</v>
      </c>
      <c r="E44" s="1308">
        <f t="shared" ref="E44:E46" si="21">+D44</f>
        <v>578.27692307692314</v>
      </c>
      <c r="F44" s="1310"/>
      <c r="G44" s="1311"/>
      <c r="H44" s="1310"/>
      <c r="P44" s="1226"/>
      <c r="R44" s="1228"/>
    </row>
    <row r="45" spans="1:18">
      <c r="A45" s="1358">
        <f t="shared" si="9"/>
        <v>7.1299999999999972</v>
      </c>
      <c r="B45" s="1309" t="str">
        <f t="shared" si="20"/>
        <v>165622: PPD Environmental Systems Corp</v>
      </c>
      <c r="C45" s="1308"/>
      <c r="D45" s="1717">
        <f t="shared" si="14"/>
        <v>505.38461538461536</v>
      </c>
      <c r="E45" s="1308">
        <f t="shared" si="21"/>
        <v>505.38461538461536</v>
      </c>
      <c r="F45" s="1310"/>
      <c r="G45" s="1311"/>
      <c r="H45" s="1310"/>
      <c r="P45" s="1226"/>
      <c r="R45" s="1228"/>
    </row>
    <row r="46" spans="1:18">
      <c r="A46" s="1358">
        <f t="shared" si="9"/>
        <v>7.139999999999997</v>
      </c>
      <c r="B46" s="1309" t="str">
        <f t="shared" si="20"/>
        <v>165623: PPD AR DEQ</v>
      </c>
      <c r="C46" s="1308"/>
      <c r="D46" s="1717">
        <f t="shared" si="14"/>
        <v>1474.5207692307692</v>
      </c>
      <c r="E46" s="1308">
        <f t="shared" si="21"/>
        <v>1474.5207692307692</v>
      </c>
      <c r="F46" s="1310"/>
      <c r="G46" s="1311"/>
      <c r="H46" s="1310"/>
      <c r="P46" s="1226"/>
      <c r="R46" s="1228"/>
    </row>
    <row r="47" spans="1:18">
      <c r="A47" s="1358">
        <f t="shared" si="9"/>
        <v>7.1499999999999968</v>
      </c>
      <c r="B47" s="1309" t="str">
        <f t="shared" si="20"/>
        <v>165631: PPD Motorola Solutions</v>
      </c>
      <c r="C47" s="1308"/>
      <c r="D47" s="1717">
        <f t="shared" si="14"/>
        <v>6346.1584615384618</v>
      </c>
      <c r="E47" s="1308"/>
      <c r="F47" s="1310"/>
      <c r="G47" s="1311"/>
      <c r="H47" s="1308">
        <f>+D47</f>
        <v>6346.1584615384618</v>
      </c>
      <c r="P47" s="1226"/>
      <c r="R47" s="1228"/>
    </row>
    <row r="48" spans="1:18">
      <c r="A48" s="1358">
        <f t="shared" si="9"/>
        <v>7.1599999999999966</v>
      </c>
      <c r="B48" s="1309"/>
      <c r="C48" s="1308" t="str">
        <f t="shared" ref="C48" si="22">+C24</f>
        <v>Additional  Items As Applicable</v>
      </c>
      <c r="D48" s="1717">
        <f t="shared" si="14"/>
        <v>0</v>
      </c>
      <c r="E48" s="1308"/>
      <c r="F48" s="1310"/>
      <c r="G48" s="1311"/>
      <c r="H48" s="1310"/>
      <c r="P48" s="1226"/>
      <c r="R48" s="1228"/>
    </row>
    <row r="49" spans="1:18">
      <c r="A49" s="1358" t="s">
        <v>898</v>
      </c>
      <c r="B49" s="1309"/>
      <c r="C49" s="1308" t="str">
        <f t="shared" ref="C49" si="23">+C25</f>
        <v>Additional  Items As Applicable</v>
      </c>
      <c r="D49" s="1717">
        <f t="shared" ref="D49:D50" si="24">Q25</f>
        <v>0</v>
      </c>
      <c r="E49" s="1308"/>
      <c r="F49" s="1310"/>
      <c r="G49" s="1311"/>
      <c r="H49" s="1310"/>
      <c r="P49" s="1226"/>
      <c r="R49" s="1228"/>
    </row>
    <row r="50" spans="1:18">
      <c r="A50" s="1358" t="s">
        <v>902</v>
      </c>
      <c r="B50" s="1312"/>
      <c r="C50" s="1313" t="str">
        <f t="shared" ref="C50" si="25">+C26</f>
        <v>Additional  Items As Applicable</v>
      </c>
      <c r="D50" s="1718">
        <f t="shared" si="24"/>
        <v>0</v>
      </c>
      <c r="E50" s="1314"/>
      <c r="F50" s="1315"/>
      <c r="G50" s="1316"/>
      <c r="H50" s="1313"/>
      <c r="P50" s="1226"/>
      <c r="R50" s="1228"/>
    </row>
    <row r="51" spans="1:18">
      <c r="A51" s="1227">
        <f>+A32+1</f>
        <v>8</v>
      </c>
      <c r="B51" s="1230" t="str">
        <f>+B27</f>
        <v>Total</v>
      </c>
      <c r="C51" s="1226" t="str">
        <f>+"Sum Line "&amp;A32&amp;" Subparts"</f>
        <v>Sum Line 7 Subparts</v>
      </c>
      <c r="D51" s="1238">
        <f>SUM(D33:D50)</f>
        <v>7966344.9061538447</v>
      </c>
      <c r="E51" s="1239">
        <f>SUM(E33:E50)</f>
        <v>116661.32230769232</v>
      </c>
      <c r="F51" s="1239">
        <f>SUM(F33:F50)</f>
        <v>0</v>
      </c>
      <c r="G51" s="1239">
        <f>SUM(G33:G50)</f>
        <v>7650278.4823076902</v>
      </c>
      <c r="H51" s="1239">
        <f>SUM(H33:H50)</f>
        <v>199405.10153846178</v>
      </c>
      <c r="I51" s="1226"/>
      <c r="J51" s="1226"/>
      <c r="K51" s="1226"/>
      <c r="L51" s="1226"/>
      <c r="M51" s="1226"/>
      <c r="N51" s="1226"/>
      <c r="O51" s="1226"/>
      <c r="P51" s="1226"/>
      <c r="Q51" s="1226"/>
      <c r="R51" s="1228"/>
    </row>
    <row r="52" spans="1:18">
      <c r="A52" s="1227"/>
      <c r="B52" s="1226"/>
      <c r="C52" s="1226"/>
      <c r="D52" s="1226"/>
      <c r="E52" s="1226"/>
      <c r="F52" s="1226"/>
      <c r="G52" s="1226"/>
      <c r="H52" s="1226"/>
      <c r="I52" s="1226"/>
      <c r="J52" s="1226"/>
      <c r="K52" s="1226"/>
      <c r="L52" s="1226"/>
      <c r="M52" s="1226"/>
      <c r="N52" s="1226"/>
      <c r="O52" s="1226"/>
      <c r="P52" s="1226"/>
      <c r="Q52" s="1226"/>
    </row>
    <row r="53" spans="1:18">
      <c r="A53" s="1227" t="s">
        <v>299</v>
      </c>
      <c r="B53" s="1226"/>
      <c r="C53" s="1226"/>
      <c r="D53" s="1226"/>
      <c r="E53" s="1226"/>
      <c r="F53" s="1226"/>
      <c r="G53" s="1226"/>
      <c r="H53" s="1226"/>
      <c r="I53" s="1226"/>
      <c r="J53" s="1226"/>
      <c r="K53" s="1226"/>
      <c r="L53" s="1226"/>
      <c r="M53" s="1226"/>
      <c r="N53" s="1226"/>
      <c r="O53" s="1226"/>
      <c r="P53" s="1226"/>
      <c r="Q53" s="1226"/>
    </row>
    <row r="54" spans="1:18" ht="12.75" customHeight="1">
      <c r="A54" s="1235" t="s">
        <v>171</v>
      </c>
      <c r="B54" s="2054" t="s">
        <v>994</v>
      </c>
      <c r="C54" s="2054"/>
      <c r="D54" s="2054"/>
      <c r="E54" s="2054"/>
      <c r="F54" s="2054"/>
      <c r="G54" s="2054"/>
      <c r="H54" s="2054"/>
      <c r="I54" s="2054"/>
      <c r="J54" s="2054"/>
      <c r="K54" s="2054"/>
      <c r="L54" s="2054"/>
      <c r="M54" s="2054"/>
      <c r="N54" s="2054"/>
      <c r="O54" s="2054"/>
      <c r="P54" s="2054"/>
      <c r="Q54" s="2054"/>
    </row>
    <row r="55" spans="1:18" ht="12.75" customHeight="1">
      <c r="A55" s="1235" t="s">
        <v>320</v>
      </c>
      <c r="B55" s="2054" t="s">
        <v>705</v>
      </c>
      <c r="C55" s="2054"/>
      <c r="D55" s="2054"/>
      <c r="E55" s="2054"/>
      <c r="F55" s="2054"/>
      <c r="G55" s="2054"/>
      <c r="H55" s="2054"/>
      <c r="I55" s="2054"/>
      <c r="J55" s="2054"/>
      <c r="K55" s="2054"/>
      <c r="L55" s="2054"/>
      <c r="M55" s="2054"/>
      <c r="N55" s="2054"/>
      <c r="O55" s="2054"/>
      <c r="P55" s="2054"/>
      <c r="Q55" s="2054"/>
    </row>
    <row r="56" spans="1:18" ht="12.75" customHeight="1">
      <c r="A56" s="1240" t="s">
        <v>321</v>
      </c>
      <c r="B56" s="2054" t="s">
        <v>712</v>
      </c>
      <c r="C56" s="2054"/>
      <c r="D56" s="2054"/>
      <c r="E56" s="2054"/>
      <c r="F56" s="2054"/>
      <c r="G56" s="2054"/>
      <c r="H56" s="2054"/>
      <c r="I56" s="2054"/>
      <c r="J56" s="2054"/>
      <c r="K56" s="2054"/>
      <c r="L56" s="2054"/>
      <c r="M56" s="2054"/>
      <c r="N56" s="2054"/>
      <c r="O56" s="2054"/>
      <c r="P56" s="2054"/>
      <c r="Q56" s="2054"/>
    </row>
    <row r="57" spans="1:18" ht="12.75" customHeight="1">
      <c r="A57" s="1240" t="s">
        <v>322</v>
      </c>
      <c r="B57" s="2054" t="s">
        <v>706</v>
      </c>
      <c r="C57" s="2054"/>
      <c r="D57" s="2054"/>
      <c r="E57" s="2054"/>
      <c r="F57" s="2054"/>
      <c r="G57" s="2054"/>
      <c r="H57" s="2054"/>
      <c r="I57" s="2054"/>
      <c r="J57" s="2054"/>
      <c r="K57" s="2054"/>
      <c r="L57" s="2054"/>
      <c r="M57" s="2054"/>
      <c r="N57" s="2054"/>
      <c r="O57" s="2054"/>
      <c r="P57" s="2054"/>
      <c r="Q57" s="2054"/>
      <c r="R57" s="1228"/>
    </row>
    <row r="58" spans="1:18" ht="13.2" customHeight="1">
      <c r="A58" s="1240" t="s">
        <v>323</v>
      </c>
      <c r="B58" s="2106" t="s">
        <v>708</v>
      </c>
      <c r="C58" s="2106"/>
      <c r="D58" s="2106"/>
      <c r="E58" s="2106"/>
      <c r="F58" s="2106"/>
      <c r="G58" s="2106"/>
      <c r="H58" s="2106"/>
      <c r="I58" s="2106"/>
      <c r="J58" s="2106"/>
      <c r="K58" s="2106"/>
      <c r="L58" s="2106"/>
      <c r="M58" s="2106"/>
      <c r="N58" s="2106"/>
      <c r="O58" s="2106"/>
      <c r="P58" s="2106"/>
      <c r="Q58" s="2106"/>
      <c r="R58" s="1228"/>
    </row>
    <row r="59" spans="1:18" ht="14.4" customHeight="1">
      <c r="A59" s="1240" t="s">
        <v>696</v>
      </c>
      <c r="B59" s="2103" t="s">
        <v>707</v>
      </c>
      <c r="C59" s="2103"/>
      <c r="D59" s="2103"/>
      <c r="E59" s="2103"/>
      <c r="F59" s="2103"/>
      <c r="G59" s="2103"/>
      <c r="H59" s="2103"/>
      <c r="I59" s="2103"/>
      <c r="J59" s="2103"/>
      <c r="K59" s="2103"/>
      <c r="L59" s="2103"/>
      <c r="M59" s="2103"/>
      <c r="N59" s="2103"/>
      <c r="O59" s="2103"/>
      <c r="P59" s="2103"/>
      <c r="Q59" s="2103"/>
      <c r="R59" s="1228"/>
    </row>
    <row r="60" spans="1:18">
      <c r="A60" s="1241"/>
      <c r="R60" s="1228"/>
    </row>
  </sheetData>
  <mergeCells count="11">
    <mergeCell ref="B59:Q59"/>
    <mergeCell ref="D30:D31"/>
    <mergeCell ref="A1:Q1"/>
    <mergeCell ref="A3:Q3"/>
    <mergeCell ref="Q6:Q7"/>
    <mergeCell ref="A2:Q2"/>
    <mergeCell ref="B54:Q54"/>
    <mergeCell ref="B55:Q55"/>
    <mergeCell ref="B56:Q56"/>
    <mergeCell ref="B57:Q57"/>
    <mergeCell ref="B58:Q58"/>
  </mergeCells>
  <printOptions horizontalCentered="1"/>
  <pageMargins left="0.7" right="0.7" top="0.7" bottom="0.7" header="0.3" footer="0.5"/>
  <pageSetup scale="60"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15" sqref="E15"/>
    </sheetView>
  </sheetViews>
  <sheetFormatPr defaultRowHeight="13.2"/>
  <cols>
    <col min="1" max="1" width="7.44140625" customWidth="1"/>
    <col min="2" max="2" width="5.6640625" customWidth="1"/>
    <col min="3" max="3" width="5.33203125" style="197" bestFit="1" customWidth="1"/>
    <col min="4" max="4" width="9.88671875" bestFit="1" customWidth="1"/>
    <col min="5" max="5" width="95.5546875" customWidth="1"/>
  </cols>
  <sheetData>
    <row r="1" spans="1:5">
      <c r="A1" s="1609" t="str">
        <f>+"Variance Report - "&amp;'MISO Cover'!C6</f>
        <v>Variance Report - Entergy New Orleans, Inc.</v>
      </c>
      <c r="B1" s="1610"/>
      <c r="C1" s="1611"/>
      <c r="D1" s="1610"/>
      <c r="E1" s="1610"/>
    </row>
    <row r="2" spans="1:5" ht="16.8">
      <c r="A2" s="1612" t="s">
        <v>1366</v>
      </c>
      <c r="B2" s="1613" t="s">
        <v>281</v>
      </c>
      <c r="C2" s="1613" t="s">
        <v>1367</v>
      </c>
      <c r="D2" s="1613" t="s">
        <v>1368</v>
      </c>
      <c r="E2" s="1614" t="s">
        <v>1369</v>
      </c>
    </row>
    <row r="3" spans="1:5">
      <c r="A3" t="s">
        <v>1370</v>
      </c>
      <c r="B3">
        <v>1.0900000000000001</v>
      </c>
      <c r="C3" s="197" t="s">
        <v>69</v>
      </c>
      <c r="D3" s="1615">
        <v>39.47</v>
      </c>
      <c r="E3" t="s">
        <v>1371</v>
      </c>
    </row>
    <row r="4" spans="1:5">
      <c r="A4" t="s">
        <v>1370</v>
      </c>
      <c r="B4">
        <v>27</v>
      </c>
      <c r="C4" s="197" t="s">
        <v>69</v>
      </c>
      <c r="D4">
        <v>-100</v>
      </c>
      <c r="E4" t="s">
        <v>1372</v>
      </c>
    </row>
    <row r="5" spans="1:5">
      <c r="A5" t="s">
        <v>1387</v>
      </c>
      <c r="B5">
        <v>2.0099999999999998</v>
      </c>
      <c r="C5" s="197" t="s">
        <v>225</v>
      </c>
      <c r="D5" s="1615">
        <v>-0.8</v>
      </c>
      <c r="E5" t="s">
        <v>1388</v>
      </c>
    </row>
    <row r="6" spans="1:5">
      <c r="A6" t="s">
        <v>1389</v>
      </c>
      <c r="B6">
        <v>2.0499999999999998</v>
      </c>
      <c r="C6" s="197" t="s">
        <v>225</v>
      </c>
      <c r="D6" s="1615">
        <v>-0.78</v>
      </c>
      <c r="E6" t="s">
        <v>1390</v>
      </c>
    </row>
    <row r="7" spans="1:5">
      <c r="A7" t="s">
        <v>1387</v>
      </c>
      <c r="B7">
        <v>2.06</v>
      </c>
      <c r="C7" s="197" t="s">
        <v>225</v>
      </c>
      <c r="D7" s="1615">
        <v>0.63</v>
      </c>
      <c r="E7" t="s">
        <v>1391</v>
      </c>
    </row>
    <row r="9" spans="1:5">
      <c r="A9" t="s">
        <v>1523</v>
      </c>
      <c r="B9">
        <v>14</v>
      </c>
      <c r="C9" s="197" t="s">
        <v>70</v>
      </c>
      <c r="D9" s="1615">
        <v>0.43</v>
      </c>
      <c r="E9" t="s">
        <v>1524</v>
      </c>
    </row>
    <row r="10" spans="1:5">
      <c r="A10" t="s">
        <v>1523</v>
      </c>
      <c r="B10">
        <v>27</v>
      </c>
      <c r="C10" s="197" t="s">
        <v>70</v>
      </c>
      <c r="D10" s="1615">
        <v>0.25</v>
      </c>
      <c r="E10" t="s">
        <v>1525</v>
      </c>
    </row>
    <row r="11" spans="1:5">
      <c r="A11" t="s">
        <v>1523</v>
      </c>
      <c r="B11">
        <v>43</v>
      </c>
      <c r="C11" s="197" t="s">
        <v>70</v>
      </c>
      <c r="D11" s="1615">
        <v>2.37</v>
      </c>
      <c r="E11" t="s">
        <v>1524</v>
      </c>
    </row>
    <row r="12" spans="1:5">
      <c r="A12" t="s">
        <v>1523</v>
      </c>
      <c r="B12">
        <v>102</v>
      </c>
      <c r="C12" s="197" t="s">
        <v>70</v>
      </c>
      <c r="D12" s="1615">
        <v>-0.52</v>
      </c>
      <c r="E12" t="s">
        <v>1526</v>
      </c>
    </row>
    <row r="13" spans="1:5">
      <c r="A13" t="s">
        <v>1523</v>
      </c>
      <c r="B13">
        <v>112</v>
      </c>
      <c r="C13" s="197" t="s">
        <v>70</v>
      </c>
      <c r="D13" s="1615">
        <v>-0.28000000000000003</v>
      </c>
      <c r="E13" t="s">
        <v>1527</v>
      </c>
    </row>
    <row r="14" spans="1:5">
      <c r="A14" t="s">
        <v>1523</v>
      </c>
      <c r="B14">
        <v>157</v>
      </c>
      <c r="C14" s="197" t="s">
        <v>70</v>
      </c>
      <c r="D14" s="1615">
        <v>0.25</v>
      </c>
      <c r="E14" t="s">
        <v>1528</v>
      </c>
    </row>
  </sheetData>
  <pageMargins left="0.7" right="0.7" top="0.75" bottom="0.75" header="0.3" footer="0.5"/>
  <pageSetup orientation="landscape"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8"/>
  <sheetViews>
    <sheetView workbookViewId="0">
      <pane xSplit="2" topLeftCell="C1" activePane="topRight" state="frozenSplit"/>
      <selection activeCell="L6" sqref="L6"/>
      <selection pane="topRight" activeCell="L6" sqref="L6"/>
    </sheetView>
  </sheetViews>
  <sheetFormatPr defaultColWidth="9.109375" defaultRowHeight="13.2"/>
  <cols>
    <col min="1" max="1" width="3" style="788" bestFit="1" customWidth="1"/>
    <col min="2" max="2" width="17.6640625" style="788" customWidth="1"/>
    <col min="3" max="15" width="10.33203125" style="788" bestFit="1" customWidth="1"/>
    <col min="16" max="16" width="10.44140625" style="779" bestFit="1" customWidth="1"/>
    <col min="17" max="16384" width="9.109375" style="788"/>
  </cols>
  <sheetData>
    <row r="1" spans="1:16">
      <c r="A1" s="2108" t="str">
        <f>+'MISO Cover'!C6</f>
        <v>Entergy New Orleans, Inc.</v>
      </c>
      <c r="B1" s="2108"/>
      <c r="C1" s="2108"/>
      <c r="D1" s="2108"/>
      <c r="E1" s="2108"/>
      <c r="F1" s="2108"/>
      <c r="G1" s="2108"/>
      <c r="H1" s="2108"/>
      <c r="I1" s="2108"/>
      <c r="J1" s="2108"/>
      <c r="K1" s="2108"/>
      <c r="L1" s="2108"/>
      <c r="M1" s="2108"/>
      <c r="N1" s="2108"/>
      <c r="O1" s="2108"/>
      <c r="P1" s="2108"/>
    </row>
    <row r="2" spans="1:16">
      <c r="A2" s="2109" t="s">
        <v>868</v>
      </c>
      <c r="B2" s="2109"/>
      <c r="C2" s="2109"/>
      <c r="D2" s="2109"/>
      <c r="E2" s="2109"/>
      <c r="F2" s="2109"/>
      <c r="G2" s="2109"/>
      <c r="H2" s="2109"/>
      <c r="I2" s="2109"/>
      <c r="J2" s="2109"/>
      <c r="K2" s="2109"/>
      <c r="L2" s="2109"/>
      <c r="M2" s="2109"/>
      <c r="N2" s="2109"/>
      <c r="O2" s="2109"/>
      <c r="P2" s="2109"/>
    </row>
    <row r="3" spans="1:16">
      <c r="A3" s="2108" t="str">
        <f>+'MISO Cover'!K4</f>
        <v>For  the 12 Months Ended 12/31/2016</v>
      </c>
      <c r="B3" s="2108"/>
      <c r="C3" s="2108"/>
      <c r="D3" s="2108"/>
      <c r="E3" s="2108"/>
      <c r="F3" s="2108"/>
      <c r="G3" s="2108"/>
      <c r="H3" s="2108"/>
      <c r="I3" s="2108"/>
      <c r="J3" s="2108"/>
      <c r="K3" s="2108"/>
      <c r="L3" s="2108"/>
      <c r="M3" s="2108"/>
      <c r="N3" s="2108"/>
      <c r="O3" s="2108"/>
      <c r="P3" s="2108"/>
    </row>
    <row r="4" spans="1:16">
      <c r="B4" s="2107"/>
      <c r="C4" s="2107"/>
      <c r="D4" s="2107"/>
      <c r="E4" s="2107"/>
      <c r="F4" s="2107"/>
      <c r="G4" s="2107"/>
      <c r="H4" s="2107"/>
      <c r="I4" s="2107"/>
      <c r="J4" s="2107"/>
      <c r="K4" s="2107"/>
      <c r="L4" s="2107"/>
      <c r="M4" s="2107"/>
      <c r="N4" s="2107"/>
      <c r="O4" s="2107"/>
    </row>
    <row r="5" spans="1:16" s="789" customFormat="1">
      <c r="A5" s="789" t="s">
        <v>281</v>
      </c>
      <c r="B5" s="602" t="s">
        <v>68</v>
      </c>
      <c r="C5" s="602" t="s">
        <v>115</v>
      </c>
      <c r="D5" s="602" t="s">
        <v>56</v>
      </c>
      <c r="E5" s="602" t="s">
        <v>69</v>
      </c>
      <c r="F5" s="602" t="s">
        <v>67</v>
      </c>
      <c r="G5" s="602" t="s">
        <v>157</v>
      </c>
      <c r="H5" s="602" t="s">
        <v>70</v>
      </c>
      <c r="I5" s="602" t="s">
        <v>170</v>
      </c>
      <c r="J5" s="602" t="s">
        <v>60</v>
      </c>
      <c r="K5" s="602" t="s">
        <v>61</v>
      </c>
      <c r="L5" s="602" t="s">
        <v>72</v>
      </c>
      <c r="M5" s="602" t="s">
        <v>99</v>
      </c>
      <c r="N5" s="602" t="s">
        <v>100</v>
      </c>
      <c r="O5" s="602" t="s">
        <v>158</v>
      </c>
      <c r="P5" s="790" t="s">
        <v>224</v>
      </c>
    </row>
    <row r="6" spans="1:16">
      <c r="B6" s="172"/>
      <c r="C6" s="543"/>
      <c r="D6" s="543"/>
      <c r="E6" s="543"/>
      <c r="F6" s="543"/>
      <c r="G6" s="543"/>
      <c r="H6" s="543"/>
      <c r="I6" s="543"/>
      <c r="J6" s="791"/>
      <c r="K6" s="791"/>
      <c r="L6" s="791"/>
      <c r="M6" s="791"/>
      <c r="N6" s="791"/>
      <c r="O6" s="791"/>
      <c r="P6" s="779" t="s">
        <v>471</v>
      </c>
    </row>
    <row r="7" spans="1:16">
      <c r="A7" s="789">
        <v>1</v>
      </c>
      <c r="B7" s="172"/>
      <c r="C7" s="1459" t="s">
        <v>38</v>
      </c>
      <c r="D7" s="1459" t="s">
        <v>28</v>
      </c>
      <c r="E7" s="1459" t="s">
        <v>29</v>
      </c>
      <c r="F7" s="1459" t="s">
        <v>30</v>
      </c>
      <c r="G7" s="1459" t="s">
        <v>31</v>
      </c>
      <c r="H7" s="1459" t="s">
        <v>27</v>
      </c>
      <c r="I7" s="1459" t="s">
        <v>32</v>
      </c>
      <c r="J7" s="1459" t="s">
        <v>33</v>
      </c>
      <c r="K7" s="1459" t="s">
        <v>34</v>
      </c>
      <c r="L7" s="1459" t="s">
        <v>35</v>
      </c>
      <c r="M7" s="1459" t="s">
        <v>36</v>
      </c>
      <c r="N7" s="1459" t="s">
        <v>37</v>
      </c>
      <c r="O7" s="1459" t="s">
        <v>38</v>
      </c>
      <c r="P7" s="1463" t="s">
        <v>142</v>
      </c>
    </row>
    <row r="8" spans="1:16">
      <c r="A8" s="789">
        <f>+A7+1</f>
        <v>2</v>
      </c>
      <c r="B8" s="173" t="s">
        <v>188</v>
      </c>
      <c r="C8" s="1356">
        <v>0</v>
      </c>
      <c r="D8" s="1356">
        <v>0</v>
      </c>
      <c r="E8" s="1356">
        <v>0</v>
      </c>
      <c r="F8" s="1356">
        <v>0</v>
      </c>
      <c r="G8" s="1356">
        <v>0</v>
      </c>
      <c r="H8" s="1356">
        <v>0</v>
      </c>
      <c r="I8" s="1356">
        <v>0</v>
      </c>
      <c r="J8" s="1356">
        <v>0</v>
      </c>
      <c r="K8" s="1356">
        <v>0</v>
      </c>
      <c r="L8" s="1356">
        <v>0</v>
      </c>
      <c r="M8" s="1356">
        <v>0</v>
      </c>
      <c r="N8" s="1356">
        <v>0</v>
      </c>
      <c r="O8" s="1356">
        <v>0</v>
      </c>
      <c r="P8" s="779">
        <f>+SUM(C8:O8)/13</f>
        <v>0</v>
      </c>
    </row>
    <row r="9" spans="1:16">
      <c r="A9" s="789">
        <f t="shared" ref="A9:A15" si="0">+A8+1</f>
        <v>3</v>
      </c>
      <c r="B9" s="173" t="s">
        <v>189</v>
      </c>
      <c r="C9" s="1356">
        <v>0</v>
      </c>
      <c r="D9" s="1356">
        <v>0</v>
      </c>
      <c r="E9" s="1356">
        <v>0</v>
      </c>
      <c r="F9" s="1356">
        <v>0</v>
      </c>
      <c r="G9" s="1356">
        <v>0</v>
      </c>
      <c r="H9" s="1356">
        <v>0</v>
      </c>
      <c r="I9" s="1356">
        <v>0</v>
      </c>
      <c r="J9" s="1356">
        <v>0</v>
      </c>
      <c r="K9" s="1356">
        <v>0</v>
      </c>
      <c r="L9" s="1356">
        <v>0</v>
      </c>
      <c r="M9" s="1356">
        <v>0</v>
      </c>
      <c r="N9" s="1356">
        <v>0</v>
      </c>
      <c r="O9" s="1356">
        <v>0</v>
      </c>
      <c r="P9" s="779">
        <f t="shared" ref="P9:P14" si="1">+SUM(C9:O9)/13</f>
        <v>0</v>
      </c>
    </row>
    <row r="10" spans="1:16">
      <c r="A10" s="789">
        <f t="shared" si="0"/>
        <v>4</v>
      </c>
      <c r="B10" s="173" t="s">
        <v>190</v>
      </c>
      <c r="C10" s="1356">
        <v>0</v>
      </c>
      <c r="D10" s="1356">
        <v>0</v>
      </c>
      <c r="E10" s="1356">
        <v>0</v>
      </c>
      <c r="F10" s="1356">
        <v>0</v>
      </c>
      <c r="G10" s="1356">
        <v>0</v>
      </c>
      <c r="H10" s="1356">
        <v>0</v>
      </c>
      <c r="I10" s="1356">
        <v>0</v>
      </c>
      <c r="J10" s="1356">
        <v>0</v>
      </c>
      <c r="K10" s="1356">
        <v>0</v>
      </c>
      <c r="L10" s="1356">
        <v>0</v>
      </c>
      <c r="M10" s="1356">
        <v>0</v>
      </c>
      <c r="N10" s="1356">
        <v>0</v>
      </c>
      <c r="O10" s="1356">
        <v>0</v>
      </c>
      <c r="P10" s="779">
        <f t="shared" si="1"/>
        <v>0</v>
      </c>
    </row>
    <row r="11" spans="1:16">
      <c r="A11" s="789">
        <f t="shared" si="0"/>
        <v>5</v>
      </c>
      <c r="B11" s="172" t="s">
        <v>137</v>
      </c>
      <c r="C11" s="1356">
        <v>0</v>
      </c>
      <c r="D11" s="1356">
        <v>0</v>
      </c>
      <c r="E11" s="1356">
        <v>0</v>
      </c>
      <c r="F11" s="1356">
        <v>0</v>
      </c>
      <c r="G11" s="1356">
        <v>0</v>
      </c>
      <c r="H11" s="1356">
        <v>0</v>
      </c>
      <c r="I11" s="1356">
        <v>0</v>
      </c>
      <c r="J11" s="1356">
        <v>0</v>
      </c>
      <c r="K11" s="1356">
        <v>0</v>
      </c>
      <c r="L11" s="1356">
        <v>0</v>
      </c>
      <c r="M11" s="1356">
        <v>0</v>
      </c>
      <c r="N11" s="1356">
        <v>0</v>
      </c>
      <c r="O11" s="1357">
        <v>0</v>
      </c>
      <c r="P11" s="1491">
        <f t="shared" si="1"/>
        <v>0</v>
      </c>
    </row>
    <row r="12" spans="1:16">
      <c r="A12" s="789">
        <f t="shared" si="0"/>
        <v>6</v>
      </c>
      <c r="B12" s="172" t="s">
        <v>22</v>
      </c>
      <c r="C12" s="1356">
        <v>0</v>
      </c>
      <c r="D12" s="1356">
        <v>0</v>
      </c>
      <c r="E12" s="1356">
        <v>0</v>
      </c>
      <c r="F12" s="1356">
        <v>0</v>
      </c>
      <c r="G12" s="1356">
        <v>0</v>
      </c>
      <c r="H12" s="1356">
        <v>0</v>
      </c>
      <c r="I12" s="1356">
        <v>0</v>
      </c>
      <c r="J12" s="1356">
        <v>0</v>
      </c>
      <c r="K12" s="1356">
        <v>0</v>
      </c>
      <c r="L12" s="1356">
        <v>0</v>
      </c>
      <c r="M12" s="1356">
        <v>0</v>
      </c>
      <c r="N12" s="1356">
        <v>0</v>
      </c>
      <c r="O12" s="1356">
        <v>0</v>
      </c>
      <c r="P12" s="779">
        <f t="shared" si="1"/>
        <v>0</v>
      </c>
    </row>
    <row r="13" spans="1:16">
      <c r="A13" s="789">
        <f t="shared" si="0"/>
        <v>7</v>
      </c>
      <c r="B13" s="172" t="s">
        <v>191</v>
      </c>
      <c r="C13" s="1356">
        <v>0</v>
      </c>
      <c r="D13" s="1356">
        <v>0</v>
      </c>
      <c r="E13" s="1356">
        <v>0</v>
      </c>
      <c r="F13" s="1356">
        <v>0</v>
      </c>
      <c r="G13" s="1356">
        <v>0</v>
      </c>
      <c r="H13" s="1356">
        <v>0</v>
      </c>
      <c r="I13" s="1356">
        <v>0</v>
      </c>
      <c r="J13" s="1356">
        <v>0</v>
      </c>
      <c r="K13" s="1356">
        <v>0</v>
      </c>
      <c r="L13" s="1356">
        <v>0</v>
      </c>
      <c r="M13" s="1356">
        <v>0</v>
      </c>
      <c r="N13" s="1356">
        <v>0</v>
      </c>
      <c r="O13" s="1356">
        <v>0</v>
      </c>
      <c r="P13" s="779">
        <f t="shared" si="1"/>
        <v>0</v>
      </c>
    </row>
    <row r="14" spans="1:16">
      <c r="A14" s="789">
        <f t="shared" si="0"/>
        <v>8</v>
      </c>
      <c r="B14" s="172" t="s">
        <v>192</v>
      </c>
      <c r="C14" s="1461">
        <v>0</v>
      </c>
      <c r="D14" s="1461">
        <v>0</v>
      </c>
      <c r="E14" s="1461">
        <v>0</v>
      </c>
      <c r="F14" s="1461">
        <v>0</v>
      </c>
      <c r="G14" s="1461">
        <v>0</v>
      </c>
      <c r="H14" s="1461">
        <v>0</v>
      </c>
      <c r="I14" s="1461">
        <v>0</v>
      </c>
      <c r="J14" s="1461">
        <v>0</v>
      </c>
      <c r="K14" s="1461">
        <v>0</v>
      </c>
      <c r="L14" s="1461">
        <v>0</v>
      </c>
      <c r="M14" s="1461">
        <v>0</v>
      </c>
      <c r="N14" s="1461">
        <v>0</v>
      </c>
      <c r="O14" s="1461">
        <v>0</v>
      </c>
      <c r="P14" s="1462">
        <f t="shared" si="1"/>
        <v>0</v>
      </c>
    </row>
    <row r="15" spans="1:16">
      <c r="A15" s="789">
        <f t="shared" si="0"/>
        <v>9</v>
      </c>
      <c r="B15" s="172" t="s">
        <v>448</v>
      </c>
      <c r="C15" s="544">
        <f>SUM(C8:C14)</f>
        <v>0</v>
      </c>
      <c r="D15" s="544">
        <f t="shared" ref="D15:O15" si="2">SUM(D8:D14)</f>
        <v>0</v>
      </c>
      <c r="E15" s="544">
        <f t="shared" si="2"/>
        <v>0</v>
      </c>
      <c r="F15" s="544">
        <f t="shared" si="2"/>
        <v>0</v>
      </c>
      <c r="G15" s="544">
        <f t="shared" si="2"/>
        <v>0</v>
      </c>
      <c r="H15" s="544">
        <f t="shared" si="2"/>
        <v>0</v>
      </c>
      <c r="I15" s="544">
        <f t="shared" si="2"/>
        <v>0</v>
      </c>
      <c r="J15" s="544">
        <f t="shared" si="2"/>
        <v>0</v>
      </c>
      <c r="K15" s="544">
        <f t="shared" si="2"/>
        <v>0</v>
      </c>
      <c r="L15" s="544">
        <f t="shared" si="2"/>
        <v>0</v>
      </c>
      <c r="M15" s="544">
        <f t="shared" si="2"/>
        <v>0</v>
      </c>
      <c r="N15" s="544">
        <f t="shared" si="2"/>
        <v>0</v>
      </c>
      <c r="O15" s="544">
        <f t="shared" si="2"/>
        <v>0</v>
      </c>
      <c r="P15" s="779">
        <f>SUM(P8:P14)</f>
        <v>0</v>
      </c>
    </row>
    <row r="16" spans="1:16">
      <c r="A16" s="789"/>
      <c r="B16" s="172"/>
      <c r="C16" s="940" t="s">
        <v>171</v>
      </c>
      <c r="D16" s="544"/>
      <c r="E16" s="544"/>
      <c r="F16" s="544"/>
      <c r="G16" s="544"/>
      <c r="H16" s="544"/>
      <c r="I16" s="544"/>
      <c r="J16" s="792"/>
      <c r="K16" s="792"/>
      <c r="L16" s="792"/>
      <c r="M16" s="792"/>
      <c r="N16" s="792"/>
      <c r="O16" s="940" t="s">
        <v>171</v>
      </c>
    </row>
    <row r="17" spans="1:9">
      <c r="A17" s="172" t="s">
        <v>193</v>
      </c>
      <c r="C17" s="172"/>
      <c r="D17" s="172"/>
      <c r="E17" s="172"/>
      <c r="F17" s="172"/>
      <c r="G17" s="172"/>
      <c r="H17" s="172"/>
      <c r="I17" s="172"/>
    </row>
    <row r="18" spans="1:9">
      <c r="A18" s="793" t="s">
        <v>171</v>
      </c>
      <c r="B18" s="173" t="s">
        <v>556</v>
      </c>
      <c r="C18" s="172"/>
      <c r="D18" s="172"/>
      <c r="E18" s="172"/>
      <c r="F18" s="172"/>
      <c r="G18" s="172"/>
      <c r="H18" s="172"/>
      <c r="I18" s="172"/>
    </row>
  </sheetData>
  <mergeCells count="4">
    <mergeCell ref="B4:O4"/>
    <mergeCell ref="A1:P1"/>
    <mergeCell ref="A3:P3"/>
    <mergeCell ref="A2:P2"/>
  </mergeCells>
  <phoneticPr fontId="100" type="noConversion"/>
  <printOptions horizontalCentered="1"/>
  <pageMargins left="0.7" right="0.7" top="0.7" bottom="0.7" header="0.3" footer="0.5"/>
  <pageSetup scale="75" orientation="landscape"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81"/>
  <sheetViews>
    <sheetView topLeftCell="A4" zoomScaleNormal="100" workbookViewId="0">
      <selection activeCell="L6" sqref="L6"/>
    </sheetView>
  </sheetViews>
  <sheetFormatPr defaultColWidth="8.88671875" defaultRowHeight="13.2"/>
  <cols>
    <col min="1" max="1" width="4.44140625" style="728" customWidth="1"/>
    <col min="2" max="2" width="54.33203125" style="169" customWidth="1"/>
    <col min="3" max="4" width="14.88671875" style="169" bestFit="1" customWidth="1"/>
    <col min="5" max="5" width="16" style="169" customWidth="1"/>
    <col min="6" max="7" width="8.88671875" style="169"/>
    <col min="8" max="8" width="10.88671875" style="169" bestFit="1" customWidth="1"/>
    <col min="9" max="16384" width="8.88671875" style="169"/>
  </cols>
  <sheetData>
    <row r="1" spans="1:8">
      <c r="A1" s="2067" t="str">
        <f>+'MISO Cover'!C6</f>
        <v>Entergy New Orleans, Inc.</v>
      </c>
      <c r="B1" s="2067"/>
      <c r="C1" s="2067"/>
      <c r="D1" s="2067"/>
      <c r="E1" s="2067"/>
      <c r="F1" s="837"/>
      <c r="H1" s="838"/>
    </row>
    <row r="2" spans="1:8">
      <c r="A2" s="2068" t="s">
        <v>909</v>
      </c>
      <c r="B2" s="2068"/>
      <c r="C2" s="2068"/>
      <c r="D2" s="2068"/>
      <c r="E2" s="2068"/>
      <c r="F2" s="615"/>
    </row>
    <row r="3" spans="1:8">
      <c r="A3" s="2067" t="str">
        <f>+'MISO Cover'!K4</f>
        <v>For  the 12 Months Ended 12/31/2016</v>
      </c>
      <c r="B3" s="2067"/>
      <c r="C3" s="2067"/>
      <c r="D3" s="2067"/>
      <c r="E3" s="2067"/>
      <c r="F3" s="839"/>
    </row>
    <row r="4" spans="1:8">
      <c r="A4" s="826"/>
    </row>
    <row r="5" spans="1:8">
      <c r="A5" s="725"/>
      <c r="B5" s="840"/>
      <c r="E5" s="770" t="s">
        <v>648</v>
      </c>
    </row>
    <row r="6" spans="1:8">
      <c r="A6" s="726" t="s">
        <v>281</v>
      </c>
      <c r="B6" s="827" t="s">
        <v>68</v>
      </c>
      <c r="C6" s="828" t="s">
        <v>115</v>
      </c>
      <c r="D6" s="828" t="s">
        <v>56</v>
      </c>
      <c r="E6" s="828" t="s">
        <v>850</v>
      </c>
    </row>
    <row r="7" spans="1:8">
      <c r="A7" s="892">
        <v>1</v>
      </c>
      <c r="B7" s="1466" t="s">
        <v>174</v>
      </c>
      <c r="C7" s="1466" t="s">
        <v>849</v>
      </c>
      <c r="D7" s="1466" t="s">
        <v>805</v>
      </c>
      <c r="E7" s="1466" t="s">
        <v>474</v>
      </c>
      <c r="H7" s="841"/>
    </row>
    <row r="8" spans="1:8" s="171" customFormat="1">
      <c r="A8" s="893">
        <f>+A7+0.01</f>
        <v>1.01</v>
      </c>
      <c r="B8" s="616" t="s">
        <v>175</v>
      </c>
      <c r="C8" s="978">
        <v>0</v>
      </c>
      <c r="D8" s="978">
        <v>0</v>
      </c>
      <c r="E8" s="1035">
        <f>+C8+D8</f>
        <v>0</v>
      </c>
      <c r="F8" s="619"/>
      <c r="H8" s="646"/>
    </row>
    <row r="9" spans="1:8" s="1252" customFormat="1">
      <c r="A9" s="893">
        <f t="shared" ref="A9:A26" si="0">+A8+0.01</f>
        <v>1.02</v>
      </c>
      <c r="B9" s="616" t="s">
        <v>884</v>
      </c>
      <c r="C9" s="978">
        <v>0</v>
      </c>
      <c r="D9" s="978">
        <v>0</v>
      </c>
      <c r="E9" s="1035">
        <f t="shared" ref="E9:E15" si="1">+C9+D9</f>
        <v>0</v>
      </c>
      <c r="F9" s="619"/>
      <c r="H9" s="646"/>
    </row>
    <row r="10" spans="1:8" s="1252" customFormat="1">
      <c r="A10" s="893">
        <f t="shared" si="0"/>
        <v>1.03</v>
      </c>
      <c r="B10" s="616" t="s">
        <v>873</v>
      </c>
      <c r="C10" s="978">
        <v>0</v>
      </c>
      <c r="D10" s="978">
        <v>0</v>
      </c>
      <c r="E10" s="1035">
        <f t="shared" si="1"/>
        <v>0</v>
      </c>
      <c r="F10" s="619"/>
      <c r="H10" s="646"/>
    </row>
    <row r="11" spans="1:8" s="1252" customFormat="1">
      <c r="A11" s="893">
        <f t="shared" si="0"/>
        <v>1.04</v>
      </c>
      <c r="B11" s="616" t="s">
        <v>875</v>
      </c>
      <c r="C11" s="978">
        <v>0</v>
      </c>
      <c r="D11" s="978">
        <v>0</v>
      </c>
      <c r="E11" s="1035">
        <f t="shared" si="1"/>
        <v>0</v>
      </c>
      <c r="F11" s="619"/>
      <c r="H11" s="646"/>
    </row>
    <row r="12" spans="1:8" s="1252" customFormat="1">
      <c r="A12" s="893">
        <f t="shared" si="0"/>
        <v>1.05</v>
      </c>
      <c r="B12" s="616" t="s">
        <v>874</v>
      </c>
      <c r="C12" s="978">
        <v>0</v>
      </c>
      <c r="D12" s="978">
        <v>0</v>
      </c>
      <c r="E12" s="1035">
        <f t="shared" si="1"/>
        <v>0</v>
      </c>
      <c r="F12" s="619"/>
      <c r="H12" s="646"/>
    </row>
    <row r="13" spans="1:8" s="1252" customFormat="1">
      <c r="A13" s="893">
        <f t="shared" si="0"/>
        <v>1.06</v>
      </c>
      <c r="B13" s="616" t="s">
        <v>885</v>
      </c>
      <c r="C13" s="978">
        <v>0</v>
      </c>
      <c r="D13" s="978">
        <v>0</v>
      </c>
      <c r="E13" s="1035">
        <f t="shared" si="1"/>
        <v>0</v>
      </c>
      <c r="F13" s="619"/>
      <c r="H13" s="646"/>
    </row>
    <row r="14" spans="1:8" s="170" customFormat="1">
      <c r="A14" s="893">
        <f t="shared" si="0"/>
        <v>1.07</v>
      </c>
      <c r="B14" s="616" t="s">
        <v>876</v>
      </c>
      <c r="C14" s="978">
        <v>0</v>
      </c>
      <c r="D14" s="978">
        <v>0</v>
      </c>
      <c r="E14" s="1035">
        <f t="shared" si="1"/>
        <v>0</v>
      </c>
      <c r="F14" s="617"/>
      <c r="G14" s="1252"/>
    </row>
    <row r="15" spans="1:8" s="170" customFormat="1">
      <c r="A15" s="893">
        <f t="shared" si="0"/>
        <v>1.08</v>
      </c>
      <c r="B15" s="616" t="s">
        <v>877</v>
      </c>
      <c r="C15" s="978">
        <v>0</v>
      </c>
      <c r="D15" s="978">
        <v>0</v>
      </c>
      <c r="E15" s="1035">
        <f t="shared" si="1"/>
        <v>0</v>
      </c>
      <c r="F15" s="617"/>
      <c r="G15" s="1252"/>
    </row>
    <row r="16" spans="1:8" s="170" customFormat="1">
      <c r="A16" s="893">
        <f t="shared" si="0"/>
        <v>1.0900000000000001</v>
      </c>
      <c r="B16" s="616" t="s">
        <v>879</v>
      </c>
      <c r="C16" s="978">
        <v>-16700.53</v>
      </c>
      <c r="D16" s="978">
        <v>65981.27</v>
      </c>
      <c r="E16" s="1035">
        <f t="shared" ref="E16:E38" si="2">+C16+D16</f>
        <v>49280.740000000005</v>
      </c>
      <c r="F16" s="617"/>
      <c r="G16" s="1252"/>
      <c r="H16" s="169"/>
    </row>
    <row r="17" spans="1:8" s="170" customFormat="1">
      <c r="A17" s="893">
        <f t="shared" si="0"/>
        <v>1.1000000000000001</v>
      </c>
      <c r="B17" s="616" t="s">
        <v>878</v>
      </c>
      <c r="C17" s="978">
        <v>0</v>
      </c>
      <c r="D17" s="978">
        <v>0</v>
      </c>
      <c r="E17" s="1035">
        <f t="shared" si="2"/>
        <v>0</v>
      </c>
      <c r="F17" s="617"/>
      <c r="G17" s="1252"/>
      <c r="H17" s="169"/>
    </row>
    <row r="18" spans="1:8" s="170" customFormat="1">
      <c r="A18" s="893">
        <f t="shared" si="0"/>
        <v>1.1100000000000001</v>
      </c>
      <c r="B18" s="616" t="s">
        <v>176</v>
      </c>
      <c r="C18" s="978">
        <v>0</v>
      </c>
      <c r="D18" s="978">
        <v>0</v>
      </c>
      <c r="E18" s="1035">
        <f t="shared" si="2"/>
        <v>0</v>
      </c>
      <c r="F18" s="617"/>
      <c r="G18" s="1252"/>
    </row>
    <row r="19" spans="1:8" s="170" customFormat="1">
      <c r="A19" s="893">
        <f t="shared" si="0"/>
        <v>1.1200000000000001</v>
      </c>
      <c r="B19" s="616" t="s">
        <v>880</v>
      </c>
      <c r="C19" s="978">
        <v>0</v>
      </c>
      <c r="D19" s="978">
        <v>0</v>
      </c>
      <c r="E19" s="1035">
        <f t="shared" si="2"/>
        <v>0</v>
      </c>
      <c r="F19" s="617"/>
      <c r="G19" s="1252"/>
    </row>
    <row r="20" spans="1:8" s="170" customFormat="1">
      <c r="A20" s="893">
        <f t="shared" si="0"/>
        <v>1.1300000000000001</v>
      </c>
      <c r="B20" s="616" t="s">
        <v>881</v>
      </c>
      <c r="C20" s="978">
        <v>0</v>
      </c>
      <c r="D20" s="978">
        <v>0</v>
      </c>
      <c r="E20" s="1035">
        <f t="shared" si="2"/>
        <v>0</v>
      </c>
      <c r="F20" s="617"/>
      <c r="G20" s="1252"/>
    </row>
    <row r="21" spans="1:8" s="170" customFormat="1">
      <c r="A21" s="893">
        <f t="shared" si="0"/>
        <v>1.1400000000000001</v>
      </c>
      <c r="B21" s="616" t="s">
        <v>890</v>
      </c>
      <c r="C21" s="978">
        <v>0</v>
      </c>
      <c r="D21" s="978">
        <v>0</v>
      </c>
      <c r="E21" s="1035">
        <f t="shared" si="2"/>
        <v>0</v>
      </c>
      <c r="F21" s="617"/>
      <c r="G21" s="1252"/>
    </row>
    <row r="22" spans="1:8" s="170" customFormat="1">
      <c r="A22" s="893">
        <f t="shared" si="0"/>
        <v>1.1500000000000001</v>
      </c>
      <c r="B22" s="616" t="s">
        <v>177</v>
      </c>
      <c r="C22" s="978">
        <v>0</v>
      </c>
      <c r="D22" s="978">
        <v>0</v>
      </c>
      <c r="E22" s="1035">
        <f t="shared" si="2"/>
        <v>0</v>
      </c>
      <c r="F22" s="617"/>
      <c r="G22" s="1252"/>
    </row>
    <row r="23" spans="1:8" s="170" customFormat="1">
      <c r="A23" s="893">
        <f t="shared" si="0"/>
        <v>1.1600000000000001</v>
      </c>
      <c r="B23" s="616" t="s">
        <v>888</v>
      </c>
      <c r="C23" s="978">
        <v>0</v>
      </c>
      <c r="D23" s="978">
        <v>0</v>
      </c>
      <c r="E23" s="1035">
        <f t="shared" ref="E23" si="3">+C23+D23</f>
        <v>0</v>
      </c>
      <c r="F23" s="617"/>
      <c r="G23" s="1252"/>
    </row>
    <row r="24" spans="1:8" s="170" customFormat="1">
      <c r="A24" s="893">
        <f t="shared" si="0"/>
        <v>1.1700000000000002</v>
      </c>
      <c r="B24" s="616" t="s">
        <v>889</v>
      </c>
      <c r="C24" s="978">
        <v>0</v>
      </c>
      <c r="D24" s="978">
        <v>0</v>
      </c>
      <c r="E24" s="1035">
        <f t="shared" si="2"/>
        <v>0</v>
      </c>
      <c r="F24" s="617"/>
      <c r="G24" s="1252"/>
    </row>
    <row r="25" spans="1:8" s="170" customFormat="1">
      <c r="A25" s="893">
        <f t="shared" si="0"/>
        <v>1.1800000000000002</v>
      </c>
      <c r="B25" s="616" t="s">
        <v>886</v>
      </c>
      <c r="C25" s="978">
        <v>0</v>
      </c>
      <c r="D25" s="978">
        <v>0</v>
      </c>
      <c r="E25" s="1035">
        <f t="shared" si="2"/>
        <v>0</v>
      </c>
      <c r="F25" s="617"/>
      <c r="G25" s="1252"/>
    </row>
    <row r="26" spans="1:8" s="170" customFormat="1">
      <c r="A26" s="893">
        <f t="shared" si="0"/>
        <v>1.1900000000000002</v>
      </c>
      <c r="B26" s="616" t="s">
        <v>180</v>
      </c>
      <c r="C26" s="978">
        <v>0</v>
      </c>
      <c r="D26" s="978">
        <v>0</v>
      </c>
      <c r="E26" s="1035">
        <f t="shared" si="2"/>
        <v>0</v>
      </c>
      <c r="F26" s="617"/>
      <c r="G26" s="1252"/>
    </row>
    <row r="27" spans="1:8" s="170" customFormat="1">
      <c r="A27" s="893">
        <f t="shared" ref="A27:A36" si="4">+A26+0.01</f>
        <v>1.2000000000000002</v>
      </c>
      <c r="B27" s="616" t="s">
        <v>181</v>
      </c>
      <c r="C27" s="978">
        <v>0</v>
      </c>
      <c r="D27" s="978">
        <v>0</v>
      </c>
      <c r="E27" s="1035">
        <f t="shared" si="2"/>
        <v>0</v>
      </c>
      <c r="F27" s="617"/>
      <c r="G27" s="1252"/>
    </row>
    <row r="28" spans="1:8" s="170" customFormat="1">
      <c r="A28" s="893">
        <f t="shared" si="4"/>
        <v>1.2100000000000002</v>
      </c>
      <c r="B28" s="616" t="s">
        <v>182</v>
      </c>
      <c r="C28" s="978">
        <v>0</v>
      </c>
      <c r="D28" s="978">
        <v>0</v>
      </c>
      <c r="E28" s="1035">
        <f t="shared" si="2"/>
        <v>0</v>
      </c>
      <c r="F28" s="617"/>
      <c r="G28" s="1252"/>
    </row>
    <row r="29" spans="1:8" s="170" customFormat="1">
      <c r="A29" s="893">
        <f t="shared" si="4"/>
        <v>1.2200000000000002</v>
      </c>
      <c r="B29" s="616" t="s">
        <v>183</v>
      </c>
      <c r="C29" s="978">
        <v>0</v>
      </c>
      <c r="D29" s="978">
        <v>0</v>
      </c>
      <c r="E29" s="1035">
        <f t="shared" si="2"/>
        <v>0</v>
      </c>
      <c r="F29" s="617"/>
      <c r="G29" s="1252"/>
    </row>
    <row r="30" spans="1:8" s="170" customFormat="1">
      <c r="A30" s="893">
        <f t="shared" si="4"/>
        <v>1.2300000000000002</v>
      </c>
      <c r="B30" s="616" t="s">
        <v>184</v>
      </c>
      <c r="C30" s="978">
        <v>0</v>
      </c>
      <c r="D30" s="978">
        <v>0</v>
      </c>
      <c r="E30" s="1035">
        <f t="shared" si="2"/>
        <v>0</v>
      </c>
      <c r="F30" s="617"/>
      <c r="G30" s="1252"/>
    </row>
    <row r="31" spans="1:8" s="170" customFormat="1">
      <c r="A31" s="893">
        <f t="shared" si="4"/>
        <v>1.2400000000000002</v>
      </c>
      <c r="B31" s="616" t="s">
        <v>185</v>
      </c>
      <c r="C31" s="978">
        <v>0</v>
      </c>
      <c r="D31" s="978">
        <v>0</v>
      </c>
      <c r="E31" s="1035">
        <f t="shared" si="2"/>
        <v>0</v>
      </c>
      <c r="F31" s="617"/>
      <c r="G31" s="1252"/>
    </row>
    <row r="32" spans="1:8" s="170" customFormat="1">
      <c r="A32" s="893">
        <f t="shared" si="4"/>
        <v>1.2500000000000002</v>
      </c>
      <c r="B32" s="616" t="s">
        <v>296</v>
      </c>
      <c r="C32" s="978">
        <v>0</v>
      </c>
      <c r="D32" s="978">
        <v>0</v>
      </c>
      <c r="E32" s="1035">
        <f t="shared" si="2"/>
        <v>0</v>
      </c>
      <c r="F32" s="617"/>
    </row>
    <row r="33" spans="1:8" s="170" customFormat="1">
      <c r="A33" s="893">
        <f t="shared" si="4"/>
        <v>1.2600000000000002</v>
      </c>
      <c r="B33" s="616" t="s">
        <v>186</v>
      </c>
      <c r="C33" s="978">
        <v>0</v>
      </c>
      <c r="D33" s="978">
        <v>0</v>
      </c>
      <c r="E33" s="1035">
        <f t="shared" si="2"/>
        <v>0</v>
      </c>
      <c r="F33" s="617"/>
      <c r="H33" s="181"/>
    </row>
    <row r="34" spans="1:8" s="170" customFormat="1">
      <c r="A34" s="893">
        <f t="shared" si="4"/>
        <v>1.2700000000000002</v>
      </c>
      <c r="B34" s="616" t="s">
        <v>297</v>
      </c>
      <c r="C34" s="978">
        <v>0</v>
      </c>
      <c r="D34" s="978">
        <v>0</v>
      </c>
      <c r="E34" s="1035">
        <f t="shared" si="2"/>
        <v>0</v>
      </c>
      <c r="F34" s="617"/>
      <c r="H34" s="182"/>
    </row>
    <row r="35" spans="1:8" s="170" customFormat="1">
      <c r="A35" s="893">
        <f t="shared" si="4"/>
        <v>1.2800000000000002</v>
      </c>
      <c r="B35" s="616" t="s">
        <v>187</v>
      </c>
      <c r="C35" s="978">
        <v>0</v>
      </c>
      <c r="D35" s="978">
        <v>0</v>
      </c>
      <c r="E35" s="1035">
        <f t="shared" si="2"/>
        <v>0</v>
      </c>
      <c r="F35" s="617"/>
      <c r="H35" s="182"/>
    </row>
    <row r="36" spans="1:8" s="170" customFormat="1">
      <c r="A36" s="1317">
        <f t="shared" si="4"/>
        <v>1.2900000000000003</v>
      </c>
      <c r="B36" s="1318" t="s">
        <v>905</v>
      </c>
      <c r="C36" s="978"/>
      <c r="D36" s="978"/>
      <c r="E36" s="1035"/>
      <c r="F36" s="617"/>
      <c r="H36" s="182"/>
    </row>
    <row r="37" spans="1:8" s="170" customFormat="1">
      <c r="A37" s="1317" t="s">
        <v>899</v>
      </c>
      <c r="B37" s="1318" t="s">
        <v>905</v>
      </c>
      <c r="C37" s="978"/>
      <c r="D37" s="978"/>
      <c r="E37" s="1035"/>
      <c r="F37" s="617"/>
      <c r="H37" s="182"/>
    </row>
    <row r="38" spans="1:8" s="170" customFormat="1">
      <c r="A38" s="1317" t="s">
        <v>903</v>
      </c>
      <c r="B38" s="1319" t="s">
        <v>905</v>
      </c>
      <c r="C38" s="978"/>
      <c r="D38" s="978"/>
      <c r="E38" s="1035">
        <f t="shared" si="2"/>
        <v>0</v>
      </c>
      <c r="F38" s="617"/>
    </row>
    <row r="39" spans="1:8" s="170" customFormat="1" ht="13.8" thickBot="1">
      <c r="A39" s="892">
        <f>+A7+1</f>
        <v>2</v>
      </c>
      <c r="B39" s="646" t="str">
        <f>+"Total Line "&amp;A7&amp;" Subparts"</f>
        <v>Total Line 1 Subparts</v>
      </c>
      <c r="C39" s="1034">
        <f>SUM(C8:C38)</f>
        <v>-16700.53</v>
      </c>
      <c r="D39" s="1034">
        <f>SUM(D8:D38)</f>
        <v>65981.27</v>
      </c>
      <c r="E39" s="1034">
        <f>SUM(E8:E38)</f>
        <v>49280.740000000005</v>
      </c>
      <c r="F39" s="617"/>
    </row>
    <row r="40" spans="1:8" s="170" customFormat="1" ht="13.8" thickTop="1">
      <c r="A40" s="892">
        <f>+A39+1</f>
        <v>3</v>
      </c>
      <c r="B40" s="616"/>
      <c r="C40" s="976"/>
      <c r="D40" s="976"/>
      <c r="E40" s="976"/>
      <c r="F40" s="617"/>
    </row>
    <row r="41" spans="1:8" s="613" customFormat="1">
      <c r="A41" s="922">
        <f t="shared" ref="A41:A46" si="5">A40+1</f>
        <v>4</v>
      </c>
      <c r="B41" s="829" t="s">
        <v>561</v>
      </c>
      <c r="C41" s="845"/>
      <c r="D41" s="845"/>
      <c r="E41" s="845"/>
      <c r="F41" s="830"/>
      <c r="G41" s="170"/>
    </row>
    <row r="42" spans="1:8" s="613" customFormat="1">
      <c r="A42" s="922">
        <f t="shared" si="5"/>
        <v>5</v>
      </c>
      <c r="B42" s="831" t="s">
        <v>647</v>
      </c>
      <c r="C42" s="845"/>
      <c r="D42" s="845"/>
      <c r="E42" s="845"/>
      <c r="F42" s="845"/>
      <c r="G42" s="845"/>
    </row>
    <row r="43" spans="1:8" s="613" customFormat="1" ht="15">
      <c r="A43" s="922">
        <f t="shared" si="5"/>
        <v>6</v>
      </c>
      <c r="B43" s="1031" t="s">
        <v>503</v>
      </c>
      <c r="C43" s="1032">
        <f>+C14</f>
        <v>0</v>
      </c>
      <c r="D43" s="1032">
        <f t="shared" ref="D43:E43" si="6">+D14</f>
        <v>0</v>
      </c>
      <c r="E43" s="1032">
        <f t="shared" si="6"/>
        <v>0</v>
      </c>
      <c r="F43" s="677"/>
    </row>
    <row r="44" spans="1:8" s="613" customFormat="1">
      <c r="A44" s="922">
        <f t="shared" si="5"/>
        <v>7</v>
      </c>
      <c r="B44" s="1033" t="str">
        <f>+"Total Account 561 Lines "&amp;A42&amp;" + "&amp;A43</f>
        <v>Total Account 561 Lines 5 + 6</v>
      </c>
      <c r="C44" s="845">
        <f>+C42+C43</f>
        <v>0</v>
      </c>
      <c r="D44" s="845">
        <f t="shared" ref="D44:E44" si="7">+D42+D43</f>
        <v>0</v>
      </c>
      <c r="E44" s="845">
        <f t="shared" si="7"/>
        <v>0</v>
      </c>
      <c r="F44" s="845"/>
    </row>
    <row r="45" spans="1:8" s="613" customFormat="1">
      <c r="A45" s="922">
        <f t="shared" si="5"/>
        <v>8</v>
      </c>
      <c r="B45" s="1147" t="s">
        <v>815</v>
      </c>
      <c r="C45" s="1032">
        <f>+SUM(C8:C24)-C14</f>
        <v>-16700.53</v>
      </c>
      <c r="D45" s="1032">
        <f t="shared" ref="D45:E45" si="8">+SUM(D8:D24)-D14</f>
        <v>65981.27</v>
      </c>
      <c r="E45" s="1032">
        <f t="shared" si="8"/>
        <v>49280.740000000005</v>
      </c>
      <c r="F45" s="866"/>
    </row>
    <row r="46" spans="1:8" s="613" customFormat="1">
      <c r="A46" s="922">
        <f t="shared" si="5"/>
        <v>9</v>
      </c>
      <c r="B46" s="829" t="str">
        <f>+"Total Transmission O&amp;M  ( Line "&amp;A44&amp;" + Line "&amp;A45&amp;")"</f>
        <v>Total Transmission O&amp;M  ( Line 7 + Line 8)</v>
      </c>
      <c r="C46" s="845">
        <f>+C44+C45</f>
        <v>-16700.53</v>
      </c>
      <c r="D46" s="845">
        <f t="shared" ref="D46:E46" si="9">+D44+D45</f>
        <v>65981.27</v>
      </c>
      <c r="E46" s="845">
        <f t="shared" si="9"/>
        <v>49280.740000000005</v>
      </c>
      <c r="F46" s="845"/>
    </row>
    <row r="47" spans="1:8" s="170" customFormat="1">
      <c r="A47" s="922">
        <f>+A46+1</f>
        <v>10</v>
      </c>
      <c r="B47" s="616"/>
      <c r="C47" s="976"/>
      <c r="D47" s="976"/>
      <c r="E47" s="976"/>
      <c r="F47" s="283"/>
      <c r="G47" s="617"/>
    </row>
    <row r="48" spans="1:8" s="170" customFormat="1">
      <c r="A48" s="922">
        <f>+A47+1</f>
        <v>11</v>
      </c>
      <c r="B48" s="829" t="s">
        <v>52</v>
      </c>
      <c r="C48" s="845"/>
      <c r="D48" s="845"/>
      <c r="E48" s="845"/>
      <c r="F48" s="617"/>
    </row>
    <row r="49" spans="1:7" s="170" customFormat="1">
      <c r="A49" s="922">
        <f>+A48+1</f>
        <v>12</v>
      </c>
      <c r="B49" s="831" t="s">
        <v>670</v>
      </c>
      <c r="C49" s="845"/>
      <c r="D49" s="845"/>
      <c r="E49" s="845"/>
      <c r="F49" s="617"/>
    </row>
    <row r="50" spans="1:7" s="170" customFormat="1">
      <c r="A50" s="922">
        <f>+A49+1</f>
        <v>13</v>
      </c>
      <c r="B50" s="1281" t="s">
        <v>887</v>
      </c>
      <c r="C50" s="847"/>
      <c r="D50" s="847"/>
      <c r="E50" s="847"/>
      <c r="F50" s="617"/>
    </row>
    <row r="51" spans="1:7" s="170" customFormat="1">
      <c r="A51" s="892">
        <f t="shared" ref="A51:A65" si="10">+A50+1</f>
        <v>14</v>
      </c>
      <c r="B51" s="831" t="s">
        <v>668</v>
      </c>
      <c r="C51" s="847"/>
      <c r="D51" s="847"/>
      <c r="E51" s="847"/>
      <c r="F51" s="617"/>
    </row>
    <row r="52" spans="1:7" s="170" customFormat="1">
      <c r="A52" s="892">
        <f t="shared" si="10"/>
        <v>15</v>
      </c>
      <c r="B52" s="831" t="s">
        <v>662</v>
      </c>
      <c r="C52" s="845"/>
      <c r="D52" s="845"/>
      <c r="E52" s="845"/>
      <c r="F52" s="617"/>
    </row>
    <row r="53" spans="1:7" s="170" customFormat="1">
      <c r="A53" s="892">
        <f t="shared" si="10"/>
        <v>16</v>
      </c>
      <c r="B53" s="831" t="s">
        <v>661</v>
      </c>
      <c r="C53" s="845">
        <f>+SUM(C8:C24)</f>
        <v>-16700.53</v>
      </c>
      <c r="D53" s="845">
        <f t="shared" ref="D53:E53" si="11">+SUM(D8:D24)</f>
        <v>65981.27</v>
      </c>
      <c r="E53" s="845">
        <f t="shared" si="11"/>
        <v>49280.740000000005</v>
      </c>
      <c r="F53" s="617"/>
    </row>
    <row r="54" spans="1:7" s="170" customFormat="1">
      <c r="A54" s="892">
        <f t="shared" si="10"/>
        <v>17</v>
      </c>
      <c r="B54" s="831" t="s">
        <v>663</v>
      </c>
      <c r="C54" s="845"/>
      <c r="D54" s="845"/>
      <c r="E54" s="845"/>
      <c r="F54" s="617"/>
    </row>
    <row r="55" spans="1:7" s="170" customFormat="1">
      <c r="A55" s="892">
        <f t="shared" si="10"/>
        <v>18</v>
      </c>
      <c r="B55" s="831" t="s">
        <v>664</v>
      </c>
      <c r="C55" s="845"/>
      <c r="D55" s="845"/>
      <c r="E55" s="845"/>
      <c r="F55" s="617"/>
    </row>
    <row r="56" spans="1:7" s="170" customFormat="1">
      <c r="A56" s="892">
        <f t="shared" si="10"/>
        <v>19</v>
      </c>
      <c r="B56" s="831" t="s">
        <v>665</v>
      </c>
      <c r="C56" s="845"/>
      <c r="D56" s="845"/>
      <c r="E56" s="845"/>
      <c r="F56" s="617"/>
    </row>
    <row r="57" spans="1:7" s="170" customFormat="1">
      <c r="A57" s="892">
        <f t="shared" si="10"/>
        <v>20</v>
      </c>
      <c r="B57" s="831" t="s">
        <v>666</v>
      </c>
      <c r="C57" s="845"/>
      <c r="D57" s="845"/>
      <c r="E57" s="845"/>
      <c r="F57" s="617"/>
    </row>
    <row r="58" spans="1:7" s="170" customFormat="1">
      <c r="A58" s="892">
        <f t="shared" si="10"/>
        <v>21</v>
      </c>
      <c r="B58" s="831" t="s">
        <v>667</v>
      </c>
      <c r="C58" s="977">
        <f>+SUM(C25:C38)</f>
        <v>0</v>
      </c>
      <c r="D58" s="977">
        <f t="shared" ref="D58:E58" si="12">+SUM(D25:D38)</f>
        <v>0</v>
      </c>
      <c r="E58" s="977">
        <f t="shared" si="12"/>
        <v>0</v>
      </c>
      <c r="F58" s="617"/>
    </row>
    <row r="59" spans="1:7" s="170" customFormat="1" ht="13.8" thickBot="1">
      <c r="A59" s="892">
        <f t="shared" si="10"/>
        <v>22</v>
      </c>
      <c r="B59" s="829" t="str">
        <f>+"Total Lines ("&amp;A49&amp;" to "&amp;A58&amp;")"</f>
        <v>Total Lines (12 to 21)</v>
      </c>
      <c r="C59" s="846">
        <f>SUM(C49:C58)</f>
        <v>-16700.53</v>
      </c>
      <c r="D59" s="846">
        <f t="shared" ref="D59:E59" si="13">SUM(D49:D58)</f>
        <v>65981.27</v>
      </c>
      <c r="E59" s="846">
        <f t="shared" si="13"/>
        <v>49280.740000000005</v>
      </c>
      <c r="F59" s="617"/>
    </row>
    <row r="60" spans="1:7" s="170" customFormat="1" ht="13.8" thickTop="1">
      <c r="A60" s="892">
        <f t="shared" si="10"/>
        <v>23</v>
      </c>
      <c r="B60" s="829"/>
      <c r="C60" s="845"/>
      <c r="D60" s="845"/>
      <c r="E60" s="845"/>
      <c r="F60" s="617"/>
    </row>
    <row r="61" spans="1:7" s="1047" customFormat="1">
      <c r="A61" s="964">
        <f t="shared" si="10"/>
        <v>24</v>
      </c>
      <c r="B61" s="1048" t="str">
        <f>+"Payroll O&amp;M Excl A&amp;G  Sum (Ln "&amp;A49&amp;" To Ln "&amp;A57&amp;")"</f>
        <v>Payroll O&amp;M Excl A&amp;G  Sum (Ln 12 To Ln 20)</v>
      </c>
      <c r="C61" s="1049"/>
      <c r="D61" s="1049">
        <f>+SUM(D49:D57)</f>
        <v>65981.27</v>
      </c>
      <c r="E61" s="1049"/>
      <c r="F61" s="1049"/>
      <c r="G61" s="1049"/>
    </row>
    <row r="62" spans="1:7" s="170" customFormat="1">
      <c r="A62" s="892">
        <f t="shared" si="10"/>
        <v>25</v>
      </c>
      <c r="B62" s="829"/>
      <c r="C62" s="845"/>
      <c r="D62" s="845"/>
      <c r="E62" s="845"/>
      <c r="F62" s="617"/>
    </row>
    <row r="63" spans="1:7" s="170" customFormat="1">
      <c r="A63" s="892">
        <f t="shared" si="10"/>
        <v>26</v>
      </c>
      <c r="B63" s="829" t="s">
        <v>726</v>
      </c>
      <c r="C63" s="283"/>
      <c r="D63" s="283"/>
      <c r="E63" s="978">
        <v>1431159.78</v>
      </c>
      <c r="F63" s="617"/>
    </row>
    <row r="64" spans="1:7" s="170" customFormat="1">
      <c r="A64" s="892">
        <f t="shared" si="10"/>
        <v>27</v>
      </c>
      <c r="B64" s="829" t="s">
        <v>727</v>
      </c>
      <c r="C64" s="283"/>
      <c r="D64" s="283"/>
      <c r="E64" s="979">
        <v>-467.73</v>
      </c>
      <c r="F64" s="617"/>
    </row>
    <row r="65" spans="1:6" s="170" customFormat="1">
      <c r="A65" s="892">
        <f t="shared" si="10"/>
        <v>28</v>
      </c>
      <c r="B65" s="829" t="str">
        <f>+"Account 924 without Storm Damage Accrual  (Ln "&amp;A63&amp;" Less Ln "&amp;A64&amp;")"</f>
        <v>Account 924 without Storm Damage Accrual  (Ln 26 Less Ln 27)</v>
      </c>
      <c r="C65" s="283"/>
      <c r="D65" s="283"/>
      <c r="E65" s="1035">
        <f>+E63-E64</f>
        <v>1431627.51</v>
      </c>
      <c r="F65" s="617"/>
    </row>
    <row r="66" spans="1:6" s="170" customFormat="1">
      <c r="A66" s="962"/>
      <c r="B66" s="616"/>
      <c r="C66" s="283"/>
      <c r="D66" s="283"/>
      <c r="E66" s="283"/>
      <c r="F66" s="617"/>
    </row>
    <row r="67" spans="1:6" s="170" customFormat="1">
      <c r="A67" s="646" t="s">
        <v>299</v>
      </c>
      <c r="C67" s="283"/>
      <c r="D67" s="283"/>
      <c r="E67" s="283"/>
      <c r="F67" s="617"/>
    </row>
    <row r="68" spans="1:6" s="170" customFormat="1" ht="183" customHeight="1">
      <c r="A68" s="729" t="s">
        <v>171</v>
      </c>
      <c r="B68" s="2110" t="s">
        <v>995</v>
      </c>
      <c r="C68" s="2110"/>
      <c r="D68" s="2110"/>
      <c r="E68" s="2110"/>
      <c r="F68" s="617"/>
    </row>
    <row r="69" spans="1:6" s="170" customFormat="1">
      <c r="A69" s="727"/>
      <c r="B69" s="169"/>
      <c r="C69" s="169"/>
      <c r="D69" s="169"/>
      <c r="E69" s="169"/>
    </row>
    <row r="70" spans="1:6" s="170" customFormat="1">
      <c r="A70" s="727"/>
      <c r="B70" s="169"/>
      <c r="C70" s="169"/>
      <c r="D70" s="169"/>
      <c r="E70" s="169"/>
    </row>
    <row r="71" spans="1:6" s="170" customFormat="1">
      <c r="A71" s="727"/>
      <c r="B71" s="169"/>
      <c r="C71" s="169"/>
      <c r="D71" s="169"/>
      <c r="E71" s="169"/>
    </row>
    <row r="72" spans="1:6" s="170" customFormat="1">
      <c r="A72" s="727"/>
      <c r="B72" s="169"/>
      <c r="C72" s="169"/>
      <c r="D72" s="169"/>
      <c r="E72" s="169"/>
    </row>
    <row r="73" spans="1:6" s="170" customFormat="1">
      <c r="A73" s="727"/>
      <c r="B73" s="169"/>
      <c r="C73" s="169"/>
      <c r="D73" s="169"/>
      <c r="E73" s="169"/>
    </row>
    <row r="74" spans="1:6" s="170" customFormat="1">
      <c r="A74" s="728"/>
      <c r="B74" s="169"/>
      <c r="C74" s="169"/>
      <c r="D74" s="169"/>
      <c r="E74" s="169"/>
    </row>
    <row r="75" spans="1:6" s="170" customFormat="1">
      <c r="A75" s="728"/>
      <c r="B75" s="169"/>
      <c r="C75" s="169"/>
      <c r="D75" s="169"/>
      <c r="E75" s="169"/>
    </row>
    <row r="76" spans="1:6" s="170" customFormat="1">
      <c r="A76" s="728"/>
      <c r="B76" s="169"/>
      <c r="C76" s="169"/>
      <c r="D76" s="169"/>
      <c r="E76" s="169"/>
    </row>
    <row r="77" spans="1:6" s="170" customFormat="1">
      <c r="A77" s="728"/>
      <c r="B77" s="169"/>
      <c r="C77" s="169"/>
      <c r="D77" s="169"/>
      <c r="E77" s="169"/>
    </row>
    <row r="78" spans="1:6" s="170" customFormat="1">
      <c r="A78" s="728"/>
      <c r="B78" s="169"/>
      <c r="C78" s="169"/>
      <c r="D78" s="169"/>
      <c r="E78" s="169"/>
    </row>
    <row r="79" spans="1:6" s="170" customFormat="1">
      <c r="A79" s="728"/>
      <c r="B79" s="169"/>
      <c r="C79" s="169"/>
      <c r="D79" s="169"/>
      <c r="E79" s="169"/>
      <c r="F79" s="832"/>
    </row>
    <row r="80" spans="1:6" s="170" customFormat="1">
      <c r="A80" s="728"/>
      <c r="B80" s="169"/>
      <c r="C80" s="169"/>
      <c r="D80" s="169"/>
      <c r="E80" s="169"/>
      <c r="F80" s="169"/>
    </row>
    <row r="81" spans="1:6" s="170" customFormat="1">
      <c r="A81" s="728"/>
      <c r="B81" s="169"/>
      <c r="C81" s="169"/>
      <c r="D81" s="169"/>
      <c r="E81" s="169"/>
      <c r="F81" s="169"/>
    </row>
  </sheetData>
  <mergeCells count="4">
    <mergeCell ref="B68:E68"/>
    <mergeCell ref="A1:E1"/>
    <mergeCell ref="A2:E2"/>
    <mergeCell ref="A3:E3"/>
  </mergeCells>
  <printOptions horizontalCentered="1"/>
  <pageMargins left="0.7" right="0.7" top="0.7" bottom="0.7" header="0.3" footer="0.5"/>
  <pageSetup scale="68" orientation="portrait" r:id="rId1"/>
  <headerFooter>
    <oddFooter>&amp;R&amp;A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8"/>
  <sheetViews>
    <sheetView workbookViewId="0">
      <selection activeCell="L6" sqref="L6"/>
    </sheetView>
  </sheetViews>
  <sheetFormatPr defaultColWidth="22.44140625" defaultRowHeight="13.2"/>
  <cols>
    <col min="1" max="1" width="6.109375" style="197" bestFit="1" customWidth="1"/>
    <col min="2" max="2" width="26.33203125" bestFit="1" customWidth="1"/>
    <col min="3" max="5" width="15.5546875" customWidth="1"/>
  </cols>
  <sheetData>
    <row r="1" spans="1:8" s="214" customFormat="1">
      <c r="A1" s="2111" t="str">
        <f>+'MISO Cover'!C6</f>
        <v>Entergy New Orleans, Inc.</v>
      </c>
      <c r="B1" s="2111"/>
      <c r="C1" s="2111"/>
      <c r="D1" s="2111"/>
      <c r="E1" s="2111"/>
    </row>
    <row r="2" spans="1:8" ht="15">
      <c r="A2" s="2112" t="s">
        <v>675</v>
      </c>
      <c r="B2" s="2112"/>
      <c r="C2" s="2112"/>
      <c r="D2" s="2112"/>
      <c r="E2" s="2112"/>
      <c r="F2" s="183"/>
      <c r="G2" s="183"/>
      <c r="H2" s="183"/>
    </row>
    <row r="3" spans="1:8" s="214" customFormat="1" ht="15">
      <c r="A3" s="2073" t="str">
        <f>+'MISO Cover'!K4</f>
        <v>For  the 12 Months Ended 12/31/2016</v>
      </c>
      <c r="B3" s="2073"/>
      <c r="C3" s="2073"/>
      <c r="D3" s="2073"/>
      <c r="E3" s="2073"/>
      <c r="F3" s="215"/>
      <c r="G3" s="215"/>
      <c r="H3" s="215"/>
    </row>
    <row r="4" spans="1:8" s="214" customFormat="1" ht="15">
      <c r="A4" s="681"/>
      <c r="B4" s="680"/>
      <c r="C4" s="680"/>
      <c r="D4" s="680"/>
      <c r="E4" s="680"/>
      <c r="F4" s="215"/>
      <c r="G4" s="215"/>
      <c r="H4" s="215"/>
    </row>
    <row r="5" spans="1:8" ht="15">
      <c r="A5" s="197" t="s">
        <v>281</v>
      </c>
      <c r="B5" s="503" t="s">
        <v>68</v>
      </c>
      <c r="C5" s="503" t="s">
        <v>115</v>
      </c>
      <c r="D5" s="503" t="s">
        <v>56</v>
      </c>
      <c r="E5" s="503" t="s">
        <v>69</v>
      </c>
      <c r="F5" s="184"/>
      <c r="G5" s="184"/>
      <c r="H5" s="184"/>
    </row>
    <row r="6" spans="1:8" ht="15">
      <c r="A6" s="1193">
        <v>1</v>
      </c>
      <c r="B6" s="1160" t="s">
        <v>113</v>
      </c>
      <c r="C6" s="648" t="s">
        <v>762</v>
      </c>
      <c r="D6" s="648" t="s">
        <v>774</v>
      </c>
      <c r="E6" s="648" t="s">
        <v>775</v>
      </c>
      <c r="F6" s="507"/>
      <c r="G6" s="184"/>
      <c r="H6" s="184"/>
    </row>
    <row r="7" spans="1:8" ht="15">
      <c r="A7" s="1320">
        <f>+A6+0.1</f>
        <v>1.1000000000000001</v>
      </c>
      <c r="B7" s="1310" t="s">
        <v>905</v>
      </c>
      <c r="C7" s="1321">
        <v>0</v>
      </c>
      <c r="D7" s="1321"/>
      <c r="E7" s="1321"/>
      <c r="F7" s="1283"/>
      <c r="G7" s="184"/>
      <c r="H7" s="184"/>
    </row>
    <row r="8" spans="1:8" ht="15">
      <c r="A8" s="1320" t="s">
        <v>899</v>
      </c>
      <c r="B8" s="1310" t="s">
        <v>905</v>
      </c>
      <c r="C8" s="1321">
        <v>0</v>
      </c>
      <c r="D8" s="1321"/>
      <c r="E8" s="1321"/>
      <c r="F8" s="1283"/>
      <c r="G8" s="184"/>
      <c r="H8" s="184"/>
    </row>
    <row r="9" spans="1:8" ht="15">
      <c r="A9" s="1320" t="s">
        <v>903</v>
      </c>
      <c r="B9" s="1310" t="s">
        <v>905</v>
      </c>
      <c r="C9" s="1322">
        <v>0</v>
      </c>
      <c r="D9" s="1321"/>
      <c r="E9" s="1321"/>
      <c r="F9" s="1191"/>
      <c r="G9" s="184"/>
      <c r="H9" s="184"/>
    </row>
    <row r="10" spans="1:8">
      <c r="A10" s="1194">
        <f>+A6+1</f>
        <v>2</v>
      </c>
      <c r="B10" s="1160" t="str">
        <f>+"Total  Sum of Line "&amp;A6&amp;" Subparts"</f>
        <v>Total  Sum of Line 1 Subparts</v>
      </c>
      <c r="C10" s="804">
        <f>SUM(C7:C9)</f>
        <v>0</v>
      </c>
      <c r="D10" s="44"/>
      <c r="E10" s="44"/>
    </row>
    <row r="11" spans="1:8">
      <c r="A11" s="1194"/>
      <c r="B11" s="1160"/>
      <c r="C11" s="44"/>
      <c r="D11" s="44"/>
      <c r="E11" s="44"/>
    </row>
    <row r="12" spans="1:8">
      <c r="A12" s="1159"/>
      <c r="B12" s="43"/>
      <c r="C12" s="44"/>
      <c r="D12" s="44"/>
      <c r="E12" s="44"/>
    </row>
    <row r="13" spans="1:8">
      <c r="A13" s="44" t="s">
        <v>299</v>
      </c>
      <c r="C13" s="44"/>
      <c r="D13" s="44"/>
      <c r="E13" s="44"/>
    </row>
    <row r="14" spans="1:8" s="682" customFormat="1" ht="40.200000000000003" customHeight="1">
      <c r="A14" s="1161" t="s">
        <v>171</v>
      </c>
      <c r="B14" s="2037" t="s">
        <v>914</v>
      </c>
      <c r="C14" s="2037"/>
      <c r="D14" s="2037"/>
      <c r="E14" s="2037"/>
      <c r="F14" s="181"/>
    </row>
    <row r="15" spans="1:8" s="682" customFormat="1" ht="27" customHeight="1">
      <c r="A15" s="1161" t="s">
        <v>320</v>
      </c>
      <c r="B15" s="2037" t="s">
        <v>761</v>
      </c>
      <c r="C15" s="2037"/>
      <c r="D15" s="2037"/>
      <c r="E15" s="2037"/>
      <c r="F15" s="181"/>
    </row>
    <row r="16" spans="1:8">
      <c r="A16" s="1161"/>
      <c r="B16" s="43"/>
      <c r="C16" s="43"/>
      <c r="D16" s="43"/>
      <c r="E16" s="43"/>
    </row>
    <row r="17" spans="1:5">
      <c r="A17" s="1159"/>
      <c r="B17" s="43"/>
      <c r="C17" s="43"/>
      <c r="D17" s="43"/>
      <c r="E17" s="43"/>
    </row>
    <row r="18" spans="1:5">
      <c r="A18" s="1159"/>
      <c r="B18" s="43"/>
      <c r="C18" s="43"/>
      <c r="D18" s="43"/>
      <c r="E18" s="43"/>
    </row>
    <row r="19" spans="1:5">
      <c r="B19" s="44"/>
      <c r="C19" s="44"/>
      <c r="D19" s="44"/>
      <c r="E19" s="44"/>
    </row>
    <row r="20" spans="1:5">
      <c r="B20" s="44"/>
      <c r="C20" s="44"/>
      <c r="D20" s="44"/>
      <c r="E20" s="44"/>
    </row>
    <row r="21" spans="1:5">
      <c r="B21" s="44"/>
      <c r="C21" s="44"/>
      <c r="D21" s="44"/>
      <c r="E21" s="44"/>
    </row>
    <row r="22" spans="1:5">
      <c r="B22" s="44"/>
      <c r="C22" s="44"/>
      <c r="D22" s="44"/>
      <c r="E22" s="44"/>
    </row>
    <row r="23" spans="1:5">
      <c r="B23" s="44"/>
      <c r="C23" s="44"/>
      <c r="D23" s="44"/>
      <c r="E23" s="44"/>
    </row>
    <row r="24" spans="1:5">
      <c r="B24" s="44"/>
      <c r="C24" s="44"/>
      <c r="D24" s="44"/>
      <c r="E24" s="44"/>
    </row>
    <row r="25" spans="1:5">
      <c r="B25" s="44"/>
      <c r="C25" s="44"/>
      <c r="D25" s="44"/>
      <c r="E25" s="44"/>
    </row>
    <row r="26" spans="1:5">
      <c r="B26" s="44"/>
      <c r="C26" s="44"/>
      <c r="D26" s="44"/>
      <c r="E26" s="44"/>
    </row>
    <row r="27" spans="1:5">
      <c r="B27" s="44"/>
      <c r="C27" s="44"/>
      <c r="D27" s="44"/>
      <c r="E27" s="44"/>
    </row>
    <row r="28" spans="1:5">
      <c r="C28" s="44"/>
      <c r="D28" s="44"/>
      <c r="E28" s="44"/>
    </row>
  </sheetData>
  <mergeCells count="5">
    <mergeCell ref="B15:E15"/>
    <mergeCell ref="B14:E14"/>
    <mergeCell ref="A3:E3"/>
    <mergeCell ref="A1:E1"/>
    <mergeCell ref="A2:E2"/>
  </mergeCells>
  <phoneticPr fontId="100" type="noConversion"/>
  <printOptions horizontalCentered="1"/>
  <pageMargins left="0.7" right="0.7" top="0.7" bottom="0.7" header="0.3" footer="0.5"/>
  <pageSetup orientation="portrait"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16"/>
  <sheetViews>
    <sheetView zoomScaleNormal="100" workbookViewId="0">
      <selection activeCell="L6" sqref="L6"/>
    </sheetView>
  </sheetViews>
  <sheetFormatPr defaultColWidth="9.109375" defaultRowHeight="13.2"/>
  <cols>
    <col min="1" max="1" width="4.33203125" style="794" bestFit="1" customWidth="1"/>
    <col min="2" max="2" width="66.88671875" style="794" customWidth="1"/>
    <col min="3" max="3" width="17.88671875" style="794" customWidth="1"/>
    <col min="4" max="4" width="11.5546875" style="794" bestFit="1" customWidth="1"/>
    <col min="5" max="16384" width="9.109375" style="794"/>
  </cols>
  <sheetData>
    <row r="1" spans="1:11">
      <c r="A1" s="2115" t="str">
        <f>+'MISO Cover'!C6</f>
        <v>Entergy New Orleans, Inc.</v>
      </c>
      <c r="B1" s="2115"/>
      <c r="C1" s="2115"/>
      <c r="D1" s="796"/>
    </row>
    <row r="2" spans="1:11">
      <c r="A2" s="2117" t="s">
        <v>732</v>
      </c>
      <c r="B2" s="2117"/>
      <c r="C2" s="2117"/>
      <c r="D2" s="796"/>
    </row>
    <row r="3" spans="1:11">
      <c r="A3" s="2118" t="str">
        <f>+'MISO Cover'!K4</f>
        <v>For  the 12 Months Ended 12/31/2016</v>
      </c>
      <c r="B3" s="2118"/>
      <c r="C3" s="2118"/>
      <c r="D3" s="797"/>
    </row>
    <row r="4" spans="1:11">
      <c r="B4" s="798"/>
      <c r="C4" s="798"/>
      <c r="D4" s="798"/>
    </row>
    <row r="5" spans="1:11">
      <c r="B5" s="767"/>
      <c r="C5" s="767"/>
      <c r="D5" s="767"/>
    </row>
    <row r="6" spans="1:11" s="795" customFormat="1" ht="15">
      <c r="A6" s="525" t="s">
        <v>281</v>
      </c>
      <c r="B6" s="545" t="s">
        <v>68</v>
      </c>
      <c r="C6" s="545" t="s">
        <v>115</v>
      </c>
      <c r="D6" s="545"/>
    </row>
    <row r="7" spans="1:11" ht="15">
      <c r="A7" s="525"/>
      <c r="B7" s="2116"/>
      <c r="C7" s="2116"/>
    </row>
    <row r="8" spans="1:11" s="525" customFormat="1" ht="15">
      <c r="A8" s="910"/>
      <c r="B8" s="1378" t="s">
        <v>113</v>
      </c>
      <c r="C8" s="1379" t="s">
        <v>149</v>
      </c>
    </row>
    <row r="9" spans="1:11">
      <c r="A9" s="910">
        <v>1</v>
      </c>
      <c r="B9" s="911" t="s">
        <v>776</v>
      </c>
      <c r="C9" s="1140">
        <v>-775033.81000000052</v>
      </c>
      <c r="D9" s="987"/>
    </row>
    <row r="10" spans="1:11">
      <c r="A10" s="910">
        <f>+A9+1</f>
        <v>2</v>
      </c>
      <c r="B10" s="911" t="s">
        <v>822</v>
      </c>
      <c r="C10" s="1142">
        <v>-775033.81000000052</v>
      </c>
      <c r="D10" s="1053"/>
    </row>
    <row r="11" spans="1:11">
      <c r="A11" s="910">
        <f>+A10+1</f>
        <v>3</v>
      </c>
      <c r="B11" s="911" t="s">
        <v>823</v>
      </c>
      <c r="C11" s="1158">
        <f>+C9-C10</f>
        <v>0</v>
      </c>
      <c r="E11" s="1053" t="s">
        <v>853</v>
      </c>
    </row>
    <row r="12" spans="1:11">
      <c r="A12" s="910"/>
      <c r="B12" s="911"/>
      <c r="C12" s="741"/>
    </row>
    <row r="13" spans="1:11">
      <c r="A13" s="910"/>
      <c r="B13" s="911"/>
      <c r="C13" s="741"/>
    </row>
    <row r="14" spans="1:11" s="912" customFormat="1">
      <c r="A14" s="912" t="s">
        <v>299</v>
      </c>
    </row>
    <row r="15" spans="1:11" s="912" customFormat="1" ht="44.4" customHeight="1">
      <c r="A15" s="913" t="s">
        <v>171</v>
      </c>
      <c r="B15" s="2114" t="s">
        <v>996</v>
      </c>
      <c r="C15" s="2114"/>
    </row>
    <row r="16" spans="1:11" s="912" customFormat="1" ht="27" customHeight="1">
      <c r="A16" s="913" t="s">
        <v>320</v>
      </c>
      <c r="B16" s="2113" t="str">
        <f>+"See Appendix A Note "&amp;'Appendix A'!A311&amp;".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2113"/>
      <c r="D16" s="1141"/>
      <c r="E16" s="1141"/>
      <c r="F16" s="1141"/>
      <c r="G16" s="1141"/>
      <c r="H16" s="1141"/>
      <c r="I16" s="1141"/>
      <c r="J16" s="1141"/>
      <c r="K16" s="1141"/>
    </row>
  </sheetData>
  <mergeCells count="6">
    <mergeCell ref="B16:C16"/>
    <mergeCell ref="B15:C15"/>
    <mergeCell ref="A1:C1"/>
    <mergeCell ref="B7:C7"/>
    <mergeCell ref="A2:C2"/>
    <mergeCell ref="A3:C3"/>
  </mergeCells>
  <phoneticPr fontId="100" type="noConversion"/>
  <printOptions horizontalCentered="1"/>
  <pageMargins left="0.7" right="0.7" top="0.7" bottom="0.7" header="0.3" footer="0.5"/>
  <pageSetup orientation="portrait" r:id="rId1"/>
  <headerFoot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4"/>
  <sheetViews>
    <sheetView topLeftCell="A10" zoomScaleNormal="100" workbookViewId="0">
      <selection activeCell="L6" sqref="L6"/>
    </sheetView>
  </sheetViews>
  <sheetFormatPr defaultColWidth="8.88671875" defaultRowHeight="13.8"/>
  <cols>
    <col min="1" max="1" width="4.88671875" style="216" customWidth="1"/>
    <col min="2" max="2" width="51.109375" style="216" customWidth="1"/>
    <col min="3" max="3" width="13.33203125" style="216" customWidth="1"/>
    <col min="4" max="4" width="13.33203125" style="519" customWidth="1"/>
    <col min="5" max="5" width="17.6640625" style="519" customWidth="1"/>
    <col min="6" max="7" width="13.33203125" style="519" customWidth="1"/>
    <col min="8" max="8" width="12.44140625" style="220" customWidth="1"/>
    <col min="9" max="16384" width="8.88671875" style="216"/>
  </cols>
  <sheetData>
    <row r="1" spans="1:9">
      <c r="A1" s="2083" t="str">
        <f>+'MISO Cover'!C6</f>
        <v>Entergy New Orleans, Inc.</v>
      </c>
      <c r="B1" s="2083"/>
      <c r="C1" s="2083"/>
      <c r="D1" s="2083"/>
      <c r="E1" s="2083"/>
      <c r="F1" s="2083"/>
      <c r="G1" s="2083"/>
      <c r="H1" s="2083"/>
      <c r="I1" s="801"/>
    </row>
    <row r="2" spans="1:9" s="217" customFormat="1">
      <c r="A2" s="2084" t="s">
        <v>638</v>
      </c>
      <c r="B2" s="2084"/>
      <c r="C2" s="2084"/>
      <c r="D2" s="2084"/>
      <c r="E2" s="2084"/>
      <c r="F2" s="2084"/>
      <c r="G2" s="2084"/>
      <c r="H2" s="2084"/>
      <c r="I2" s="174"/>
    </row>
    <row r="3" spans="1:9" s="217" customFormat="1">
      <c r="A3" s="2084" t="str">
        <f>+'MISO Cover'!K4</f>
        <v>For  the 12 Months Ended 12/31/2016</v>
      </c>
      <c r="B3" s="2084"/>
      <c r="C3" s="2084"/>
      <c r="D3" s="2084"/>
      <c r="E3" s="2084"/>
      <c r="F3" s="2084"/>
      <c r="G3" s="2084"/>
      <c r="H3" s="2084"/>
      <c r="I3" s="174"/>
    </row>
    <row r="4" spans="1:9" s="217" customFormat="1">
      <c r="A4" s="691"/>
      <c r="B4" s="691"/>
      <c r="C4" s="691"/>
      <c r="D4" s="691"/>
      <c r="E4" s="691"/>
      <c r="F4" s="691"/>
      <c r="G4" s="691"/>
      <c r="H4" s="691"/>
      <c r="I4" s="174"/>
    </row>
    <row r="5" spans="1:9" s="217" customFormat="1">
      <c r="A5" s="517" t="s">
        <v>281</v>
      </c>
      <c r="B5" s="517" t="s">
        <v>68</v>
      </c>
      <c r="C5" s="517" t="s">
        <v>115</v>
      </c>
      <c r="D5" s="592" t="s">
        <v>56</v>
      </c>
      <c r="E5" s="592" t="s">
        <v>69</v>
      </c>
      <c r="F5" s="504" t="s">
        <v>67</v>
      </c>
      <c r="G5" s="504" t="s">
        <v>157</v>
      </c>
      <c r="H5" s="520" t="s">
        <v>70</v>
      </c>
      <c r="I5" s="174"/>
    </row>
    <row r="6" spans="1:9">
      <c r="A6" s="576"/>
      <c r="B6" s="547"/>
      <c r="C6" s="547"/>
      <c r="D6" s="593"/>
      <c r="E6" s="590"/>
      <c r="F6" s="590"/>
      <c r="G6" s="590"/>
      <c r="H6" s="547"/>
      <c r="I6" s="571"/>
    </row>
    <row r="7" spans="1:9" ht="21.6" customHeight="1">
      <c r="A7" s="851">
        <v>1</v>
      </c>
      <c r="B7" s="1467" t="s">
        <v>8</v>
      </c>
      <c r="C7" s="1164" t="s">
        <v>149</v>
      </c>
      <c r="D7" s="1468" t="s">
        <v>701</v>
      </c>
      <c r="E7" s="1468" t="s">
        <v>703</v>
      </c>
      <c r="F7" s="1469" t="s">
        <v>702</v>
      </c>
      <c r="G7" s="1469" t="s">
        <v>704</v>
      </c>
      <c r="H7" s="1164" t="s">
        <v>141</v>
      </c>
      <c r="I7" s="571"/>
    </row>
    <row r="8" spans="1:9">
      <c r="A8" s="852">
        <f>+A7+0.01</f>
        <v>1.01</v>
      </c>
      <c r="B8" s="1278" t="s">
        <v>259</v>
      </c>
      <c r="C8" s="1307">
        <v>-84209764.099999979</v>
      </c>
      <c r="D8" s="1213">
        <f>+C8</f>
        <v>-84209764.099999979</v>
      </c>
      <c r="E8" s="1214"/>
      <c r="F8" s="1214"/>
      <c r="G8" s="1214"/>
      <c r="H8" s="1330" t="s">
        <v>1003</v>
      </c>
      <c r="I8" s="1215"/>
    </row>
    <row r="9" spans="1:9">
      <c r="A9" s="852">
        <f t="shared" ref="A9:A36" si="0">+A8+0.01</f>
        <v>1.02</v>
      </c>
      <c r="B9" s="1279" t="s">
        <v>9</v>
      </c>
      <c r="C9" s="1307">
        <v>771011</v>
      </c>
      <c r="D9" s="1216"/>
      <c r="E9" s="1214"/>
      <c r="F9" s="1214"/>
      <c r="G9" s="1214">
        <f>+C9</f>
        <v>771011</v>
      </c>
      <c r="H9" s="1327" t="s">
        <v>1004</v>
      </c>
      <c r="I9" s="1215"/>
    </row>
    <row r="10" spans="1:9">
      <c r="A10" s="852">
        <f t="shared" si="0"/>
        <v>1.03</v>
      </c>
      <c r="B10" s="1279" t="s">
        <v>10</v>
      </c>
      <c r="C10" s="1307">
        <v>5620</v>
      </c>
      <c r="D10" s="1216"/>
      <c r="E10" s="1214"/>
      <c r="F10" s="1214"/>
      <c r="G10" s="1214">
        <f>+C10</f>
        <v>5620</v>
      </c>
      <c r="H10" s="1327" t="s">
        <v>1005</v>
      </c>
      <c r="I10" s="1215"/>
    </row>
    <row r="11" spans="1:9">
      <c r="A11" s="852">
        <f t="shared" si="0"/>
        <v>1.04</v>
      </c>
      <c r="B11" s="1279" t="s">
        <v>17</v>
      </c>
      <c r="C11" s="1307">
        <v>4054.41</v>
      </c>
      <c r="D11" s="1216"/>
      <c r="E11" s="1214"/>
      <c r="F11" s="1214">
        <f>+C11</f>
        <v>4054.41</v>
      </c>
      <c r="G11" s="1214"/>
      <c r="H11" s="1327" t="s">
        <v>1006</v>
      </c>
      <c r="I11" s="1215"/>
    </row>
    <row r="12" spans="1:9">
      <c r="A12" s="852">
        <f t="shared" si="0"/>
        <v>1.05</v>
      </c>
      <c r="B12" s="1278" t="s">
        <v>260</v>
      </c>
      <c r="C12" s="1307">
        <v>1686156.8099999998</v>
      </c>
      <c r="D12" s="1213">
        <f>+C12</f>
        <v>1686156.8099999998</v>
      </c>
      <c r="E12" s="1214"/>
      <c r="F12" s="1214"/>
      <c r="G12" s="1214"/>
      <c r="H12" s="1330" t="s">
        <v>1007</v>
      </c>
      <c r="I12" s="1215"/>
    </row>
    <row r="13" spans="1:9" s="218" customFormat="1">
      <c r="A13" s="852">
        <f t="shared" si="0"/>
        <v>1.06</v>
      </c>
      <c r="B13" s="1279" t="s">
        <v>11</v>
      </c>
      <c r="C13" s="1307">
        <v>1033</v>
      </c>
      <c r="D13" s="1216"/>
      <c r="E13" s="1214"/>
      <c r="F13" s="1214"/>
      <c r="G13" s="1214">
        <f>+C13</f>
        <v>1033</v>
      </c>
      <c r="H13" s="1327" t="s">
        <v>1008</v>
      </c>
      <c r="I13" s="1217"/>
    </row>
    <row r="14" spans="1:9" s="218" customFormat="1">
      <c r="A14" s="852">
        <f t="shared" si="0"/>
        <v>1.07</v>
      </c>
      <c r="B14" s="1279" t="s">
        <v>18</v>
      </c>
      <c r="C14" s="1307">
        <v>0</v>
      </c>
      <c r="D14" s="1216"/>
      <c r="E14" s="1214"/>
      <c r="F14" s="1214">
        <f>+C14</f>
        <v>0</v>
      </c>
      <c r="G14" s="1214"/>
      <c r="H14" s="1327"/>
      <c r="I14" s="1217"/>
    </row>
    <row r="15" spans="1:9">
      <c r="A15" s="852">
        <f t="shared" si="0"/>
        <v>1.08</v>
      </c>
      <c r="B15" s="1279" t="s">
        <v>19</v>
      </c>
      <c r="C15" s="1307">
        <v>830096.49</v>
      </c>
      <c r="D15" s="1213">
        <f>+C15</f>
        <v>830096.49</v>
      </c>
      <c r="E15" s="1214"/>
      <c r="F15" s="1214"/>
      <c r="G15" s="1214"/>
      <c r="H15" s="1327" t="s">
        <v>1009</v>
      </c>
      <c r="I15" s="1215"/>
    </row>
    <row r="16" spans="1:9">
      <c r="A16" s="852">
        <f t="shared" si="0"/>
        <v>1.0900000000000001</v>
      </c>
      <c r="B16" s="1279" t="s">
        <v>13</v>
      </c>
      <c r="C16" s="1307">
        <v>0</v>
      </c>
      <c r="D16" s="1213">
        <f>+C16</f>
        <v>0</v>
      </c>
      <c r="E16" s="1214"/>
      <c r="F16" s="1214"/>
      <c r="G16" s="1214"/>
      <c r="H16" s="1327"/>
      <c r="I16" s="1215"/>
    </row>
    <row r="17" spans="1:15">
      <c r="A17" s="852">
        <f t="shared" si="0"/>
        <v>1.1000000000000001</v>
      </c>
      <c r="B17" s="1279" t="s">
        <v>12</v>
      </c>
      <c r="C17" s="1307">
        <v>16975</v>
      </c>
      <c r="D17" s="1213">
        <f>+C17</f>
        <v>16975</v>
      </c>
      <c r="E17" s="1214"/>
      <c r="F17" s="1214"/>
      <c r="G17" s="1214"/>
      <c r="H17" s="1327" t="s">
        <v>1495</v>
      </c>
      <c r="I17" s="1215"/>
    </row>
    <row r="18" spans="1:15">
      <c r="A18" s="852">
        <f t="shared" si="0"/>
        <v>1.1100000000000001</v>
      </c>
      <c r="B18" s="1279" t="s">
        <v>20</v>
      </c>
      <c r="C18" s="1307">
        <v>0</v>
      </c>
      <c r="D18" s="1196">
        <f>+C18</f>
        <v>0</v>
      </c>
      <c r="E18" s="1218"/>
      <c r="F18" s="1218"/>
      <c r="G18" s="1214"/>
      <c r="H18" s="1327"/>
      <c r="I18" s="1215"/>
    </row>
    <row r="19" spans="1:15">
      <c r="A19" s="852">
        <f t="shared" si="0"/>
        <v>1.1200000000000001</v>
      </c>
      <c r="B19" s="1279" t="s">
        <v>14</v>
      </c>
      <c r="C19" s="1307">
        <v>0</v>
      </c>
      <c r="D19" s="1213">
        <f>+C19</f>
        <v>0</v>
      </c>
      <c r="E19" s="1214"/>
      <c r="F19" s="1214"/>
      <c r="G19" s="1214"/>
      <c r="H19" s="1327"/>
      <c r="I19" s="1215"/>
    </row>
    <row r="20" spans="1:15">
      <c r="A20" s="852">
        <f t="shared" si="0"/>
        <v>1.1300000000000001</v>
      </c>
      <c r="B20" s="1279" t="s">
        <v>266</v>
      </c>
      <c r="C20" s="1307">
        <v>11847478.84</v>
      </c>
      <c r="D20" s="1216"/>
      <c r="E20" s="1214"/>
      <c r="F20" s="1214">
        <f>+C20</f>
        <v>11847478.84</v>
      </c>
      <c r="G20" s="1214"/>
      <c r="H20" s="1327" t="s">
        <v>1010</v>
      </c>
      <c r="I20" s="1215"/>
    </row>
    <row r="21" spans="1:15">
      <c r="A21" s="852">
        <f t="shared" si="0"/>
        <v>1.1400000000000001</v>
      </c>
      <c r="B21" s="1279" t="s">
        <v>15</v>
      </c>
      <c r="C21" s="1307">
        <v>0</v>
      </c>
      <c r="D21" s="1213">
        <f>+C21</f>
        <v>0</v>
      </c>
      <c r="E21" s="1214"/>
      <c r="F21" s="1214"/>
      <c r="G21" s="1214"/>
      <c r="H21" s="1327"/>
      <c r="I21" s="1215"/>
    </row>
    <row r="22" spans="1:15">
      <c r="A22" s="852">
        <f t="shared" si="0"/>
        <v>1.1500000000000001</v>
      </c>
      <c r="B22" s="1279" t="s">
        <v>16</v>
      </c>
      <c r="C22" s="1307">
        <v>1338.51</v>
      </c>
      <c r="D22" s="1216"/>
      <c r="E22" s="1214"/>
      <c r="F22" s="1214">
        <f>+C22</f>
        <v>1338.51</v>
      </c>
      <c r="G22" s="1214"/>
      <c r="H22" s="1327" t="s">
        <v>1011</v>
      </c>
      <c r="I22" s="1215"/>
    </row>
    <row r="23" spans="1:15">
      <c r="A23" s="852">
        <f t="shared" si="0"/>
        <v>1.1600000000000001</v>
      </c>
      <c r="B23" s="1279" t="s">
        <v>21</v>
      </c>
      <c r="C23" s="1307">
        <v>0</v>
      </c>
      <c r="D23" s="1216">
        <f>+C23</f>
        <v>0</v>
      </c>
      <c r="E23" s="1214"/>
      <c r="F23" s="1214"/>
      <c r="G23" s="1214"/>
      <c r="H23" s="1327"/>
      <c r="I23" s="1215"/>
    </row>
    <row r="24" spans="1:15">
      <c r="A24" s="852">
        <f t="shared" si="0"/>
        <v>1.1700000000000002</v>
      </c>
      <c r="B24" s="1279" t="s">
        <v>851</v>
      </c>
      <c r="C24" s="1307">
        <v>0</v>
      </c>
      <c r="D24" s="1216">
        <f>+C24</f>
        <v>0</v>
      </c>
      <c r="E24" s="1214"/>
      <c r="F24" s="1214"/>
      <c r="G24" s="1214"/>
      <c r="H24" s="1327"/>
      <c r="I24" s="1215"/>
    </row>
    <row r="25" spans="1:15">
      <c r="A25" s="852">
        <f t="shared" si="0"/>
        <v>1.1800000000000002</v>
      </c>
      <c r="B25" s="1280" t="str">
        <f>+"Entergy Services, Inc. 408110 Employment Taxes  (Ln "&amp;A$41&amp;")"</f>
        <v>Entergy Services, Inc. 408110 Employment Taxes  (Ln 4)</v>
      </c>
      <c r="C25" s="1307">
        <v>716653.820000001</v>
      </c>
      <c r="D25" s="1216"/>
      <c r="E25" s="1214"/>
      <c r="F25" s="1214"/>
      <c r="G25" s="1214">
        <f>+C25</f>
        <v>716653.820000001</v>
      </c>
      <c r="H25" s="1327" t="s">
        <v>1012</v>
      </c>
      <c r="I25" s="1215"/>
      <c r="J25" s="721"/>
      <c r="K25" s="721"/>
      <c r="L25" s="721"/>
      <c r="M25" s="721"/>
      <c r="N25" s="721"/>
      <c r="O25" s="722"/>
    </row>
    <row r="26" spans="1:15">
      <c r="A26" s="852">
        <f t="shared" si="0"/>
        <v>1.1900000000000002</v>
      </c>
      <c r="B26" s="1279" t="str">
        <f>+"Entergy Services, Inc. 408122 Excise Tax- State  (Ln "&amp;A$41&amp;")"</f>
        <v>Entergy Services, Inc. 408122 Excise Tax- State  (Ln 4)</v>
      </c>
      <c r="C26" s="1307">
        <v>17.38</v>
      </c>
      <c r="D26" s="1216"/>
      <c r="E26" s="1214"/>
      <c r="F26" s="1214">
        <f>+C26</f>
        <v>17.38</v>
      </c>
      <c r="G26" s="1214"/>
      <c r="H26" s="1327" t="s">
        <v>1012</v>
      </c>
      <c r="I26" s="1215"/>
    </row>
    <row r="27" spans="1:15">
      <c r="A27" s="852">
        <f t="shared" si="0"/>
        <v>1.2000000000000002</v>
      </c>
      <c r="B27" s="1279" t="str">
        <f>+"Entergy Services, Inc. 408123 Excise Tax Federal  (Ln "&amp;A$41&amp;")"</f>
        <v>Entergy Services, Inc. 408123 Excise Tax Federal  (Ln 4)</v>
      </c>
      <c r="C27" s="1307">
        <v>12.370000000000001</v>
      </c>
      <c r="D27" s="1216"/>
      <c r="E27" s="1214"/>
      <c r="F27" s="1214">
        <f>+C27</f>
        <v>12.370000000000001</v>
      </c>
      <c r="G27" s="1214"/>
      <c r="H27" s="1327" t="s">
        <v>1012</v>
      </c>
      <c r="I27" s="1215"/>
    </row>
    <row r="28" spans="1:15">
      <c r="A28" s="852">
        <f t="shared" si="0"/>
        <v>1.2100000000000002</v>
      </c>
      <c r="B28" s="1279" t="str">
        <f>+"Entergy Services, Inc. 408142 Ad Valorem  (Ln "&amp;A$41&amp;")"</f>
        <v>Entergy Services, Inc. 408142 Ad Valorem  (Ln 4)</v>
      </c>
      <c r="C28" s="1307">
        <v>217358.71999999997</v>
      </c>
      <c r="D28" s="1216"/>
      <c r="E28" s="1214"/>
      <c r="F28" s="1214">
        <f>+C28</f>
        <v>217358.71999999997</v>
      </c>
      <c r="G28" s="1214"/>
      <c r="H28" s="1327" t="s">
        <v>1012</v>
      </c>
      <c r="I28" s="1215"/>
    </row>
    <row r="29" spans="1:15">
      <c r="A29" s="852">
        <f t="shared" si="0"/>
        <v>1.2200000000000002</v>
      </c>
      <c r="B29" s="1279" t="str">
        <f>+"Entergy Services, Inc. 408152 Franchise Tax State  (Ln "&amp;A$41&amp;")"</f>
        <v>Entergy Services, Inc. 408152 Franchise Tax State  (Ln 4)</v>
      </c>
      <c r="C29" s="1307">
        <v>33607.72</v>
      </c>
      <c r="D29" s="1216"/>
      <c r="E29" s="1214"/>
      <c r="F29" s="1214">
        <f>+C29</f>
        <v>33607.72</v>
      </c>
      <c r="G29" s="1214"/>
      <c r="H29" s="1327" t="s">
        <v>1012</v>
      </c>
      <c r="I29" s="1219"/>
    </row>
    <row r="30" spans="1:15">
      <c r="A30" s="852">
        <f t="shared" si="0"/>
        <v>1.2300000000000002</v>
      </c>
      <c r="B30" s="1279" t="str">
        <f>+"Entergy Services, Inc. 408165 City Occupation Tax  (Ln "&amp;A$41&amp;")"</f>
        <v>Entergy Services, Inc. 408165 City Occupation Tax  (Ln 4)</v>
      </c>
      <c r="C30" s="1307">
        <v>86.589999999999989</v>
      </c>
      <c r="D30" s="1196">
        <f>+C30</f>
        <v>86.589999999999989</v>
      </c>
      <c r="E30" s="1218"/>
      <c r="G30" s="1214"/>
      <c r="H30" s="1327" t="s">
        <v>1012</v>
      </c>
      <c r="J30" s="1380" t="s">
        <v>788</v>
      </c>
      <c r="K30" s="993"/>
      <c r="L30" s="993"/>
      <c r="M30" s="993"/>
      <c r="N30" s="993"/>
    </row>
    <row r="31" spans="1:15">
      <c r="A31" s="852">
        <f t="shared" si="0"/>
        <v>1.2400000000000002</v>
      </c>
      <c r="B31" s="1279" t="s">
        <v>852</v>
      </c>
      <c r="C31" s="1307">
        <v>0</v>
      </c>
      <c r="D31" s="1218"/>
      <c r="E31" s="1218"/>
      <c r="F31" s="1218">
        <f>+C31</f>
        <v>0</v>
      </c>
      <c r="G31" s="1214"/>
      <c r="H31" s="1327" t="s">
        <v>1012</v>
      </c>
      <c r="I31" s="1219"/>
      <c r="J31" s="993"/>
      <c r="K31" s="993"/>
      <c r="L31" s="993"/>
      <c r="M31" s="993"/>
      <c r="N31" s="993"/>
    </row>
    <row r="32" spans="1:15">
      <c r="A32" s="852">
        <f t="shared" si="0"/>
        <v>1.2500000000000002</v>
      </c>
      <c r="B32" s="1279" t="s">
        <v>576</v>
      </c>
      <c r="C32" s="1307">
        <v>199118.17999999961</v>
      </c>
      <c r="D32" s="1196">
        <f>+C32</f>
        <v>199118.17999999961</v>
      </c>
      <c r="E32" s="1218"/>
      <c r="F32" s="1218"/>
      <c r="G32" s="1214"/>
      <c r="H32" s="1327" t="s">
        <v>1013</v>
      </c>
      <c r="I32" s="1219"/>
      <c r="J32" s="993"/>
      <c r="K32" s="993"/>
      <c r="L32" s="993"/>
      <c r="M32" s="993"/>
      <c r="N32" s="993"/>
    </row>
    <row r="33" spans="1:14">
      <c r="A33" s="1323">
        <f t="shared" si="0"/>
        <v>1.2600000000000002</v>
      </c>
      <c r="B33" s="1324" t="s">
        <v>1001</v>
      </c>
      <c r="C33" s="1325">
        <v>6455</v>
      </c>
      <c r="D33" s="1326"/>
      <c r="E33" s="1326"/>
      <c r="F33" s="1326"/>
      <c r="G33" s="1326">
        <f>C33</f>
        <v>6455</v>
      </c>
      <c r="H33" s="1327" t="s">
        <v>1014</v>
      </c>
      <c r="I33" s="1219"/>
      <c r="J33" s="993"/>
      <c r="K33" s="993"/>
      <c r="L33" s="993"/>
      <c r="M33" s="993"/>
      <c r="N33" s="993"/>
    </row>
    <row r="34" spans="1:14">
      <c r="A34" s="1323">
        <f t="shared" si="0"/>
        <v>1.2700000000000002</v>
      </c>
      <c r="B34" s="1324" t="s">
        <v>1002</v>
      </c>
      <c r="C34" s="1325">
        <v>1258656</v>
      </c>
      <c r="D34" s="1326"/>
      <c r="E34" s="1326"/>
      <c r="F34" s="1326">
        <f>C34</f>
        <v>1258656</v>
      </c>
      <c r="G34" s="1326"/>
      <c r="H34" s="1327" t="s">
        <v>1015</v>
      </c>
      <c r="I34" s="1219"/>
      <c r="J34" s="993"/>
      <c r="K34" s="993"/>
      <c r="L34" s="993"/>
      <c r="M34" s="993"/>
      <c r="N34" s="993"/>
    </row>
    <row r="35" spans="1:14">
      <c r="A35" s="1323">
        <f t="shared" si="0"/>
        <v>1.2800000000000002</v>
      </c>
      <c r="B35" s="1324" t="s">
        <v>1172</v>
      </c>
      <c r="C35" s="1325">
        <v>25009237.610000003</v>
      </c>
      <c r="D35" s="1326">
        <f>C35</f>
        <v>25009237.610000003</v>
      </c>
      <c r="E35" s="1326"/>
      <c r="F35" s="1326"/>
      <c r="G35" s="1326"/>
      <c r="H35" s="1327" t="s">
        <v>1016</v>
      </c>
      <c r="I35" s="1219"/>
      <c r="J35" s="993"/>
      <c r="K35" s="993"/>
      <c r="L35" s="993"/>
      <c r="M35" s="993"/>
      <c r="N35" s="993"/>
    </row>
    <row r="36" spans="1:14">
      <c r="A36" s="1323">
        <f t="shared" si="0"/>
        <v>1.2900000000000003</v>
      </c>
      <c r="B36" s="1324" t="s">
        <v>905</v>
      </c>
      <c r="C36" s="1325">
        <v>0</v>
      </c>
      <c r="D36" s="1326"/>
      <c r="E36" s="1326"/>
      <c r="F36" s="1326">
        <f>C36</f>
        <v>0</v>
      </c>
      <c r="G36" s="1326"/>
      <c r="H36" s="1327"/>
      <c r="I36" s="1219"/>
      <c r="J36" s="993"/>
      <c r="K36" s="993"/>
      <c r="L36" s="993"/>
      <c r="M36" s="993"/>
      <c r="N36" s="993"/>
    </row>
    <row r="37" spans="1:14">
      <c r="A37" s="1323" t="s">
        <v>899</v>
      </c>
      <c r="B37" s="1324" t="s">
        <v>905</v>
      </c>
      <c r="C37" s="1325">
        <v>0</v>
      </c>
      <c r="D37" s="1326">
        <f>C37</f>
        <v>0</v>
      </c>
      <c r="E37" s="1326"/>
      <c r="F37" s="1326"/>
      <c r="G37" s="1326"/>
      <c r="H37" s="1327"/>
      <c r="I37" s="1219"/>
      <c r="J37" s="993"/>
      <c r="K37" s="993"/>
      <c r="L37" s="993"/>
      <c r="M37" s="993"/>
      <c r="N37" s="993"/>
    </row>
    <row r="38" spans="1:14" ht="15.6">
      <c r="A38" s="1323" t="s">
        <v>903</v>
      </c>
      <c r="B38" s="1324" t="s">
        <v>905</v>
      </c>
      <c r="C38" s="1274">
        <v>0</v>
      </c>
      <c r="D38" s="1328"/>
      <c r="E38" s="1329"/>
      <c r="F38" s="1329"/>
      <c r="G38" s="1329"/>
      <c r="H38" s="1330"/>
      <c r="I38" s="1215"/>
    </row>
    <row r="39" spans="1:14" ht="14.4" thickBot="1">
      <c r="A39" s="853">
        <f>+A7+1</f>
        <v>2</v>
      </c>
      <c r="B39" s="219" t="str">
        <f>+"Sum Line "&amp;A7&amp;" Subparts"</f>
        <v>Sum Line 1 Subparts</v>
      </c>
      <c r="C39" s="651">
        <f>+SUM(C8:C38)</f>
        <v>-41604796.649999976</v>
      </c>
      <c r="D39" s="651">
        <f>+SUM(D8:D38)</f>
        <v>-56468093.419999987</v>
      </c>
      <c r="E39" s="651">
        <f>+SUM(E8:E38)</f>
        <v>0</v>
      </c>
      <c r="F39" s="651">
        <f>+SUM(F8:F38)</f>
        <v>13362523.950000001</v>
      </c>
      <c r="G39" s="651">
        <f>+SUM(G8:G38)</f>
        <v>1500772.820000001</v>
      </c>
      <c r="H39" s="523" t="s">
        <v>441</v>
      </c>
      <c r="I39" s="571"/>
    </row>
    <row r="40" spans="1:14" ht="14.4" thickTop="1">
      <c r="A40" s="941">
        <f>+A39+1</f>
        <v>3</v>
      </c>
      <c r="B40" s="219"/>
      <c r="C40" s="521"/>
      <c r="D40" s="521"/>
      <c r="E40" s="595"/>
      <c r="F40" s="595"/>
      <c r="G40" s="595"/>
      <c r="H40" s="523"/>
      <c r="I40" s="571"/>
    </row>
    <row r="41" spans="1:14">
      <c r="A41" s="941">
        <f>+A40+1</f>
        <v>4</v>
      </c>
      <c r="B41" s="856" t="s">
        <v>700</v>
      </c>
      <c r="C41" s="1307">
        <v>967736.59999999916</v>
      </c>
      <c r="D41" s="857"/>
      <c r="E41" s="857"/>
      <c r="F41" s="857"/>
      <c r="G41" s="857"/>
      <c r="H41" s="1327" t="s">
        <v>1017</v>
      </c>
      <c r="I41" s="522"/>
    </row>
    <row r="42" spans="1:14">
      <c r="A42" s="941"/>
      <c r="B42" s="856"/>
      <c r="C42" s="857"/>
      <c r="D42" s="857"/>
      <c r="E42" s="857"/>
      <c r="F42" s="857"/>
      <c r="G42" s="857"/>
      <c r="H42" s="857"/>
      <c r="I42" s="522"/>
    </row>
    <row r="43" spans="1:14" s="177" customFormat="1" ht="13.2">
      <c r="A43" s="813" t="s">
        <v>552</v>
      </c>
      <c r="B43" s="178"/>
      <c r="C43" s="178"/>
      <c r="D43" s="78"/>
      <c r="E43" s="591"/>
      <c r="F43" s="591"/>
      <c r="G43" s="591"/>
      <c r="H43" s="854"/>
      <c r="I43" s="522"/>
    </row>
    <row r="44" spans="1:14" s="177" customFormat="1" ht="55.2" customHeight="1">
      <c r="A44" s="855" t="s">
        <v>171</v>
      </c>
      <c r="B44" s="2119" t="s">
        <v>693</v>
      </c>
      <c r="C44" s="2119"/>
      <c r="D44" s="2119"/>
      <c r="E44" s="2119"/>
      <c r="F44" s="2119"/>
      <c r="G44" s="2119"/>
      <c r="H44" s="2119"/>
      <c r="I44" s="1424"/>
    </row>
    <row r="45" spans="1:14" s="177" customFormat="1" ht="27" customHeight="1">
      <c r="A45" s="855" t="s">
        <v>320</v>
      </c>
      <c r="B45" s="2119" t="s">
        <v>789</v>
      </c>
      <c r="C45" s="2119"/>
      <c r="D45" s="2119"/>
      <c r="E45" s="2119"/>
      <c r="F45" s="2119"/>
      <c r="G45" s="2119"/>
      <c r="H45" s="2119"/>
      <c r="I45" s="1424"/>
    </row>
    <row r="46" spans="1:14" s="177" customFormat="1" ht="13.2" customHeight="1">
      <c r="A46" s="855" t="s">
        <v>321</v>
      </c>
      <c r="B46" s="2119" t="s">
        <v>694</v>
      </c>
      <c r="C46" s="2119"/>
      <c r="D46" s="2119"/>
      <c r="E46" s="2119"/>
      <c r="F46" s="2119"/>
      <c r="G46" s="2119"/>
      <c r="H46" s="2119"/>
      <c r="I46" s="1424"/>
    </row>
    <row r="47" spans="1:14" s="177" customFormat="1" ht="13.2">
      <c r="A47" s="855" t="s">
        <v>322</v>
      </c>
      <c r="B47" s="2042" t="s">
        <v>713</v>
      </c>
      <c r="C47" s="2042"/>
      <c r="D47" s="2042"/>
      <c r="E47" s="2042"/>
      <c r="F47" s="2042"/>
      <c r="G47" s="2042"/>
      <c r="H47" s="2042"/>
      <c r="I47" s="1424"/>
    </row>
    <row r="48" spans="1:14">
      <c r="A48" s="855" t="s">
        <v>323</v>
      </c>
      <c r="B48" s="2119" t="s">
        <v>695</v>
      </c>
      <c r="C48" s="2119"/>
      <c r="D48" s="2119"/>
      <c r="E48" s="2119"/>
      <c r="F48" s="2119"/>
      <c r="G48" s="2119"/>
      <c r="H48" s="2119"/>
      <c r="I48" s="2035"/>
    </row>
    <row r="49" spans="1:9" ht="28.2" customHeight="1">
      <c r="A49" s="855" t="s">
        <v>696</v>
      </c>
      <c r="B49" s="2042" t="s">
        <v>697</v>
      </c>
      <c r="C49" s="2042"/>
      <c r="D49" s="2042"/>
      <c r="E49" s="2042"/>
      <c r="F49" s="2042"/>
      <c r="G49" s="2042"/>
      <c r="H49" s="2042"/>
      <c r="I49" s="1425"/>
    </row>
    <row r="50" spans="1:9" ht="28.2" customHeight="1">
      <c r="A50" s="855" t="s">
        <v>698</v>
      </c>
      <c r="B50" s="2042" t="s">
        <v>699</v>
      </c>
      <c r="C50" s="2042"/>
      <c r="D50" s="2042"/>
      <c r="E50" s="2042"/>
      <c r="F50" s="2042"/>
      <c r="G50" s="2042"/>
      <c r="H50" s="2042"/>
      <c r="I50" s="1425"/>
    </row>
    <row r="51" spans="1:9">
      <c r="A51" s="1243"/>
      <c r="B51" s="1243"/>
      <c r="C51" s="1243"/>
      <c r="D51" s="1244"/>
      <c r="E51" s="1245"/>
      <c r="F51" s="1245"/>
      <c r="G51" s="1245"/>
      <c r="H51" s="1246"/>
      <c r="I51" s="571"/>
    </row>
    <row r="52" spans="1:9">
      <c r="A52" s="1243"/>
      <c r="B52" s="1243"/>
      <c r="C52" s="1243"/>
      <c r="D52" s="1244"/>
      <c r="E52" s="1245"/>
      <c r="F52" s="1245"/>
      <c r="G52" s="1245"/>
      <c r="H52" s="1246"/>
    </row>
    <row r="53" spans="1:9">
      <c r="A53" s="1243"/>
      <c r="B53" s="1247"/>
      <c r="C53" s="1247"/>
      <c r="D53" s="1245"/>
      <c r="E53" s="1245"/>
      <c r="F53" s="1245"/>
      <c r="G53" s="1245"/>
      <c r="H53" s="1246"/>
    </row>
    <row r="54" spans="1:9">
      <c r="A54" s="1243"/>
      <c r="B54" s="1247"/>
      <c r="C54" s="1247"/>
      <c r="D54" s="1245"/>
      <c r="E54" s="1245"/>
      <c r="F54" s="1245"/>
      <c r="G54" s="1245"/>
      <c r="H54" s="1246"/>
    </row>
  </sheetData>
  <mergeCells count="10">
    <mergeCell ref="B50:H50"/>
    <mergeCell ref="B44:H44"/>
    <mergeCell ref="B45:H45"/>
    <mergeCell ref="B46:H46"/>
    <mergeCell ref="A1:H1"/>
    <mergeCell ref="A3:H3"/>
    <mergeCell ref="A2:H2"/>
    <mergeCell ref="B48:I48"/>
    <mergeCell ref="B49:H49"/>
    <mergeCell ref="B47:H47"/>
  </mergeCells>
  <phoneticPr fontId="100" type="noConversion"/>
  <printOptions horizontalCentered="1"/>
  <pageMargins left="0.7" right="0.7" top="0.7" bottom="0.7" header="0.3" footer="0.5"/>
  <pageSetup scale="69" orientation="landscape"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topLeftCell="A13" zoomScaleNormal="100" zoomScaleSheetLayoutView="100" workbookViewId="0">
      <selection activeCell="L6" sqref="L6"/>
    </sheetView>
  </sheetViews>
  <sheetFormatPr defaultColWidth="9.109375" defaultRowHeight="13.2"/>
  <cols>
    <col min="1" max="1" width="4.44140625" style="699" customWidth="1"/>
    <col min="2" max="2" width="49.109375" style="44" customWidth="1"/>
    <col min="3" max="3" width="28.5546875" style="44" customWidth="1"/>
    <col min="4" max="4" width="14" style="43" customWidth="1"/>
    <col min="5" max="15" width="14.33203125" style="43" customWidth="1"/>
    <col min="16" max="16" width="14" style="44" bestFit="1" customWidth="1"/>
    <col min="17" max="17" width="14.109375" style="256" bestFit="1" customWidth="1"/>
    <col min="18" max="16384" width="9.109375" style="44"/>
  </cols>
  <sheetData>
    <row r="1" spans="1:19">
      <c r="A1" s="2038" t="str">
        <f>+'MISO Cover'!C6</f>
        <v>Entergy New Orleans, Inc.</v>
      </c>
      <c r="B1" s="2038"/>
      <c r="C1" s="2038"/>
      <c r="D1" s="187"/>
      <c r="E1" s="187"/>
      <c r="F1" s="187"/>
      <c r="G1" s="187"/>
      <c r="H1" s="187"/>
      <c r="I1" s="187"/>
      <c r="J1" s="187"/>
      <c r="K1" s="187"/>
      <c r="L1" s="187"/>
      <c r="M1" s="187"/>
      <c r="N1" s="187"/>
      <c r="O1" s="187"/>
      <c r="P1" s="187"/>
      <c r="Q1" s="229"/>
    </row>
    <row r="2" spans="1:19" s="43" customFormat="1">
      <c r="A2" s="2039" t="s">
        <v>644</v>
      </c>
      <c r="B2" s="2039"/>
      <c r="C2" s="2039"/>
      <c r="D2" s="179"/>
      <c r="E2" s="179"/>
      <c r="F2" s="179"/>
      <c r="G2" s="179"/>
      <c r="H2" s="179"/>
      <c r="I2" s="179"/>
      <c r="J2" s="179"/>
      <c r="K2" s="179"/>
      <c r="L2" s="179"/>
      <c r="M2" s="179"/>
      <c r="N2" s="179"/>
      <c r="O2" s="179"/>
      <c r="P2" s="179"/>
      <c r="Q2" s="180"/>
    </row>
    <row r="3" spans="1:19">
      <c r="A3" s="2077" t="str">
        <f>+'MISO Cover'!K4</f>
        <v>For  the 12 Months Ended 12/31/2016</v>
      </c>
      <c r="B3" s="2077"/>
      <c r="C3" s="2077"/>
      <c r="D3" s="961"/>
      <c r="E3" s="961"/>
      <c r="F3" s="961"/>
      <c r="G3" s="961"/>
      <c r="H3" s="961"/>
      <c r="I3" s="961"/>
      <c r="J3" s="961"/>
      <c r="K3" s="961"/>
      <c r="L3" s="961"/>
      <c r="M3" s="961"/>
      <c r="N3" s="961"/>
      <c r="O3" s="961"/>
      <c r="P3" s="961"/>
      <c r="Q3" s="1297"/>
    </row>
    <row r="4" spans="1:19">
      <c r="B4" s="764"/>
      <c r="C4" s="764"/>
      <c r="D4" s="764"/>
      <c r="E4" s="764"/>
      <c r="F4" s="684"/>
      <c r="G4" s="764"/>
      <c r="H4" s="764"/>
      <c r="I4" s="764"/>
      <c r="J4" s="764"/>
      <c r="K4" s="764"/>
      <c r="L4" s="764"/>
      <c r="M4" s="764"/>
      <c r="N4" s="764"/>
      <c r="O4" s="764"/>
      <c r="R4" s="485"/>
    </row>
    <row r="5" spans="1:19" s="763" customFormat="1" ht="12.75" customHeight="1">
      <c r="A5" s="699" t="s">
        <v>281</v>
      </c>
      <c r="B5" s="763" t="s">
        <v>68</v>
      </c>
      <c r="C5" s="763" t="s">
        <v>115</v>
      </c>
      <c r="D5" s="760" t="s">
        <v>56</v>
      </c>
      <c r="E5" s="685" t="s">
        <v>69</v>
      </c>
      <c r="F5" s="685" t="s">
        <v>67</v>
      </c>
      <c r="G5" s="685" t="s">
        <v>157</v>
      </c>
      <c r="H5" s="685" t="s">
        <v>70</v>
      </c>
      <c r="I5" s="685" t="s">
        <v>170</v>
      </c>
      <c r="J5" s="685" t="s">
        <v>60</v>
      </c>
      <c r="K5" s="685" t="s">
        <v>553</v>
      </c>
      <c r="L5" s="685" t="s">
        <v>72</v>
      </c>
      <c r="M5" s="685" t="s">
        <v>99</v>
      </c>
      <c r="N5" s="685" t="s">
        <v>100</v>
      </c>
      <c r="O5" s="685" t="s">
        <v>438</v>
      </c>
      <c r="P5" s="685" t="s">
        <v>224</v>
      </c>
      <c r="Q5" s="1298" t="s">
        <v>225</v>
      </c>
    </row>
    <row r="6" spans="1:19">
      <c r="B6" s="555" t="s">
        <v>113</v>
      </c>
      <c r="C6" s="555" t="s">
        <v>141</v>
      </c>
      <c r="D6" s="712" t="s">
        <v>38</v>
      </c>
      <c r="E6" s="712" t="s">
        <v>28</v>
      </c>
      <c r="F6" s="712" t="s">
        <v>29</v>
      </c>
      <c r="G6" s="712" t="s">
        <v>30</v>
      </c>
      <c r="H6" s="712" t="s">
        <v>31</v>
      </c>
      <c r="I6" s="712" t="s">
        <v>27</v>
      </c>
      <c r="J6" s="712" t="s">
        <v>32</v>
      </c>
      <c r="K6" s="712" t="s">
        <v>33</v>
      </c>
      <c r="L6" s="712" t="s">
        <v>34</v>
      </c>
      <c r="M6" s="712" t="s">
        <v>35</v>
      </c>
      <c r="N6" s="712" t="s">
        <v>36</v>
      </c>
      <c r="O6" s="712" t="s">
        <v>37</v>
      </c>
      <c r="P6" s="712" t="s">
        <v>38</v>
      </c>
      <c r="Q6" s="1299" t="s">
        <v>597</v>
      </c>
    </row>
    <row r="7" spans="1:19">
      <c r="A7" s="699">
        <v>1</v>
      </c>
      <c r="B7" s="732" t="s">
        <v>62</v>
      </c>
    </row>
    <row r="8" spans="1:19">
      <c r="A8" s="699">
        <f>+A7+1</f>
        <v>2</v>
      </c>
      <c r="B8" s="44" t="s">
        <v>564</v>
      </c>
      <c r="C8" s="43" t="s">
        <v>640</v>
      </c>
      <c r="D8" s="208">
        <v>226103000</v>
      </c>
      <c r="E8" s="208">
        <v>226103000</v>
      </c>
      <c r="F8" s="208">
        <v>226103000</v>
      </c>
      <c r="G8" s="208">
        <v>336083000</v>
      </c>
      <c r="H8" s="208">
        <v>336083000</v>
      </c>
      <c r="I8" s="208">
        <v>421083000</v>
      </c>
      <c r="J8" s="208">
        <v>350000000</v>
      </c>
      <c r="K8" s="208">
        <v>350000000</v>
      </c>
      <c r="L8" s="208">
        <v>350000000</v>
      </c>
      <c r="M8" s="208">
        <v>350000000</v>
      </c>
      <c r="N8" s="208">
        <v>350000000</v>
      </c>
      <c r="O8" s="208">
        <v>350000000</v>
      </c>
      <c r="P8" s="208">
        <v>350000000</v>
      </c>
      <c r="Q8" s="78">
        <f>SUM(D8:P8)/13</f>
        <v>324735230.76923078</v>
      </c>
    </row>
    <row r="9" spans="1:19">
      <c r="A9" s="699">
        <f t="shared" ref="A9:A48" si="0">+A8+1</f>
        <v>3</v>
      </c>
      <c r="B9" s="699" t="s">
        <v>616</v>
      </c>
      <c r="C9" s="43" t="s">
        <v>641</v>
      </c>
      <c r="D9" s="208">
        <v>0</v>
      </c>
      <c r="E9" s="208">
        <v>0</v>
      </c>
      <c r="F9" s="208">
        <v>0</v>
      </c>
      <c r="G9" s="208">
        <v>0</v>
      </c>
      <c r="H9" s="208">
        <v>0</v>
      </c>
      <c r="I9" s="208">
        <v>0</v>
      </c>
      <c r="J9" s="208">
        <v>0</v>
      </c>
      <c r="K9" s="208">
        <v>0</v>
      </c>
      <c r="L9" s="208">
        <v>0</v>
      </c>
      <c r="M9" s="208">
        <v>0</v>
      </c>
      <c r="N9" s="208">
        <v>0</v>
      </c>
      <c r="O9" s="208">
        <v>0</v>
      </c>
      <c r="P9" s="208">
        <v>0</v>
      </c>
      <c r="Q9" s="78">
        <f t="shared" ref="Q9:Q11" si="1">SUM(D9:P9)/13</f>
        <v>0</v>
      </c>
    </row>
    <row r="10" spans="1:19" s="181" customFormat="1" ht="26.4">
      <c r="A10" s="738">
        <f t="shared" si="0"/>
        <v>4</v>
      </c>
      <c r="B10" s="740" t="s">
        <v>573</v>
      </c>
      <c r="C10" s="837" t="s">
        <v>642</v>
      </c>
      <c r="D10" s="208">
        <v>0</v>
      </c>
      <c r="E10" s="208">
        <v>0</v>
      </c>
      <c r="F10" s="208">
        <v>0</v>
      </c>
      <c r="G10" s="208">
        <v>0</v>
      </c>
      <c r="H10" s="208">
        <v>0</v>
      </c>
      <c r="I10" s="208">
        <v>0</v>
      </c>
      <c r="J10" s="208">
        <v>0</v>
      </c>
      <c r="K10" s="208">
        <v>0</v>
      </c>
      <c r="L10" s="208">
        <v>0</v>
      </c>
      <c r="M10" s="208">
        <v>0</v>
      </c>
      <c r="N10" s="208">
        <v>0</v>
      </c>
      <c r="O10" s="208">
        <v>0</v>
      </c>
      <c r="P10" s="208">
        <v>0</v>
      </c>
      <c r="Q10" s="78">
        <f t="shared" si="1"/>
        <v>0</v>
      </c>
      <c r="S10" s="44"/>
    </row>
    <row r="11" spans="1:19">
      <c r="A11" s="699">
        <f t="shared" si="0"/>
        <v>5</v>
      </c>
      <c r="B11" s="44" t="s">
        <v>565</v>
      </c>
      <c r="C11" s="45" t="s">
        <v>643</v>
      </c>
      <c r="D11" s="208">
        <v>0</v>
      </c>
      <c r="E11" s="208">
        <v>0</v>
      </c>
      <c r="F11" s="208">
        <v>0</v>
      </c>
      <c r="G11" s="208">
        <v>0</v>
      </c>
      <c r="H11" s="208">
        <v>0</v>
      </c>
      <c r="I11" s="208">
        <v>0</v>
      </c>
      <c r="J11" s="208">
        <v>0</v>
      </c>
      <c r="K11" s="208">
        <v>0</v>
      </c>
      <c r="L11" s="208">
        <v>0</v>
      </c>
      <c r="M11" s="208">
        <v>0</v>
      </c>
      <c r="N11" s="208">
        <v>0</v>
      </c>
      <c r="O11" s="208">
        <v>0</v>
      </c>
      <c r="P11" s="208">
        <v>0</v>
      </c>
      <c r="Q11" s="564">
        <f t="shared" si="1"/>
        <v>0</v>
      </c>
    </row>
    <row r="12" spans="1:19">
      <c r="A12" s="699">
        <f t="shared" si="0"/>
        <v>6</v>
      </c>
      <c r="B12" s="733" t="s">
        <v>41</v>
      </c>
      <c r="C12" s="954" t="str">
        <f>+"L"&amp;A8&amp;" - L"&amp;A9&amp;" + L"&amp;A10&amp;" + L"&amp;A11</f>
        <v>L2 - L3 + L4 + L5</v>
      </c>
      <c r="D12" s="955">
        <f>+D8-D9+D10+D11</f>
        <v>226103000</v>
      </c>
      <c r="E12" s="955">
        <f t="shared" ref="E12:Q12" si="2">+E8-E9+E10+E11</f>
        <v>226103000</v>
      </c>
      <c r="F12" s="955">
        <f t="shared" si="2"/>
        <v>226103000</v>
      </c>
      <c r="G12" s="955">
        <f t="shared" si="2"/>
        <v>336083000</v>
      </c>
      <c r="H12" s="955">
        <f t="shared" si="2"/>
        <v>336083000</v>
      </c>
      <c r="I12" s="955">
        <f t="shared" si="2"/>
        <v>421083000</v>
      </c>
      <c r="J12" s="955">
        <f t="shared" si="2"/>
        <v>350000000</v>
      </c>
      <c r="K12" s="955">
        <f t="shared" si="2"/>
        <v>350000000</v>
      </c>
      <c r="L12" s="955">
        <f t="shared" si="2"/>
        <v>350000000</v>
      </c>
      <c r="M12" s="955">
        <f t="shared" si="2"/>
        <v>350000000</v>
      </c>
      <c r="N12" s="955">
        <f t="shared" si="2"/>
        <v>350000000</v>
      </c>
      <c r="O12" s="955">
        <f t="shared" si="2"/>
        <v>350000000</v>
      </c>
      <c r="P12" s="955">
        <f t="shared" si="2"/>
        <v>350000000</v>
      </c>
      <c r="Q12" s="955">
        <f t="shared" si="2"/>
        <v>324735230.76923078</v>
      </c>
    </row>
    <row r="13" spans="1:19">
      <c r="A13" s="699">
        <f t="shared" si="0"/>
        <v>7</v>
      </c>
      <c r="D13" s="78"/>
      <c r="E13" s="78"/>
      <c r="F13" s="78"/>
      <c r="G13" s="78"/>
      <c r="H13" s="78"/>
      <c r="I13" s="78"/>
      <c r="J13" s="78"/>
      <c r="K13" s="78"/>
      <c r="L13" s="78"/>
      <c r="M13" s="78"/>
      <c r="N13" s="78"/>
      <c r="O13" s="78"/>
      <c r="P13" s="78"/>
      <c r="Q13" s="78"/>
    </row>
    <row r="14" spans="1:19">
      <c r="A14" s="699">
        <f t="shared" si="0"/>
        <v>8</v>
      </c>
      <c r="B14" s="956" t="s">
        <v>577</v>
      </c>
      <c r="D14" s="78"/>
      <c r="E14" s="78"/>
      <c r="F14" s="78"/>
      <c r="G14" s="78"/>
      <c r="H14" s="78"/>
      <c r="I14" s="78"/>
      <c r="J14" s="78"/>
      <c r="K14" s="78"/>
      <c r="L14" s="78"/>
      <c r="M14" s="78"/>
      <c r="N14" s="78"/>
      <c r="O14" s="78"/>
      <c r="P14" s="78"/>
      <c r="Q14" s="78"/>
    </row>
    <row r="15" spans="1:19">
      <c r="A15" s="699">
        <f>+A14+1</f>
        <v>9</v>
      </c>
      <c r="B15" s="206" t="s">
        <v>570</v>
      </c>
      <c r="C15" s="43" t="s">
        <v>677</v>
      </c>
      <c r="D15" s="208">
        <v>4397088.8199999966</v>
      </c>
      <c r="E15" s="208">
        <v>4338660.2499999963</v>
      </c>
      <c r="F15" s="208">
        <v>4305581.3599999975</v>
      </c>
      <c r="G15" s="208">
        <v>7432632.3599999994</v>
      </c>
      <c r="H15" s="208">
        <v>7539372.4699999969</v>
      </c>
      <c r="I15" s="208">
        <v>8190693.8500000006</v>
      </c>
      <c r="J15" s="208">
        <v>6249270.9399999985</v>
      </c>
      <c r="K15" s="208">
        <v>6246127.3699999973</v>
      </c>
      <c r="L15" s="208">
        <v>6246036.9399999939</v>
      </c>
      <c r="M15" s="208">
        <v>6199572.9499999946</v>
      </c>
      <c r="N15" s="208">
        <v>6216139.3599999966</v>
      </c>
      <c r="O15" s="208">
        <v>6230747.3199999966</v>
      </c>
      <c r="P15" s="208">
        <v>6198752.6899999976</v>
      </c>
      <c r="Q15" s="78">
        <f t="shared" ref="Q15:Q19" si="3">SUM(D15:P15)/13</f>
        <v>6137744.3599999975</v>
      </c>
    </row>
    <row r="16" spans="1:19">
      <c r="A16" s="699">
        <f t="shared" si="0"/>
        <v>10</v>
      </c>
      <c r="B16" s="206" t="s">
        <v>617</v>
      </c>
      <c r="C16" s="43" t="s">
        <v>678</v>
      </c>
      <c r="D16" s="208">
        <v>1610860.98</v>
      </c>
      <c r="E16" s="208">
        <v>1594696.0899999994</v>
      </c>
      <c r="F16" s="208">
        <v>1578531.1599999992</v>
      </c>
      <c r="G16" s="208">
        <v>1562366.2699999996</v>
      </c>
      <c r="H16" s="208">
        <v>1546201.3399999994</v>
      </c>
      <c r="I16" s="208">
        <v>1530036.4499999997</v>
      </c>
      <c r="J16" s="208">
        <v>3563768.6199999996</v>
      </c>
      <c r="K16" s="208">
        <v>3530377.71</v>
      </c>
      <c r="L16" s="208">
        <v>3496986.8</v>
      </c>
      <c r="M16" s="208">
        <v>3463595.84</v>
      </c>
      <c r="N16" s="208">
        <v>3430204.9299999997</v>
      </c>
      <c r="O16" s="208">
        <v>3396813.9699999997</v>
      </c>
      <c r="P16" s="208">
        <v>3363423.0599999996</v>
      </c>
      <c r="Q16" s="78">
        <f t="shared" si="3"/>
        <v>2589835.6323076924</v>
      </c>
    </row>
    <row r="17" spans="1:26">
      <c r="A17" s="699">
        <f t="shared" si="0"/>
        <v>11</v>
      </c>
      <c r="B17" s="206" t="s">
        <v>571</v>
      </c>
      <c r="C17" s="43" t="s">
        <v>679</v>
      </c>
      <c r="D17" s="208">
        <v>0</v>
      </c>
      <c r="E17" s="208">
        <v>0</v>
      </c>
      <c r="F17" s="208">
        <v>0</v>
      </c>
      <c r="G17" s="208">
        <v>0</v>
      </c>
      <c r="H17" s="208">
        <v>0</v>
      </c>
      <c r="I17" s="208">
        <v>0</v>
      </c>
      <c r="J17" s="208">
        <v>0</v>
      </c>
      <c r="K17" s="208">
        <v>0</v>
      </c>
      <c r="L17" s="208">
        <v>0</v>
      </c>
      <c r="M17" s="208">
        <v>0</v>
      </c>
      <c r="N17" s="208">
        <v>0</v>
      </c>
      <c r="O17" s="208">
        <v>0</v>
      </c>
      <c r="P17" s="208">
        <v>0</v>
      </c>
      <c r="Q17" s="78">
        <f t="shared" si="3"/>
        <v>0</v>
      </c>
    </row>
    <row r="18" spans="1:26">
      <c r="A18" s="699">
        <f t="shared" si="0"/>
        <v>12</v>
      </c>
      <c r="B18" s="206" t="s">
        <v>569</v>
      </c>
      <c r="C18" s="43" t="s">
        <v>676</v>
      </c>
      <c r="D18" s="208">
        <v>259977.62999999951</v>
      </c>
      <c r="E18" s="208">
        <v>256937.90999999954</v>
      </c>
      <c r="F18" s="208">
        <v>253898.19999999946</v>
      </c>
      <c r="G18" s="208">
        <v>250858.48999999961</v>
      </c>
      <c r="H18" s="208">
        <v>247818.76999999952</v>
      </c>
      <c r="I18" s="208">
        <v>244779.05999999968</v>
      </c>
      <c r="J18" s="208">
        <v>241739.33999999959</v>
      </c>
      <c r="K18" s="208">
        <v>238699.6199999995</v>
      </c>
      <c r="L18" s="208">
        <v>235659.89999999953</v>
      </c>
      <c r="M18" s="208">
        <v>232620.17999999944</v>
      </c>
      <c r="N18" s="208">
        <v>229580.4799999996</v>
      </c>
      <c r="O18" s="208">
        <v>226540.75999999951</v>
      </c>
      <c r="P18" s="208">
        <v>223501.03999999966</v>
      </c>
      <c r="Q18" s="78">
        <f t="shared" si="3"/>
        <v>241739.33692307642</v>
      </c>
    </row>
    <row r="19" spans="1:26">
      <c r="A19" s="699">
        <f t="shared" si="0"/>
        <v>13</v>
      </c>
      <c r="B19" s="206" t="s">
        <v>618</v>
      </c>
      <c r="C19" s="43" t="s">
        <v>680</v>
      </c>
      <c r="D19" s="208">
        <v>0</v>
      </c>
      <c r="E19" s="208">
        <v>0</v>
      </c>
      <c r="F19" s="208">
        <v>0</v>
      </c>
      <c r="G19" s="208">
        <v>0</v>
      </c>
      <c r="H19" s="208">
        <v>0</v>
      </c>
      <c r="I19" s="208">
        <v>0</v>
      </c>
      <c r="J19" s="208">
        <v>0</v>
      </c>
      <c r="K19" s="208">
        <v>0</v>
      </c>
      <c r="L19" s="208">
        <v>0</v>
      </c>
      <c r="M19" s="208">
        <v>0</v>
      </c>
      <c r="N19" s="208">
        <v>0</v>
      </c>
      <c r="O19" s="208">
        <v>0</v>
      </c>
      <c r="P19" s="208">
        <v>0</v>
      </c>
      <c r="Q19" s="78">
        <f t="shared" si="3"/>
        <v>0</v>
      </c>
    </row>
    <row r="20" spans="1:26">
      <c r="A20" s="699">
        <f t="shared" si="0"/>
        <v>14</v>
      </c>
      <c r="B20" s="1043" t="s">
        <v>42</v>
      </c>
      <c r="C20" s="954" t="str">
        <f>+"L"&amp;A12&amp;" - L"&amp;A15&amp;" - L"&amp;A16&amp;" + L"&amp;A17&amp;" - L"&amp;A18&amp;" + L"&amp;A19</f>
        <v>L6 - L9 - L10 + L11 - L12 + L13</v>
      </c>
      <c r="D20" s="955">
        <f>+D12-D15-D16+D17-D18+D19</f>
        <v>219835072.57000002</v>
      </c>
      <c r="E20" s="955">
        <f t="shared" ref="E20:Q20" si="4">+E12-E15-E16+E17-E18+E19</f>
        <v>219912705.75</v>
      </c>
      <c r="F20" s="955">
        <f t="shared" si="4"/>
        <v>219964989.28000003</v>
      </c>
      <c r="G20" s="955">
        <f t="shared" si="4"/>
        <v>326837142.88</v>
      </c>
      <c r="H20" s="955">
        <f t="shared" si="4"/>
        <v>326749607.42000008</v>
      </c>
      <c r="I20" s="955">
        <f t="shared" si="4"/>
        <v>411117490.63999999</v>
      </c>
      <c r="J20" s="955">
        <f t="shared" si="4"/>
        <v>339945221.10000002</v>
      </c>
      <c r="K20" s="955">
        <f t="shared" si="4"/>
        <v>339984795.30000001</v>
      </c>
      <c r="L20" s="955">
        <f t="shared" si="4"/>
        <v>340021316.36000001</v>
      </c>
      <c r="M20" s="955">
        <f t="shared" si="4"/>
        <v>340104211.03000003</v>
      </c>
      <c r="N20" s="955">
        <f t="shared" si="4"/>
        <v>340124075.22999996</v>
      </c>
      <c r="O20" s="955">
        <f t="shared" si="4"/>
        <v>340145897.94999999</v>
      </c>
      <c r="P20" s="955">
        <f t="shared" si="4"/>
        <v>340214323.20999998</v>
      </c>
      <c r="Q20" s="955">
        <f t="shared" si="4"/>
        <v>315765911.44</v>
      </c>
    </row>
    <row r="21" spans="1:26">
      <c r="A21" s="699">
        <f t="shared" si="0"/>
        <v>15</v>
      </c>
      <c r="D21" s="78"/>
      <c r="E21" s="78"/>
      <c r="F21" s="78"/>
      <c r="G21" s="78"/>
      <c r="H21" s="78"/>
      <c r="I21" s="78"/>
      <c r="J21" s="78"/>
      <c r="K21" s="78"/>
      <c r="L21" s="78"/>
      <c r="M21" s="78"/>
      <c r="N21" s="78"/>
      <c r="O21" s="78"/>
      <c r="P21" s="78"/>
      <c r="Q21" s="78"/>
    </row>
    <row r="22" spans="1:26">
      <c r="A22" s="699">
        <f t="shared" si="0"/>
        <v>16</v>
      </c>
      <c r="B22" s="732" t="s">
        <v>46</v>
      </c>
      <c r="D22" s="78"/>
      <c r="E22" s="78"/>
      <c r="F22" s="78"/>
      <c r="G22" s="78"/>
      <c r="H22" s="78"/>
      <c r="I22" s="78"/>
      <c r="J22" s="78"/>
      <c r="K22" s="78"/>
      <c r="L22" s="78"/>
      <c r="M22" s="78"/>
      <c r="N22" s="78"/>
      <c r="O22" s="78"/>
      <c r="P22" s="78"/>
    </row>
    <row r="23" spans="1:26">
      <c r="A23" s="699">
        <f t="shared" si="0"/>
        <v>17</v>
      </c>
      <c r="B23" s="43" t="s">
        <v>563</v>
      </c>
      <c r="C23" s="43" t="s">
        <v>858</v>
      </c>
      <c r="D23" s="78"/>
      <c r="E23" s="78"/>
      <c r="F23" s="78"/>
      <c r="G23" s="78"/>
      <c r="H23" s="78"/>
      <c r="I23" s="78"/>
      <c r="J23" s="78"/>
      <c r="K23" s="78"/>
      <c r="L23" s="78"/>
      <c r="M23" s="78"/>
      <c r="N23" s="78"/>
      <c r="O23" s="78"/>
      <c r="P23" s="208">
        <v>15397694.010000002</v>
      </c>
    </row>
    <row r="24" spans="1:26">
      <c r="A24" s="699">
        <f t="shared" si="0"/>
        <v>18</v>
      </c>
      <c r="B24" s="206" t="s">
        <v>562</v>
      </c>
      <c r="C24" s="43"/>
      <c r="D24" s="78"/>
      <c r="E24" s="78"/>
      <c r="F24" s="78"/>
      <c r="G24" s="78"/>
      <c r="H24" s="78"/>
      <c r="I24" s="78"/>
      <c r="J24" s="78"/>
      <c r="K24" s="78"/>
      <c r="L24" s="78"/>
      <c r="M24" s="78"/>
      <c r="N24" s="78"/>
      <c r="O24" s="78"/>
      <c r="P24" s="208">
        <v>0</v>
      </c>
      <c r="Q24" s="527"/>
    </row>
    <row r="25" spans="1:26">
      <c r="A25" s="699">
        <f t="shared" si="0"/>
        <v>19</v>
      </c>
      <c r="B25" s="43" t="s">
        <v>567</v>
      </c>
      <c r="C25" s="43" t="s">
        <v>859</v>
      </c>
      <c r="D25" s="78"/>
      <c r="E25" s="78"/>
      <c r="F25" s="78"/>
      <c r="G25" s="78"/>
      <c r="H25" s="78"/>
      <c r="I25" s="78"/>
      <c r="J25" s="78"/>
      <c r="K25" s="78"/>
      <c r="L25" s="78"/>
      <c r="M25" s="78"/>
      <c r="N25" s="78"/>
      <c r="O25" s="78"/>
      <c r="P25" s="208">
        <v>660458.59</v>
      </c>
      <c r="Q25" s="527"/>
    </row>
    <row r="26" spans="1:26">
      <c r="A26" s="699">
        <f t="shared" si="0"/>
        <v>20</v>
      </c>
      <c r="B26" s="43" t="s">
        <v>619</v>
      </c>
      <c r="C26" s="43" t="s">
        <v>860</v>
      </c>
      <c r="D26" s="78"/>
      <c r="E26" s="78"/>
      <c r="F26" s="78"/>
      <c r="G26" s="78"/>
      <c r="H26" s="78"/>
      <c r="I26" s="78"/>
      <c r="J26" s="78"/>
      <c r="K26" s="78"/>
      <c r="L26" s="78"/>
      <c r="M26" s="78"/>
      <c r="N26" s="78"/>
      <c r="O26" s="78"/>
      <c r="P26" s="208">
        <v>301354.43000000005</v>
      </c>
      <c r="Q26" s="527"/>
    </row>
    <row r="27" spans="1:26">
      <c r="A27" s="699">
        <f t="shared" si="0"/>
        <v>21</v>
      </c>
      <c r="B27" s="206" t="s">
        <v>568</v>
      </c>
      <c r="C27" s="43" t="s">
        <v>861</v>
      </c>
      <c r="D27" s="78"/>
      <c r="E27" s="78"/>
      <c r="F27" s="78"/>
      <c r="G27" s="78"/>
      <c r="H27" s="78"/>
      <c r="I27" s="78"/>
      <c r="J27" s="78"/>
      <c r="K27" s="78"/>
      <c r="L27" s="78"/>
      <c r="M27" s="78"/>
      <c r="N27" s="78"/>
      <c r="O27" s="78"/>
      <c r="P27" s="208">
        <v>0</v>
      </c>
      <c r="Q27" s="527"/>
    </row>
    <row r="28" spans="1:26">
      <c r="A28" s="699">
        <f t="shared" si="0"/>
        <v>22</v>
      </c>
      <c r="B28" s="206" t="s">
        <v>620</v>
      </c>
      <c r="C28" s="43" t="s">
        <v>862</v>
      </c>
      <c r="D28" s="78"/>
      <c r="E28" s="78"/>
      <c r="F28" s="78"/>
      <c r="G28" s="78"/>
      <c r="H28" s="78"/>
      <c r="I28" s="78"/>
      <c r="J28" s="78"/>
      <c r="K28" s="78"/>
      <c r="L28" s="78"/>
      <c r="M28" s="78"/>
      <c r="N28" s="78"/>
      <c r="O28" s="78"/>
      <c r="P28" s="208">
        <v>0</v>
      </c>
      <c r="Q28" s="527"/>
    </row>
    <row r="29" spans="1:26" s="181" customFormat="1" ht="25.5" customHeight="1">
      <c r="A29" s="738">
        <f t="shared" si="0"/>
        <v>23</v>
      </c>
      <c r="B29" s="982" t="s">
        <v>824</v>
      </c>
      <c r="C29" s="563" t="s">
        <v>863</v>
      </c>
      <c r="D29" s="78"/>
      <c r="E29" s="78"/>
      <c r="F29" s="78"/>
      <c r="G29" s="78"/>
      <c r="H29" s="78"/>
      <c r="I29" s="78"/>
      <c r="J29" s="78"/>
      <c r="K29" s="78"/>
      <c r="L29" s="78"/>
      <c r="M29" s="78"/>
      <c r="N29" s="78"/>
      <c r="O29" s="78"/>
      <c r="P29" s="264">
        <v>0</v>
      </c>
      <c r="Q29" s="957"/>
      <c r="R29" s="44"/>
      <c r="S29" s="44"/>
      <c r="T29" s="44"/>
      <c r="U29" s="44"/>
      <c r="V29" s="44"/>
      <c r="W29" s="44"/>
      <c r="X29" s="44"/>
      <c r="Y29" s="44"/>
      <c r="Z29" s="44"/>
    </row>
    <row r="30" spans="1:26" ht="13.2" customHeight="1">
      <c r="A30" s="699">
        <f t="shared" si="0"/>
        <v>24</v>
      </c>
      <c r="B30" s="1043" t="s">
        <v>43</v>
      </c>
      <c r="C30" s="1157" t="str">
        <f>+"L"&amp;A23&amp;" - L"&amp;A24&amp;" + L"&amp;A25&amp;" + L"&amp;A26&amp;" - L"&amp;A27&amp;" - L"&amp;A28&amp;" + L"&amp;A29</f>
        <v>L17 - L18 + L19 + L20 - L21 - L22 + L23</v>
      </c>
      <c r="D30" s="78"/>
      <c r="E30" s="78"/>
      <c r="F30" s="78"/>
      <c r="G30" s="78"/>
      <c r="H30" s="78"/>
      <c r="I30" s="78"/>
      <c r="J30" s="78"/>
      <c r="K30" s="78"/>
      <c r="L30" s="78"/>
      <c r="M30" s="78"/>
      <c r="N30" s="78"/>
      <c r="O30" s="78"/>
      <c r="P30" s="269">
        <f>+P23-P24+P25+P26-P27-P28+P29</f>
        <v>16359507.030000001</v>
      </c>
      <c r="Q30" s="269"/>
    </row>
    <row r="31" spans="1:26">
      <c r="A31" s="699">
        <f t="shared" si="0"/>
        <v>25</v>
      </c>
      <c r="B31" s="43"/>
      <c r="C31" s="189"/>
      <c r="D31" s="78"/>
      <c r="E31" s="78"/>
      <c r="F31" s="78"/>
      <c r="G31" s="78"/>
      <c r="H31" s="78"/>
      <c r="I31" s="78"/>
      <c r="J31" s="78"/>
      <c r="K31" s="78"/>
      <c r="L31" s="78"/>
      <c r="M31" s="78"/>
      <c r="N31" s="78"/>
      <c r="O31" s="78"/>
      <c r="P31" s="78"/>
    </row>
    <row r="32" spans="1:26">
      <c r="A32" s="699">
        <f t="shared" si="0"/>
        <v>26</v>
      </c>
      <c r="B32" s="1042" t="s">
        <v>47</v>
      </c>
      <c r="C32" s="43"/>
      <c r="D32" s="78"/>
      <c r="E32" s="78"/>
      <c r="F32" s="78"/>
      <c r="G32" s="78"/>
      <c r="H32" s="78"/>
      <c r="I32" s="78"/>
      <c r="J32" s="78"/>
      <c r="K32" s="78"/>
      <c r="L32" s="78"/>
      <c r="M32" s="78"/>
      <c r="N32" s="78"/>
      <c r="O32" s="78"/>
      <c r="P32" s="78"/>
    </row>
    <row r="33" spans="1:26">
      <c r="A33" s="699">
        <f t="shared" si="0"/>
        <v>27</v>
      </c>
      <c r="B33" s="43" t="s">
        <v>566</v>
      </c>
      <c r="C33" s="43" t="s">
        <v>681</v>
      </c>
      <c r="D33" s="208">
        <v>19779800</v>
      </c>
      <c r="E33" s="208">
        <v>19779800</v>
      </c>
      <c r="F33" s="208">
        <v>19779800</v>
      </c>
      <c r="G33" s="208">
        <v>19779800</v>
      </c>
      <c r="H33" s="208">
        <v>19779800</v>
      </c>
      <c r="I33" s="208">
        <v>19779800</v>
      </c>
      <c r="J33" s="208">
        <v>19779800</v>
      </c>
      <c r="K33" s="208">
        <v>19779800</v>
      </c>
      <c r="L33" s="208">
        <v>19779800</v>
      </c>
      <c r="M33" s="208">
        <v>19779800</v>
      </c>
      <c r="N33" s="208">
        <v>19779800</v>
      </c>
      <c r="O33" s="208">
        <v>19779800</v>
      </c>
      <c r="P33" s="208">
        <v>19779800</v>
      </c>
      <c r="Q33" s="78">
        <f t="shared" ref="Q33:Q38" si="5">SUM(D33:P33)/13</f>
        <v>19779800</v>
      </c>
    </row>
    <row r="34" spans="1:26">
      <c r="A34" s="699">
        <f t="shared" si="0"/>
        <v>28</v>
      </c>
      <c r="B34" s="43" t="s">
        <v>856</v>
      </c>
      <c r="C34" s="43" t="s">
        <v>688</v>
      </c>
      <c r="D34" s="208">
        <v>337553.1</v>
      </c>
      <c r="E34" s="208">
        <v>337553.1</v>
      </c>
      <c r="F34" s="208">
        <v>337553.1</v>
      </c>
      <c r="G34" s="208">
        <v>337553.1</v>
      </c>
      <c r="H34" s="208">
        <v>337553.1</v>
      </c>
      <c r="I34" s="208">
        <v>337553.1</v>
      </c>
      <c r="J34" s="208">
        <v>337553.1</v>
      </c>
      <c r="K34" s="208">
        <v>337553.1</v>
      </c>
      <c r="L34" s="208">
        <v>337553.1</v>
      </c>
      <c r="M34" s="208">
        <v>337553.1</v>
      </c>
      <c r="N34" s="208">
        <v>337553.1</v>
      </c>
      <c r="O34" s="208">
        <v>337553.1</v>
      </c>
      <c r="P34" s="208">
        <v>337553.1</v>
      </c>
      <c r="Q34" s="78">
        <f t="shared" si="5"/>
        <v>337553.10000000003</v>
      </c>
    </row>
    <row r="35" spans="1:26">
      <c r="A35" s="699">
        <f t="shared" si="0"/>
        <v>29</v>
      </c>
      <c r="B35" s="43" t="s">
        <v>915</v>
      </c>
      <c r="C35" s="43" t="s">
        <v>689</v>
      </c>
      <c r="D35" s="208">
        <v>0</v>
      </c>
      <c r="E35" s="208">
        <v>0</v>
      </c>
      <c r="F35" s="208">
        <v>0</v>
      </c>
      <c r="G35" s="208">
        <v>0</v>
      </c>
      <c r="H35" s="208">
        <v>0</v>
      </c>
      <c r="I35" s="208">
        <v>0</v>
      </c>
      <c r="J35" s="208">
        <v>0</v>
      </c>
      <c r="K35" s="208">
        <v>0</v>
      </c>
      <c r="L35" s="208">
        <v>0</v>
      </c>
      <c r="M35" s="208">
        <v>0</v>
      </c>
      <c r="N35" s="208">
        <v>0</v>
      </c>
      <c r="O35" s="208">
        <v>0</v>
      </c>
      <c r="P35" s="208">
        <v>0</v>
      </c>
      <c r="Q35" s="78">
        <f t="shared" si="5"/>
        <v>0</v>
      </c>
    </row>
    <row r="36" spans="1:26">
      <c r="A36" s="699">
        <f t="shared" si="0"/>
        <v>30</v>
      </c>
      <c r="B36" s="1361" t="s">
        <v>916</v>
      </c>
      <c r="C36" s="43" t="s">
        <v>690</v>
      </c>
      <c r="D36" s="208">
        <v>0</v>
      </c>
      <c r="E36" s="208">
        <v>0</v>
      </c>
      <c r="F36" s="208">
        <v>0</v>
      </c>
      <c r="G36" s="208">
        <v>0</v>
      </c>
      <c r="H36" s="208">
        <v>0</v>
      </c>
      <c r="I36" s="208">
        <v>0</v>
      </c>
      <c r="J36" s="208">
        <v>0</v>
      </c>
      <c r="K36" s="208">
        <v>0</v>
      </c>
      <c r="L36" s="208">
        <v>0</v>
      </c>
      <c r="M36" s="208">
        <v>0</v>
      </c>
      <c r="N36" s="208">
        <v>0</v>
      </c>
      <c r="O36" s="208">
        <v>0</v>
      </c>
      <c r="P36" s="208">
        <v>0</v>
      </c>
      <c r="Q36" s="78">
        <f t="shared" si="5"/>
        <v>0</v>
      </c>
    </row>
    <row r="37" spans="1:26">
      <c r="A37" s="699">
        <f t="shared" si="0"/>
        <v>31</v>
      </c>
      <c r="B37" s="1361" t="s">
        <v>855</v>
      </c>
      <c r="C37" s="43" t="s">
        <v>691</v>
      </c>
      <c r="D37" s="208">
        <v>113632</v>
      </c>
      <c r="E37" s="208">
        <v>113632</v>
      </c>
      <c r="F37" s="208">
        <v>113632</v>
      </c>
      <c r="G37" s="208">
        <v>113632</v>
      </c>
      <c r="H37" s="208">
        <v>113632</v>
      </c>
      <c r="I37" s="208">
        <v>113632</v>
      </c>
      <c r="J37" s="208">
        <v>113632</v>
      </c>
      <c r="K37" s="208">
        <v>113632</v>
      </c>
      <c r="L37" s="208">
        <v>113632</v>
      </c>
      <c r="M37" s="208">
        <v>113632</v>
      </c>
      <c r="N37" s="208">
        <v>113632</v>
      </c>
      <c r="O37" s="208">
        <v>113632</v>
      </c>
      <c r="P37" s="208">
        <v>113632</v>
      </c>
      <c r="Q37" s="78">
        <f t="shared" si="5"/>
        <v>113632</v>
      </c>
    </row>
    <row r="38" spans="1:26">
      <c r="A38" s="699">
        <f t="shared" si="0"/>
        <v>32</v>
      </c>
      <c r="B38" s="1361" t="s">
        <v>917</v>
      </c>
      <c r="C38" s="43" t="s">
        <v>692</v>
      </c>
      <c r="D38" s="264">
        <v>0</v>
      </c>
      <c r="E38" s="264">
        <v>0</v>
      </c>
      <c r="F38" s="264">
        <v>0</v>
      </c>
      <c r="G38" s="264">
        <v>0</v>
      </c>
      <c r="H38" s="264">
        <v>0</v>
      </c>
      <c r="I38" s="264">
        <v>0</v>
      </c>
      <c r="J38" s="264">
        <v>0</v>
      </c>
      <c r="K38" s="264">
        <v>0</v>
      </c>
      <c r="L38" s="264">
        <v>0</v>
      </c>
      <c r="M38" s="264">
        <v>0</v>
      </c>
      <c r="N38" s="264">
        <v>0</v>
      </c>
      <c r="O38" s="264">
        <v>0</v>
      </c>
      <c r="P38" s="264">
        <v>0</v>
      </c>
      <c r="Q38" s="564">
        <f t="shared" si="5"/>
        <v>0</v>
      </c>
    </row>
    <row r="39" spans="1:26">
      <c r="A39" s="699">
        <f t="shared" si="0"/>
        <v>33</v>
      </c>
      <c r="B39" s="1043" t="s">
        <v>48</v>
      </c>
      <c r="C39" s="954" t="str">
        <f>+"L"&amp;A33&amp;"+L"&amp;A34&amp;"+L"&amp;A35&amp;"-L"&amp;A36&amp;"-L"&amp;A37&amp;"-L"&amp;A38</f>
        <v>L27+L28+L29-L30-L31-L32</v>
      </c>
      <c r="D39" s="78">
        <f t="shared" ref="D39:Q39" si="6">+D33-D38+D34+D35-D36-D37</f>
        <v>20003721.100000001</v>
      </c>
      <c r="E39" s="78">
        <f t="shared" si="6"/>
        <v>20003721.100000001</v>
      </c>
      <c r="F39" s="78">
        <f t="shared" si="6"/>
        <v>20003721.100000001</v>
      </c>
      <c r="G39" s="78">
        <f t="shared" si="6"/>
        <v>20003721.100000001</v>
      </c>
      <c r="H39" s="78">
        <f t="shared" si="6"/>
        <v>20003721.100000001</v>
      </c>
      <c r="I39" s="78">
        <f t="shared" si="6"/>
        <v>20003721.100000001</v>
      </c>
      <c r="J39" s="78">
        <f t="shared" si="6"/>
        <v>20003721.100000001</v>
      </c>
      <c r="K39" s="78">
        <f t="shared" si="6"/>
        <v>20003721.100000001</v>
      </c>
      <c r="L39" s="78">
        <f t="shared" si="6"/>
        <v>20003721.100000001</v>
      </c>
      <c r="M39" s="78">
        <f t="shared" si="6"/>
        <v>20003721.100000001</v>
      </c>
      <c r="N39" s="78">
        <f t="shared" si="6"/>
        <v>20003721.100000001</v>
      </c>
      <c r="O39" s="78">
        <f t="shared" si="6"/>
        <v>20003721.100000001</v>
      </c>
      <c r="P39" s="78">
        <f t="shared" si="6"/>
        <v>20003721.100000001</v>
      </c>
      <c r="Q39" s="78">
        <f t="shared" si="6"/>
        <v>20003721.100000001</v>
      </c>
    </row>
    <row r="40" spans="1:26">
      <c r="A40" s="699">
        <f t="shared" si="0"/>
        <v>34</v>
      </c>
      <c r="B40" s="74"/>
      <c r="C40" s="74"/>
      <c r="D40" s="78"/>
      <c r="E40" s="78"/>
      <c r="F40" s="78"/>
      <c r="G40" s="78"/>
      <c r="H40" s="78"/>
      <c r="I40" s="78"/>
      <c r="J40" s="78"/>
      <c r="K40" s="78"/>
      <c r="L40" s="78"/>
      <c r="M40" s="78"/>
      <c r="N40" s="78"/>
      <c r="O40" s="78"/>
      <c r="P40" s="78"/>
      <c r="Q40" s="78"/>
    </row>
    <row r="41" spans="1:26">
      <c r="A41" s="699">
        <f t="shared" si="0"/>
        <v>35</v>
      </c>
      <c r="B41" s="45" t="s">
        <v>682</v>
      </c>
      <c r="C41" s="43" t="s">
        <v>864</v>
      </c>
      <c r="D41" s="78"/>
      <c r="E41" s="78"/>
      <c r="F41" s="78"/>
      <c r="G41" s="78"/>
      <c r="H41" s="78"/>
      <c r="I41" s="78"/>
      <c r="J41" s="78"/>
      <c r="K41" s="78"/>
      <c r="L41" s="78"/>
      <c r="M41" s="78"/>
      <c r="N41" s="78"/>
      <c r="O41" s="78"/>
      <c r="P41" s="208">
        <v>964740.5199999999</v>
      </c>
      <c r="Q41" s="78"/>
    </row>
    <row r="42" spans="1:26">
      <c r="A42" s="699">
        <f t="shared" si="0"/>
        <v>36</v>
      </c>
      <c r="B42" s="43"/>
      <c r="C42" s="43"/>
      <c r="D42" s="78"/>
      <c r="E42" s="78"/>
      <c r="F42" s="78"/>
      <c r="G42" s="78"/>
      <c r="H42" s="78"/>
      <c r="I42" s="78"/>
      <c r="J42" s="78"/>
      <c r="K42" s="78"/>
      <c r="L42" s="78"/>
      <c r="M42" s="78"/>
      <c r="N42" s="78"/>
      <c r="O42" s="78"/>
      <c r="P42" s="78"/>
      <c r="Q42" s="78"/>
    </row>
    <row r="43" spans="1:26">
      <c r="A43" s="699">
        <f t="shared" si="0"/>
        <v>37</v>
      </c>
      <c r="B43" s="956" t="s">
        <v>54</v>
      </c>
      <c r="C43" s="43"/>
      <c r="D43" s="78"/>
      <c r="E43" s="78"/>
      <c r="F43" s="78"/>
      <c r="G43" s="78"/>
      <c r="H43" s="78"/>
      <c r="I43" s="78"/>
      <c r="J43" s="78"/>
      <c r="K43" s="78"/>
      <c r="L43" s="78"/>
      <c r="M43" s="78"/>
      <c r="N43" s="78"/>
      <c r="O43" s="78"/>
      <c r="P43" s="78"/>
      <c r="Q43" s="78"/>
    </row>
    <row r="44" spans="1:26">
      <c r="A44" s="699">
        <f t="shared" si="0"/>
        <v>38</v>
      </c>
      <c r="B44" s="43" t="s">
        <v>116</v>
      </c>
      <c r="C44" s="43" t="s">
        <v>683</v>
      </c>
      <c r="D44" s="208">
        <v>369811390</v>
      </c>
      <c r="E44" s="208">
        <v>373453409.11000001</v>
      </c>
      <c r="F44" s="208">
        <v>377013935.06999993</v>
      </c>
      <c r="G44" s="208">
        <v>428487447.32999998</v>
      </c>
      <c r="H44" s="208">
        <v>430021348.99666703</v>
      </c>
      <c r="I44" s="208">
        <v>431555250.66333294</v>
      </c>
      <c r="J44" s="208">
        <v>433089152.32999998</v>
      </c>
      <c r="K44" s="208">
        <v>438575803.32999963</v>
      </c>
      <c r="L44" s="208">
        <v>444062454.33000034</v>
      </c>
      <c r="M44" s="208">
        <v>449549105.32999998</v>
      </c>
      <c r="N44" s="208">
        <v>448607814.66333371</v>
      </c>
      <c r="O44" s="208">
        <v>447666523.99666625</v>
      </c>
      <c r="P44" s="208">
        <v>446725233.32999998</v>
      </c>
      <c r="Q44" s="78">
        <f t="shared" ref="Q44:Q47" si="7">SUM(D44:P44)/13</f>
        <v>424509143.72923064</v>
      </c>
    </row>
    <row r="45" spans="1:26">
      <c r="A45" s="699">
        <f t="shared" si="0"/>
        <v>39</v>
      </c>
      <c r="B45" s="206" t="s">
        <v>485</v>
      </c>
      <c r="C45" s="43" t="str">
        <f>+"L"&amp;A39&amp;" Above"</f>
        <v>L33 Above</v>
      </c>
      <c r="D45" s="78">
        <f>D39</f>
        <v>20003721.100000001</v>
      </c>
      <c r="E45" s="78">
        <f t="shared" ref="E45:O45" si="8">E39</f>
        <v>20003721.100000001</v>
      </c>
      <c r="F45" s="78">
        <f t="shared" si="8"/>
        <v>20003721.100000001</v>
      </c>
      <c r="G45" s="78">
        <f t="shared" si="8"/>
        <v>20003721.100000001</v>
      </c>
      <c r="H45" s="78">
        <f t="shared" si="8"/>
        <v>20003721.100000001</v>
      </c>
      <c r="I45" s="78">
        <f t="shared" si="8"/>
        <v>20003721.100000001</v>
      </c>
      <c r="J45" s="78">
        <f t="shared" si="8"/>
        <v>20003721.100000001</v>
      </c>
      <c r="K45" s="78">
        <f t="shared" si="8"/>
        <v>20003721.100000001</v>
      </c>
      <c r="L45" s="78">
        <f t="shared" si="8"/>
        <v>20003721.100000001</v>
      </c>
      <c r="M45" s="78">
        <f t="shared" si="8"/>
        <v>20003721.100000001</v>
      </c>
      <c r="N45" s="78">
        <f t="shared" si="8"/>
        <v>20003721.100000001</v>
      </c>
      <c r="O45" s="78">
        <f t="shared" si="8"/>
        <v>20003721.100000001</v>
      </c>
      <c r="P45" s="78">
        <f>P39</f>
        <v>20003721.100000001</v>
      </c>
      <c r="Q45" s="78">
        <f t="shared" si="7"/>
        <v>20003721.099999998</v>
      </c>
    </row>
    <row r="46" spans="1:26" s="181" customFormat="1" ht="26.25" customHeight="1">
      <c r="A46" s="738">
        <f t="shared" si="0"/>
        <v>40</v>
      </c>
      <c r="B46" s="982" t="s">
        <v>621</v>
      </c>
      <c r="C46" s="563" t="s">
        <v>684</v>
      </c>
      <c r="D46" s="739">
        <v>1565</v>
      </c>
      <c r="E46" s="739">
        <v>3603</v>
      </c>
      <c r="F46" s="739">
        <v>5641</v>
      </c>
      <c r="G46" s="739">
        <v>7679</v>
      </c>
      <c r="H46" s="739">
        <v>-94877</v>
      </c>
      <c r="I46" s="739">
        <v>-197433</v>
      </c>
      <c r="J46" s="739">
        <v>-299989</v>
      </c>
      <c r="K46" s="739">
        <v>-298580.33333333302</v>
      </c>
      <c r="L46" s="739">
        <v>-297171.66666666698</v>
      </c>
      <c r="M46" s="739">
        <v>-295763</v>
      </c>
      <c r="N46" s="739">
        <v>-197175.33333333299</v>
      </c>
      <c r="O46" s="739">
        <v>-98587.666666666599</v>
      </c>
      <c r="P46" s="739">
        <v>0</v>
      </c>
      <c r="Q46" s="78">
        <f t="shared" si="7"/>
        <v>-135468.38461538457</v>
      </c>
      <c r="R46" s="44"/>
      <c r="S46" s="44"/>
      <c r="T46" s="44"/>
      <c r="U46" s="44"/>
      <c r="V46" s="44"/>
      <c r="W46" s="44"/>
      <c r="X46" s="44"/>
      <c r="Y46" s="44"/>
      <c r="Z46" s="44"/>
    </row>
    <row r="47" spans="1:26">
      <c r="A47" s="699">
        <f t="shared" si="0"/>
        <v>41</v>
      </c>
      <c r="B47" s="206" t="s">
        <v>572</v>
      </c>
      <c r="C47" s="43" t="s">
        <v>685</v>
      </c>
      <c r="D47" s="208">
        <v>0</v>
      </c>
      <c r="E47" s="208">
        <v>0</v>
      </c>
      <c r="F47" s="208">
        <v>0</v>
      </c>
      <c r="G47" s="208">
        <v>0</v>
      </c>
      <c r="H47" s="208">
        <v>0</v>
      </c>
      <c r="I47" s="208">
        <v>0</v>
      </c>
      <c r="J47" s="208">
        <v>0</v>
      </c>
      <c r="K47" s="208">
        <v>0</v>
      </c>
      <c r="L47" s="208">
        <v>0</v>
      </c>
      <c r="M47" s="208">
        <v>0</v>
      </c>
      <c r="N47" s="208">
        <v>0</v>
      </c>
      <c r="O47" s="208">
        <v>0</v>
      </c>
      <c r="P47" s="208">
        <v>0</v>
      </c>
      <c r="Q47" s="78">
        <f t="shared" si="7"/>
        <v>0</v>
      </c>
    </row>
    <row r="48" spans="1:26">
      <c r="A48" s="699">
        <f t="shared" si="0"/>
        <v>42</v>
      </c>
      <c r="B48" s="1043" t="s">
        <v>45</v>
      </c>
      <c r="C48" s="954" t="str">
        <f>+"L"&amp;A44&amp;" - (L"&amp;A45&amp;" to L"&amp;A47&amp;")"</f>
        <v>L38 - (L39 to L41)</v>
      </c>
      <c r="D48" s="955">
        <f>+D44-D45-D46-D47</f>
        <v>349806103.89999998</v>
      </c>
      <c r="E48" s="955">
        <f t="shared" ref="E48:Q48" si="9">+E44-E45-E46-E47</f>
        <v>353446085.00999999</v>
      </c>
      <c r="F48" s="955">
        <f t="shared" si="9"/>
        <v>357004572.96999991</v>
      </c>
      <c r="G48" s="955">
        <f t="shared" si="9"/>
        <v>408476047.22999996</v>
      </c>
      <c r="H48" s="955">
        <f t="shared" si="9"/>
        <v>410112504.896667</v>
      </c>
      <c r="I48" s="955">
        <f t="shared" si="9"/>
        <v>411748962.56333292</v>
      </c>
      <c r="J48" s="955">
        <f t="shared" si="9"/>
        <v>413385420.22999996</v>
      </c>
      <c r="K48" s="955">
        <f t="shared" si="9"/>
        <v>418870662.56333292</v>
      </c>
      <c r="L48" s="955">
        <f t="shared" si="9"/>
        <v>424355904.896667</v>
      </c>
      <c r="M48" s="955">
        <f t="shared" si="9"/>
        <v>429841147.22999996</v>
      </c>
      <c r="N48" s="955">
        <f t="shared" si="9"/>
        <v>428801268.896667</v>
      </c>
      <c r="O48" s="955">
        <f t="shared" si="9"/>
        <v>427761390.56333292</v>
      </c>
      <c r="P48" s="955">
        <f t="shared" si="9"/>
        <v>426721512.22999996</v>
      </c>
      <c r="Q48" s="955">
        <f t="shared" si="9"/>
        <v>404640891.01384598</v>
      </c>
    </row>
    <row r="49" spans="1:26" s="735" customFormat="1">
      <c r="A49" s="734"/>
      <c r="B49" s="992"/>
      <c r="C49" s="992"/>
      <c r="D49" s="737"/>
      <c r="E49" s="737"/>
      <c r="F49" s="737"/>
      <c r="G49" s="737"/>
      <c r="H49" s="737"/>
      <c r="I49" s="737"/>
      <c r="J49" s="737"/>
      <c r="K49" s="737"/>
      <c r="L49" s="737"/>
      <c r="M49" s="737"/>
      <c r="N49" s="737"/>
      <c r="O49" s="737"/>
      <c r="P49" s="737"/>
      <c r="Q49" s="737"/>
      <c r="R49" s="44"/>
      <c r="S49" s="44"/>
      <c r="T49" s="44"/>
      <c r="U49" s="44"/>
      <c r="V49" s="44"/>
      <c r="W49" s="44"/>
      <c r="X49" s="44"/>
      <c r="Y49" s="44"/>
      <c r="Z49" s="44"/>
    </row>
    <row r="50" spans="1:26">
      <c r="A50" s="699" t="s">
        <v>125</v>
      </c>
      <c r="B50" s="43"/>
      <c r="C50" s="43"/>
      <c r="D50" s="78"/>
      <c r="E50" s="78"/>
      <c r="F50" s="78"/>
      <c r="G50" s="78"/>
      <c r="H50" s="78"/>
      <c r="I50" s="78"/>
      <c r="J50" s="78"/>
      <c r="K50" s="78"/>
      <c r="L50" s="78"/>
      <c r="M50" s="78"/>
      <c r="N50" s="78"/>
      <c r="O50" s="78"/>
      <c r="P50" s="256"/>
      <c r="Q50" s="78"/>
    </row>
    <row r="51" spans="1:26">
      <c r="A51" s="960" t="s">
        <v>171</v>
      </c>
      <c r="B51" s="563" t="s">
        <v>554</v>
      </c>
      <c r="C51" s="563"/>
      <c r="D51" s="563"/>
      <c r="E51" s="563"/>
      <c r="F51" s="563"/>
      <c r="G51" s="563"/>
      <c r="H51" s="563"/>
      <c r="I51" s="563"/>
      <c r="J51" s="563"/>
      <c r="K51" s="563"/>
      <c r="L51" s="563"/>
      <c r="M51" s="563"/>
      <c r="N51" s="563"/>
      <c r="O51" s="563"/>
      <c r="P51" s="563"/>
      <c r="Q51" s="959"/>
    </row>
    <row r="52" spans="1:26" s="43" customFormat="1">
      <c r="A52" s="960" t="s">
        <v>320</v>
      </c>
      <c r="B52" s="563" t="s">
        <v>843</v>
      </c>
      <c r="C52" s="563"/>
      <c r="D52" s="563"/>
      <c r="E52" s="563"/>
      <c r="F52" s="563"/>
      <c r="G52" s="563"/>
      <c r="H52" s="563"/>
      <c r="I52" s="563"/>
      <c r="J52" s="563"/>
      <c r="K52" s="563"/>
      <c r="L52" s="563"/>
      <c r="M52" s="563"/>
      <c r="N52" s="563"/>
      <c r="O52" s="563"/>
      <c r="P52" s="563"/>
      <c r="Q52" s="959"/>
      <c r="R52" s="959"/>
      <c r="S52" s="959"/>
      <c r="T52" s="959"/>
    </row>
    <row r="53" spans="1:26" s="43" customFormat="1">
      <c r="A53" s="960" t="s">
        <v>321</v>
      </c>
      <c r="B53" s="563" t="s">
        <v>825</v>
      </c>
      <c r="C53" s="563"/>
      <c r="D53" s="563"/>
      <c r="E53" s="563"/>
      <c r="F53" s="563"/>
      <c r="G53" s="563"/>
      <c r="H53" s="563"/>
      <c r="I53" s="563"/>
      <c r="J53" s="563"/>
      <c r="K53" s="563"/>
      <c r="L53" s="563"/>
      <c r="M53" s="563"/>
      <c r="N53" s="563"/>
      <c r="O53" s="563"/>
      <c r="P53" s="563"/>
      <c r="Q53" s="959"/>
    </row>
    <row r="54" spans="1:26" s="43" customFormat="1">
      <c r="A54" s="1198" t="s">
        <v>322</v>
      </c>
      <c r="B54" s="43" t="s">
        <v>911</v>
      </c>
      <c r="D54" s="227"/>
      <c r="E54" s="227"/>
      <c r="F54" s="227"/>
      <c r="G54" s="227"/>
      <c r="H54" s="227"/>
      <c r="I54" s="227"/>
      <c r="J54" s="227"/>
      <c r="K54" s="227"/>
      <c r="L54" s="227"/>
      <c r="M54" s="227"/>
      <c r="N54" s="227"/>
      <c r="O54" s="227"/>
      <c r="Q54" s="78"/>
    </row>
    <row r="55" spans="1:26" s="43" customFormat="1" ht="15">
      <c r="A55" s="1361"/>
      <c r="B55" s="1381"/>
      <c r="C55" s="1381"/>
      <c r="D55" s="1382"/>
      <c r="E55" s="924"/>
      <c r="F55" s="227"/>
      <c r="G55" s="227"/>
      <c r="H55" s="227"/>
      <c r="I55" s="227"/>
      <c r="J55" s="227"/>
      <c r="K55" s="227"/>
      <c r="L55" s="227"/>
      <c r="M55" s="227"/>
      <c r="N55" s="227"/>
      <c r="O55" s="227"/>
      <c r="Q55" s="78"/>
    </row>
    <row r="56" spans="1:26" s="43" customFormat="1">
      <c r="A56" s="1361"/>
      <c r="B56" s="925"/>
      <c r="C56" s="859"/>
      <c r="D56" s="78"/>
      <c r="E56" s="78"/>
      <c r="Q56" s="78"/>
    </row>
    <row r="57" spans="1:26" s="43" customFormat="1">
      <c r="A57" s="1361"/>
      <c r="B57" s="925"/>
      <c r="C57" s="859"/>
      <c r="D57" s="78"/>
      <c r="E57" s="78"/>
      <c r="Q57" s="78"/>
    </row>
  </sheetData>
  <mergeCells count="3">
    <mergeCell ref="A1:C1"/>
    <mergeCell ref="A2:C2"/>
    <mergeCell ref="A3:C3"/>
  </mergeCells>
  <phoneticPr fontId="67" type="noConversion"/>
  <pageMargins left="0.7" right="0.7" top="0.7" bottom="0.7" header="0.3" footer="0.5"/>
  <pageSetup scale="66" orientation="landscape"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20"/>
  <sheetViews>
    <sheetView workbookViewId="0">
      <selection activeCell="L6" sqref="L6"/>
    </sheetView>
  </sheetViews>
  <sheetFormatPr defaultColWidth="9.109375" defaultRowHeight="13.2"/>
  <cols>
    <col min="1" max="1" width="5.33203125" style="687" customWidth="1"/>
    <col min="2" max="2" width="48.33203125" style="188" bestFit="1" customWidth="1"/>
    <col min="3" max="3" width="11.5546875" style="188" customWidth="1"/>
    <col min="4" max="4" width="17.33203125" style="188" bestFit="1" customWidth="1"/>
    <col min="5" max="5" width="13.6640625" style="188" bestFit="1" customWidth="1"/>
    <col min="6" max="7" width="14.109375" style="188" bestFit="1" customWidth="1"/>
    <col min="8" max="249" width="9.109375" style="188"/>
    <col min="250" max="250" width="24.88671875" style="188" customWidth="1"/>
    <col min="251" max="256" width="17.88671875" style="188" customWidth="1"/>
    <col min="257" max="257" width="15.5546875" style="188" bestFit="1" customWidth="1"/>
    <col min="258" max="258" width="8.6640625" style="188" customWidth="1"/>
    <col min="259" max="259" width="14.5546875" style="188" bestFit="1" customWidth="1"/>
    <col min="260" max="505" width="9.109375" style="188"/>
    <col min="506" max="506" width="24.88671875" style="188" customWidth="1"/>
    <col min="507" max="512" width="17.88671875" style="188" customWidth="1"/>
    <col min="513" max="513" width="15.5546875" style="188" bestFit="1" customWidth="1"/>
    <col min="514" max="514" width="8.6640625" style="188" customWidth="1"/>
    <col min="515" max="515" width="14.5546875" style="188" bestFit="1" customWidth="1"/>
    <col min="516" max="761" width="9.109375" style="188"/>
    <col min="762" max="762" width="24.88671875" style="188" customWidth="1"/>
    <col min="763" max="768" width="17.88671875" style="188" customWidth="1"/>
    <col min="769" max="769" width="15.5546875" style="188" bestFit="1" customWidth="1"/>
    <col min="770" max="770" width="8.6640625" style="188" customWidth="1"/>
    <col min="771" max="771" width="14.5546875" style="188" bestFit="1" customWidth="1"/>
    <col min="772" max="1017" width="9.109375" style="188"/>
    <col min="1018" max="1018" width="24.88671875" style="188" customWidth="1"/>
    <col min="1019" max="1024" width="17.88671875" style="188" customWidth="1"/>
    <col min="1025" max="1025" width="15.5546875" style="188" bestFit="1" customWidth="1"/>
    <col min="1026" max="1026" width="8.6640625" style="188" customWidth="1"/>
    <col min="1027" max="1027" width="14.5546875" style="188" bestFit="1" customWidth="1"/>
    <col min="1028" max="1273" width="9.109375" style="188"/>
    <col min="1274" max="1274" width="24.88671875" style="188" customWidth="1"/>
    <col min="1275" max="1280" width="17.88671875" style="188" customWidth="1"/>
    <col min="1281" max="1281" width="15.5546875" style="188" bestFit="1" customWidth="1"/>
    <col min="1282" max="1282" width="8.6640625" style="188" customWidth="1"/>
    <col min="1283" max="1283" width="14.5546875" style="188" bestFit="1" customWidth="1"/>
    <col min="1284" max="1529" width="9.109375" style="188"/>
    <col min="1530" max="1530" width="24.88671875" style="188" customWidth="1"/>
    <col min="1531" max="1536" width="17.88671875" style="188" customWidth="1"/>
    <col min="1537" max="1537" width="15.5546875" style="188" bestFit="1" customWidth="1"/>
    <col min="1538" max="1538" width="8.6640625" style="188" customWidth="1"/>
    <col min="1539" max="1539" width="14.5546875" style="188" bestFit="1" customWidth="1"/>
    <col min="1540" max="1785" width="9.109375" style="188"/>
    <col min="1786" max="1786" width="24.88671875" style="188" customWidth="1"/>
    <col min="1787" max="1792" width="17.88671875" style="188" customWidth="1"/>
    <col min="1793" max="1793" width="15.5546875" style="188" bestFit="1" customWidth="1"/>
    <col min="1794" max="1794" width="8.6640625" style="188" customWidth="1"/>
    <col min="1795" max="1795" width="14.5546875" style="188" bestFit="1" customWidth="1"/>
    <col min="1796" max="2041" width="9.109375" style="188"/>
    <col min="2042" max="2042" width="24.88671875" style="188" customWidth="1"/>
    <col min="2043" max="2048" width="17.88671875" style="188" customWidth="1"/>
    <col min="2049" max="2049" width="15.5546875" style="188" bestFit="1" customWidth="1"/>
    <col min="2050" max="2050" width="8.6640625" style="188" customWidth="1"/>
    <col min="2051" max="2051" width="14.5546875" style="188" bestFit="1" customWidth="1"/>
    <col min="2052" max="2297" width="9.109375" style="188"/>
    <col min="2298" max="2298" width="24.88671875" style="188" customWidth="1"/>
    <col min="2299" max="2304" width="17.88671875" style="188" customWidth="1"/>
    <col min="2305" max="2305" width="15.5546875" style="188" bestFit="1" customWidth="1"/>
    <col min="2306" max="2306" width="8.6640625" style="188" customWidth="1"/>
    <col min="2307" max="2307" width="14.5546875" style="188" bestFit="1" customWidth="1"/>
    <col min="2308" max="2553" width="9.109375" style="188"/>
    <col min="2554" max="2554" width="24.88671875" style="188" customWidth="1"/>
    <col min="2555" max="2560" width="17.88671875" style="188" customWidth="1"/>
    <col min="2561" max="2561" width="15.5546875" style="188" bestFit="1" customWidth="1"/>
    <col min="2562" max="2562" width="8.6640625" style="188" customWidth="1"/>
    <col min="2563" max="2563" width="14.5546875" style="188" bestFit="1" customWidth="1"/>
    <col min="2564" max="2809" width="9.109375" style="188"/>
    <col min="2810" max="2810" width="24.88671875" style="188" customWidth="1"/>
    <col min="2811" max="2816" width="17.88671875" style="188" customWidth="1"/>
    <col min="2817" max="2817" width="15.5546875" style="188" bestFit="1" customWidth="1"/>
    <col min="2818" max="2818" width="8.6640625" style="188" customWidth="1"/>
    <col min="2819" max="2819" width="14.5546875" style="188" bestFit="1" customWidth="1"/>
    <col min="2820" max="3065" width="9.109375" style="188"/>
    <col min="3066" max="3066" width="24.88671875" style="188" customWidth="1"/>
    <col min="3067" max="3072" width="17.88671875" style="188" customWidth="1"/>
    <col min="3073" max="3073" width="15.5546875" style="188" bestFit="1" customWidth="1"/>
    <col min="3074" max="3074" width="8.6640625" style="188" customWidth="1"/>
    <col min="3075" max="3075" width="14.5546875" style="188" bestFit="1" customWidth="1"/>
    <col min="3076" max="3321" width="9.109375" style="188"/>
    <col min="3322" max="3322" width="24.88671875" style="188" customWidth="1"/>
    <col min="3323" max="3328" width="17.88671875" style="188" customWidth="1"/>
    <col min="3329" max="3329" width="15.5546875" style="188" bestFit="1" customWidth="1"/>
    <col min="3330" max="3330" width="8.6640625" style="188" customWidth="1"/>
    <col min="3331" max="3331" width="14.5546875" style="188" bestFit="1" customWidth="1"/>
    <col min="3332" max="3577" width="9.109375" style="188"/>
    <col min="3578" max="3578" width="24.88671875" style="188" customWidth="1"/>
    <col min="3579" max="3584" width="17.88671875" style="188" customWidth="1"/>
    <col min="3585" max="3585" width="15.5546875" style="188" bestFit="1" customWidth="1"/>
    <col min="3586" max="3586" width="8.6640625" style="188" customWidth="1"/>
    <col min="3587" max="3587" width="14.5546875" style="188" bestFit="1" customWidth="1"/>
    <col min="3588" max="3833" width="9.109375" style="188"/>
    <col min="3834" max="3834" width="24.88671875" style="188" customWidth="1"/>
    <col min="3835" max="3840" width="17.88671875" style="188" customWidth="1"/>
    <col min="3841" max="3841" width="15.5546875" style="188" bestFit="1" customWidth="1"/>
    <col min="3842" max="3842" width="8.6640625" style="188" customWidth="1"/>
    <col min="3843" max="3843" width="14.5546875" style="188" bestFit="1" customWidth="1"/>
    <col min="3844" max="4089" width="9.109375" style="188"/>
    <col min="4090" max="4090" width="24.88671875" style="188" customWidth="1"/>
    <col min="4091" max="4096" width="17.88671875" style="188" customWidth="1"/>
    <col min="4097" max="4097" width="15.5546875" style="188" bestFit="1" customWidth="1"/>
    <col min="4098" max="4098" width="8.6640625" style="188" customWidth="1"/>
    <col min="4099" max="4099" width="14.5546875" style="188" bestFit="1" customWidth="1"/>
    <col min="4100" max="4345" width="9.109375" style="188"/>
    <col min="4346" max="4346" width="24.88671875" style="188" customWidth="1"/>
    <col min="4347" max="4352" width="17.88671875" style="188" customWidth="1"/>
    <col min="4353" max="4353" width="15.5546875" style="188" bestFit="1" customWidth="1"/>
    <col min="4354" max="4354" width="8.6640625" style="188" customWidth="1"/>
    <col min="4355" max="4355" width="14.5546875" style="188" bestFit="1" customWidth="1"/>
    <col min="4356" max="4601" width="9.109375" style="188"/>
    <col min="4602" max="4602" width="24.88671875" style="188" customWidth="1"/>
    <col min="4603" max="4608" width="17.88671875" style="188" customWidth="1"/>
    <col min="4609" max="4609" width="15.5546875" style="188" bestFit="1" customWidth="1"/>
    <col min="4610" max="4610" width="8.6640625" style="188" customWidth="1"/>
    <col min="4611" max="4611" width="14.5546875" style="188" bestFit="1" customWidth="1"/>
    <col min="4612" max="4857" width="9.109375" style="188"/>
    <col min="4858" max="4858" width="24.88671875" style="188" customWidth="1"/>
    <col min="4859" max="4864" width="17.88671875" style="188" customWidth="1"/>
    <col min="4865" max="4865" width="15.5546875" style="188" bestFit="1" customWidth="1"/>
    <col min="4866" max="4866" width="8.6640625" style="188" customWidth="1"/>
    <col min="4867" max="4867" width="14.5546875" style="188" bestFit="1" customWidth="1"/>
    <col min="4868" max="5113" width="9.109375" style="188"/>
    <col min="5114" max="5114" width="24.88671875" style="188" customWidth="1"/>
    <col min="5115" max="5120" width="17.88671875" style="188" customWidth="1"/>
    <col min="5121" max="5121" width="15.5546875" style="188" bestFit="1" customWidth="1"/>
    <col min="5122" max="5122" width="8.6640625" style="188" customWidth="1"/>
    <col min="5123" max="5123" width="14.5546875" style="188" bestFit="1" customWidth="1"/>
    <col min="5124" max="5369" width="9.109375" style="188"/>
    <col min="5370" max="5370" width="24.88671875" style="188" customWidth="1"/>
    <col min="5371" max="5376" width="17.88671875" style="188" customWidth="1"/>
    <col min="5377" max="5377" width="15.5546875" style="188" bestFit="1" customWidth="1"/>
    <col min="5378" max="5378" width="8.6640625" style="188" customWidth="1"/>
    <col min="5379" max="5379" width="14.5546875" style="188" bestFit="1" customWidth="1"/>
    <col min="5380" max="5625" width="9.109375" style="188"/>
    <col min="5626" max="5626" width="24.88671875" style="188" customWidth="1"/>
    <col min="5627" max="5632" width="17.88671875" style="188" customWidth="1"/>
    <col min="5633" max="5633" width="15.5546875" style="188" bestFit="1" customWidth="1"/>
    <col min="5634" max="5634" width="8.6640625" style="188" customWidth="1"/>
    <col min="5635" max="5635" width="14.5546875" style="188" bestFit="1" customWidth="1"/>
    <col min="5636" max="5881" width="9.109375" style="188"/>
    <col min="5882" max="5882" width="24.88671875" style="188" customWidth="1"/>
    <col min="5883" max="5888" width="17.88671875" style="188" customWidth="1"/>
    <col min="5889" max="5889" width="15.5546875" style="188" bestFit="1" customWidth="1"/>
    <col min="5890" max="5890" width="8.6640625" style="188" customWidth="1"/>
    <col min="5891" max="5891" width="14.5546875" style="188" bestFit="1" customWidth="1"/>
    <col min="5892" max="6137" width="9.109375" style="188"/>
    <col min="6138" max="6138" width="24.88671875" style="188" customWidth="1"/>
    <col min="6139" max="6144" width="17.88671875" style="188" customWidth="1"/>
    <col min="6145" max="6145" width="15.5546875" style="188" bestFit="1" customWidth="1"/>
    <col min="6146" max="6146" width="8.6640625" style="188" customWidth="1"/>
    <col min="6147" max="6147" width="14.5546875" style="188" bestFit="1" customWidth="1"/>
    <col min="6148" max="6393" width="9.109375" style="188"/>
    <col min="6394" max="6394" width="24.88671875" style="188" customWidth="1"/>
    <col min="6395" max="6400" width="17.88671875" style="188" customWidth="1"/>
    <col min="6401" max="6401" width="15.5546875" style="188" bestFit="1" customWidth="1"/>
    <col min="6402" max="6402" width="8.6640625" style="188" customWidth="1"/>
    <col min="6403" max="6403" width="14.5546875" style="188" bestFit="1" customWidth="1"/>
    <col min="6404" max="6649" width="9.109375" style="188"/>
    <col min="6650" max="6650" width="24.88671875" style="188" customWidth="1"/>
    <col min="6651" max="6656" width="17.88671875" style="188" customWidth="1"/>
    <col min="6657" max="6657" width="15.5546875" style="188" bestFit="1" customWidth="1"/>
    <col min="6658" max="6658" width="8.6640625" style="188" customWidth="1"/>
    <col min="6659" max="6659" width="14.5546875" style="188" bestFit="1" customWidth="1"/>
    <col min="6660" max="6905" width="9.109375" style="188"/>
    <col min="6906" max="6906" width="24.88671875" style="188" customWidth="1"/>
    <col min="6907" max="6912" width="17.88671875" style="188" customWidth="1"/>
    <col min="6913" max="6913" width="15.5546875" style="188" bestFit="1" customWidth="1"/>
    <col min="6914" max="6914" width="8.6640625" style="188" customWidth="1"/>
    <col min="6915" max="6915" width="14.5546875" style="188" bestFit="1" customWidth="1"/>
    <col min="6916" max="7161" width="9.109375" style="188"/>
    <col min="7162" max="7162" width="24.88671875" style="188" customWidth="1"/>
    <col min="7163" max="7168" width="17.88671875" style="188" customWidth="1"/>
    <col min="7169" max="7169" width="15.5546875" style="188" bestFit="1" customWidth="1"/>
    <col min="7170" max="7170" width="8.6640625" style="188" customWidth="1"/>
    <col min="7171" max="7171" width="14.5546875" style="188" bestFit="1" customWidth="1"/>
    <col min="7172" max="7417" width="9.109375" style="188"/>
    <col min="7418" max="7418" width="24.88671875" style="188" customWidth="1"/>
    <col min="7419" max="7424" width="17.88671875" style="188" customWidth="1"/>
    <col min="7425" max="7425" width="15.5546875" style="188" bestFit="1" customWidth="1"/>
    <col min="7426" max="7426" width="8.6640625" style="188" customWidth="1"/>
    <col min="7427" max="7427" width="14.5546875" style="188" bestFit="1" customWidth="1"/>
    <col min="7428" max="7673" width="9.109375" style="188"/>
    <col min="7674" max="7674" width="24.88671875" style="188" customWidth="1"/>
    <col min="7675" max="7680" width="17.88671875" style="188" customWidth="1"/>
    <col min="7681" max="7681" width="15.5546875" style="188" bestFit="1" customWidth="1"/>
    <col min="7682" max="7682" width="8.6640625" style="188" customWidth="1"/>
    <col min="7683" max="7683" width="14.5546875" style="188" bestFit="1" customWidth="1"/>
    <col min="7684" max="7929" width="9.109375" style="188"/>
    <col min="7930" max="7930" width="24.88671875" style="188" customWidth="1"/>
    <col min="7931" max="7936" width="17.88671875" style="188" customWidth="1"/>
    <col min="7937" max="7937" width="15.5546875" style="188" bestFit="1" customWidth="1"/>
    <col min="7938" max="7938" width="8.6640625" style="188" customWidth="1"/>
    <col min="7939" max="7939" width="14.5546875" style="188" bestFit="1" customWidth="1"/>
    <col min="7940" max="8185" width="9.109375" style="188"/>
    <col min="8186" max="8186" width="24.88671875" style="188" customWidth="1"/>
    <col min="8187" max="8192" width="17.88671875" style="188" customWidth="1"/>
    <col min="8193" max="8193" width="15.5546875" style="188" bestFit="1" customWidth="1"/>
    <col min="8194" max="8194" width="8.6640625" style="188" customWidth="1"/>
    <col min="8195" max="8195" width="14.5546875" style="188" bestFit="1" customWidth="1"/>
    <col min="8196" max="8441" width="9.109375" style="188"/>
    <col min="8442" max="8442" width="24.88671875" style="188" customWidth="1"/>
    <col min="8443" max="8448" width="17.88671875" style="188" customWidth="1"/>
    <col min="8449" max="8449" width="15.5546875" style="188" bestFit="1" customWidth="1"/>
    <col min="8450" max="8450" width="8.6640625" style="188" customWidth="1"/>
    <col min="8451" max="8451" width="14.5546875" style="188" bestFit="1" customWidth="1"/>
    <col min="8452" max="8697" width="9.109375" style="188"/>
    <col min="8698" max="8698" width="24.88671875" style="188" customWidth="1"/>
    <col min="8699" max="8704" width="17.88671875" style="188" customWidth="1"/>
    <col min="8705" max="8705" width="15.5546875" style="188" bestFit="1" customWidth="1"/>
    <col min="8706" max="8706" width="8.6640625" style="188" customWidth="1"/>
    <col min="8707" max="8707" width="14.5546875" style="188" bestFit="1" customWidth="1"/>
    <col min="8708" max="8953" width="9.109375" style="188"/>
    <col min="8954" max="8954" width="24.88671875" style="188" customWidth="1"/>
    <col min="8955" max="8960" width="17.88671875" style="188" customWidth="1"/>
    <col min="8961" max="8961" width="15.5546875" style="188" bestFit="1" customWidth="1"/>
    <col min="8962" max="8962" width="8.6640625" style="188" customWidth="1"/>
    <col min="8963" max="8963" width="14.5546875" style="188" bestFit="1" customWidth="1"/>
    <col min="8964" max="9209" width="9.109375" style="188"/>
    <col min="9210" max="9210" width="24.88671875" style="188" customWidth="1"/>
    <col min="9211" max="9216" width="17.88671875" style="188" customWidth="1"/>
    <col min="9217" max="9217" width="15.5546875" style="188" bestFit="1" customWidth="1"/>
    <col min="9218" max="9218" width="8.6640625" style="188" customWidth="1"/>
    <col min="9219" max="9219" width="14.5546875" style="188" bestFit="1" customWidth="1"/>
    <col min="9220" max="9465" width="9.109375" style="188"/>
    <col min="9466" max="9466" width="24.88671875" style="188" customWidth="1"/>
    <col min="9467" max="9472" width="17.88671875" style="188" customWidth="1"/>
    <col min="9473" max="9473" width="15.5546875" style="188" bestFit="1" customWidth="1"/>
    <col min="9474" max="9474" width="8.6640625" style="188" customWidth="1"/>
    <col min="9475" max="9475" width="14.5546875" style="188" bestFit="1" customWidth="1"/>
    <col min="9476" max="9721" width="9.109375" style="188"/>
    <col min="9722" max="9722" width="24.88671875" style="188" customWidth="1"/>
    <col min="9723" max="9728" width="17.88671875" style="188" customWidth="1"/>
    <col min="9729" max="9729" width="15.5546875" style="188" bestFit="1" customWidth="1"/>
    <col min="9730" max="9730" width="8.6640625" style="188" customWidth="1"/>
    <col min="9731" max="9731" width="14.5546875" style="188" bestFit="1" customWidth="1"/>
    <col min="9732" max="9977" width="9.109375" style="188"/>
    <col min="9978" max="9978" width="24.88671875" style="188" customWidth="1"/>
    <col min="9979" max="9984" width="17.88671875" style="188" customWidth="1"/>
    <col min="9985" max="9985" width="15.5546875" style="188" bestFit="1" customWidth="1"/>
    <col min="9986" max="9986" width="8.6640625" style="188" customWidth="1"/>
    <col min="9987" max="9987" width="14.5546875" style="188" bestFit="1" customWidth="1"/>
    <col min="9988" max="10233" width="9.109375" style="188"/>
    <col min="10234" max="10234" width="24.88671875" style="188" customWidth="1"/>
    <col min="10235" max="10240" width="17.88671875" style="188" customWidth="1"/>
    <col min="10241" max="10241" width="15.5546875" style="188" bestFit="1" customWidth="1"/>
    <col min="10242" max="10242" width="8.6640625" style="188" customWidth="1"/>
    <col min="10243" max="10243" width="14.5546875" style="188" bestFit="1" customWidth="1"/>
    <col min="10244" max="10489" width="9.109375" style="188"/>
    <col min="10490" max="10490" width="24.88671875" style="188" customWidth="1"/>
    <col min="10491" max="10496" width="17.88671875" style="188" customWidth="1"/>
    <col min="10497" max="10497" width="15.5546875" style="188" bestFit="1" customWidth="1"/>
    <col min="10498" max="10498" width="8.6640625" style="188" customWidth="1"/>
    <col min="10499" max="10499" width="14.5546875" style="188" bestFit="1" customWidth="1"/>
    <col min="10500" max="10745" width="9.109375" style="188"/>
    <col min="10746" max="10746" width="24.88671875" style="188" customWidth="1"/>
    <col min="10747" max="10752" width="17.88671875" style="188" customWidth="1"/>
    <col min="10753" max="10753" width="15.5546875" style="188" bestFit="1" customWidth="1"/>
    <col min="10754" max="10754" width="8.6640625" style="188" customWidth="1"/>
    <col min="10755" max="10755" width="14.5546875" style="188" bestFit="1" customWidth="1"/>
    <col min="10756" max="11001" width="9.109375" style="188"/>
    <col min="11002" max="11002" width="24.88671875" style="188" customWidth="1"/>
    <col min="11003" max="11008" width="17.88671875" style="188" customWidth="1"/>
    <col min="11009" max="11009" width="15.5546875" style="188" bestFit="1" customWidth="1"/>
    <col min="11010" max="11010" width="8.6640625" style="188" customWidth="1"/>
    <col min="11011" max="11011" width="14.5546875" style="188" bestFit="1" customWidth="1"/>
    <col min="11012" max="11257" width="9.109375" style="188"/>
    <col min="11258" max="11258" width="24.88671875" style="188" customWidth="1"/>
    <col min="11259" max="11264" width="17.88671875" style="188" customWidth="1"/>
    <col min="11265" max="11265" width="15.5546875" style="188" bestFit="1" customWidth="1"/>
    <col min="11266" max="11266" width="8.6640625" style="188" customWidth="1"/>
    <col min="11267" max="11267" width="14.5546875" style="188" bestFit="1" customWidth="1"/>
    <col min="11268" max="11513" width="9.109375" style="188"/>
    <col min="11514" max="11514" width="24.88671875" style="188" customWidth="1"/>
    <col min="11515" max="11520" width="17.88671875" style="188" customWidth="1"/>
    <col min="11521" max="11521" width="15.5546875" style="188" bestFit="1" customWidth="1"/>
    <col min="11522" max="11522" width="8.6640625" style="188" customWidth="1"/>
    <col min="11523" max="11523" width="14.5546875" style="188" bestFit="1" customWidth="1"/>
    <col min="11524" max="11769" width="9.109375" style="188"/>
    <col min="11770" max="11770" width="24.88671875" style="188" customWidth="1"/>
    <col min="11771" max="11776" width="17.88671875" style="188" customWidth="1"/>
    <col min="11777" max="11777" width="15.5546875" style="188" bestFit="1" customWidth="1"/>
    <col min="11778" max="11778" width="8.6640625" style="188" customWidth="1"/>
    <col min="11779" max="11779" width="14.5546875" style="188" bestFit="1" customWidth="1"/>
    <col min="11780" max="12025" width="9.109375" style="188"/>
    <col min="12026" max="12026" width="24.88671875" style="188" customWidth="1"/>
    <col min="12027" max="12032" width="17.88671875" style="188" customWidth="1"/>
    <col min="12033" max="12033" width="15.5546875" style="188" bestFit="1" customWidth="1"/>
    <col min="12034" max="12034" width="8.6640625" style="188" customWidth="1"/>
    <col min="12035" max="12035" width="14.5546875" style="188" bestFit="1" customWidth="1"/>
    <col min="12036" max="12281" width="9.109375" style="188"/>
    <col min="12282" max="12282" width="24.88671875" style="188" customWidth="1"/>
    <col min="12283" max="12288" width="17.88671875" style="188" customWidth="1"/>
    <col min="12289" max="12289" width="15.5546875" style="188" bestFit="1" customWidth="1"/>
    <col min="12290" max="12290" width="8.6640625" style="188" customWidth="1"/>
    <col min="12291" max="12291" width="14.5546875" style="188" bestFit="1" customWidth="1"/>
    <col min="12292" max="12537" width="9.109375" style="188"/>
    <col min="12538" max="12538" width="24.88671875" style="188" customWidth="1"/>
    <col min="12539" max="12544" width="17.88671875" style="188" customWidth="1"/>
    <col min="12545" max="12545" width="15.5546875" style="188" bestFit="1" customWidth="1"/>
    <col min="12546" max="12546" width="8.6640625" style="188" customWidth="1"/>
    <col min="12547" max="12547" width="14.5546875" style="188" bestFit="1" customWidth="1"/>
    <col min="12548" max="12793" width="9.109375" style="188"/>
    <col min="12794" max="12794" width="24.88671875" style="188" customWidth="1"/>
    <col min="12795" max="12800" width="17.88671875" style="188" customWidth="1"/>
    <col min="12801" max="12801" width="15.5546875" style="188" bestFit="1" customWidth="1"/>
    <col min="12802" max="12802" width="8.6640625" style="188" customWidth="1"/>
    <col min="12803" max="12803" width="14.5546875" style="188" bestFit="1" customWidth="1"/>
    <col min="12804" max="13049" width="9.109375" style="188"/>
    <col min="13050" max="13050" width="24.88671875" style="188" customWidth="1"/>
    <col min="13051" max="13056" width="17.88671875" style="188" customWidth="1"/>
    <col min="13057" max="13057" width="15.5546875" style="188" bestFit="1" customWidth="1"/>
    <col min="13058" max="13058" width="8.6640625" style="188" customWidth="1"/>
    <col min="13059" max="13059" width="14.5546875" style="188" bestFit="1" customWidth="1"/>
    <col min="13060" max="13305" width="9.109375" style="188"/>
    <col min="13306" max="13306" width="24.88671875" style="188" customWidth="1"/>
    <col min="13307" max="13312" width="17.88671875" style="188" customWidth="1"/>
    <col min="13313" max="13313" width="15.5546875" style="188" bestFit="1" customWidth="1"/>
    <col min="13314" max="13314" width="8.6640625" style="188" customWidth="1"/>
    <col min="13315" max="13315" width="14.5546875" style="188" bestFit="1" customWidth="1"/>
    <col min="13316" max="13561" width="9.109375" style="188"/>
    <col min="13562" max="13562" width="24.88671875" style="188" customWidth="1"/>
    <col min="13563" max="13568" width="17.88671875" style="188" customWidth="1"/>
    <col min="13569" max="13569" width="15.5546875" style="188" bestFit="1" customWidth="1"/>
    <col min="13570" max="13570" width="8.6640625" style="188" customWidth="1"/>
    <col min="13571" max="13571" width="14.5546875" style="188" bestFit="1" customWidth="1"/>
    <col min="13572" max="13817" width="9.109375" style="188"/>
    <col min="13818" max="13818" width="24.88671875" style="188" customWidth="1"/>
    <col min="13819" max="13824" width="17.88671875" style="188" customWidth="1"/>
    <col min="13825" max="13825" width="15.5546875" style="188" bestFit="1" customWidth="1"/>
    <col min="13826" max="13826" width="8.6640625" style="188" customWidth="1"/>
    <col min="13827" max="13827" width="14.5546875" style="188" bestFit="1" customWidth="1"/>
    <col min="13828" max="14073" width="9.109375" style="188"/>
    <col min="14074" max="14074" width="24.88671875" style="188" customWidth="1"/>
    <col min="14075" max="14080" width="17.88671875" style="188" customWidth="1"/>
    <col min="14081" max="14081" width="15.5546875" style="188" bestFit="1" customWidth="1"/>
    <col min="14082" max="14082" width="8.6640625" style="188" customWidth="1"/>
    <col min="14083" max="14083" width="14.5546875" style="188" bestFit="1" customWidth="1"/>
    <col min="14084" max="14329" width="9.109375" style="188"/>
    <col min="14330" max="14330" width="24.88671875" style="188" customWidth="1"/>
    <col min="14331" max="14336" width="17.88671875" style="188" customWidth="1"/>
    <col min="14337" max="14337" width="15.5546875" style="188" bestFit="1" customWidth="1"/>
    <col min="14338" max="14338" width="8.6640625" style="188" customWidth="1"/>
    <col min="14339" max="14339" width="14.5546875" style="188" bestFit="1" customWidth="1"/>
    <col min="14340" max="14585" width="9.109375" style="188"/>
    <col min="14586" max="14586" width="24.88671875" style="188" customWidth="1"/>
    <col min="14587" max="14592" width="17.88671875" style="188" customWidth="1"/>
    <col min="14593" max="14593" width="15.5546875" style="188" bestFit="1" customWidth="1"/>
    <col min="14594" max="14594" width="8.6640625" style="188" customWidth="1"/>
    <col min="14595" max="14595" width="14.5546875" style="188" bestFit="1" customWidth="1"/>
    <col min="14596" max="14841" width="9.109375" style="188"/>
    <col min="14842" max="14842" width="24.88671875" style="188" customWidth="1"/>
    <col min="14843" max="14848" width="17.88671875" style="188" customWidth="1"/>
    <col min="14849" max="14849" width="15.5546875" style="188" bestFit="1" customWidth="1"/>
    <col min="14850" max="14850" width="8.6640625" style="188" customWidth="1"/>
    <col min="14851" max="14851" width="14.5546875" style="188" bestFit="1" customWidth="1"/>
    <col min="14852" max="15097" width="9.109375" style="188"/>
    <col min="15098" max="15098" width="24.88671875" style="188" customWidth="1"/>
    <col min="15099" max="15104" width="17.88671875" style="188" customWidth="1"/>
    <col min="15105" max="15105" width="15.5546875" style="188" bestFit="1" customWidth="1"/>
    <col min="15106" max="15106" width="8.6640625" style="188" customWidth="1"/>
    <col min="15107" max="15107" width="14.5546875" style="188" bestFit="1" customWidth="1"/>
    <col min="15108" max="15353" width="9.109375" style="188"/>
    <col min="15354" max="15354" width="24.88671875" style="188" customWidth="1"/>
    <col min="15355" max="15360" width="17.88671875" style="188" customWidth="1"/>
    <col min="15361" max="15361" width="15.5546875" style="188" bestFit="1" customWidth="1"/>
    <col min="15362" max="15362" width="8.6640625" style="188" customWidth="1"/>
    <col min="15363" max="15363" width="14.5546875" style="188" bestFit="1" customWidth="1"/>
    <col min="15364" max="15609" width="9.109375" style="188"/>
    <col min="15610" max="15610" width="24.88671875" style="188" customWidth="1"/>
    <col min="15611" max="15616" width="17.88671875" style="188" customWidth="1"/>
    <col min="15617" max="15617" width="15.5546875" style="188" bestFit="1" customWidth="1"/>
    <col min="15618" max="15618" width="8.6640625" style="188" customWidth="1"/>
    <col min="15619" max="15619" width="14.5546875" style="188" bestFit="1" customWidth="1"/>
    <col min="15620" max="15865" width="9.109375" style="188"/>
    <col min="15866" max="15866" width="24.88671875" style="188" customWidth="1"/>
    <col min="15867" max="15872" width="17.88671875" style="188" customWidth="1"/>
    <col min="15873" max="15873" width="15.5546875" style="188" bestFit="1" customWidth="1"/>
    <col min="15874" max="15874" width="8.6640625" style="188" customWidth="1"/>
    <col min="15875" max="15875" width="14.5546875" style="188" bestFit="1" customWidth="1"/>
    <col min="15876" max="16121" width="9.109375" style="188"/>
    <col min="16122" max="16122" width="24.88671875" style="188" customWidth="1"/>
    <col min="16123" max="16128" width="17.88671875" style="188" customWidth="1"/>
    <col min="16129" max="16129" width="15.5546875" style="188" bestFit="1" customWidth="1"/>
    <col min="16130" max="16130" width="8.6640625" style="188" customWidth="1"/>
    <col min="16131" max="16131" width="14.5546875" style="188" bestFit="1" customWidth="1"/>
    <col min="16132" max="16384" width="9.109375" style="188"/>
  </cols>
  <sheetData>
    <row r="1" spans="1:13" s="44" customFormat="1">
      <c r="A1" s="2038" t="str">
        <f>+'MISO Cover'!C6</f>
        <v>Entergy New Orleans, Inc.</v>
      </c>
      <c r="B1" s="2038"/>
      <c r="C1" s="2038"/>
      <c r="D1" s="2038"/>
      <c r="E1" s="2038"/>
      <c r="F1" s="2038"/>
      <c r="G1" s="2038"/>
    </row>
    <row r="2" spans="1:13" s="44" customFormat="1">
      <c r="A2" s="2038" t="s">
        <v>639</v>
      </c>
      <c r="B2" s="2038"/>
      <c r="C2" s="2038"/>
      <c r="D2" s="2038"/>
      <c r="E2" s="2038"/>
      <c r="F2" s="2038"/>
      <c r="G2" s="2038"/>
      <c r="H2" s="802"/>
    </row>
    <row r="3" spans="1:13" s="44" customFormat="1">
      <c r="A3" s="2038" t="str">
        <f>+'MISO Cover'!K4</f>
        <v>For  the 12 Months Ended 12/31/2016</v>
      </c>
      <c r="B3" s="2038"/>
      <c r="C3" s="2038"/>
      <c r="D3" s="2038"/>
      <c r="E3" s="2038"/>
      <c r="F3" s="2038"/>
      <c r="G3" s="2038"/>
    </row>
    <row r="4" spans="1:13" s="44" customFormat="1">
      <c r="A4" s="1221"/>
      <c r="B4" s="221"/>
      <c r="C4" s="221"/>
      <c r="D4" s="221"/>
      <c r="E4" s="221"/>
      <c r="F4" s="221"/>
    </row>
    <row r="5" spans="1:13" s="44" customFormat="1">
      <c r="A5" s="1221" t="s">
        <v>281</v>
      </c>
      <c r="B5" s="1221" t="s">
        <v>68</v>
      </c>
      <c r="C5" s="1220" t="s">
        <v>115</v>
      </c>
      <c r="D5" s="1220" t="s">
        <v>56</v>
      </c>
      <c r="E5" s="1220" t="s">
        <v>69</v>
      </c>
      <c r="F5" s="1220" t="s">
        <v>67</v>
      </c>
      <c r="G5" s="1220" t="s">
        <v>157</v>
      </c>
    </row>
    <row r="6" spans="1:13" s="44" customFormat="1" ht="26.4">
      <c r="A6" s="1220">
        <v>1</v>
      </c>
      <c r="B6" s="221"/>
      <c r="C6" s="883"/>
      <c r="D6" s="883"/>
      <c r="E6" s="1507" t="s">
        <v>166</v>
      </c>
      <c r="F6" s="1508" t="s">
        <v>161</v>
      </c>
      <c r="G6" s="1509" t="s">
        <v>142</v>
      </c>
    </row>
    <row r="7" spans="1:13" s="44" customFormat="1">
      <c r="A7" s="1220">
        <f>+A6+1</f>
        <v>2</v>
      </c>
      <c r="B7" s="45" t="s">
        <v>411</v>
      </c>
      <c r="C7" s="43" t="str">
        <f>+"Sum Line "&amp;A$11&amp;" Subparts for Included"</f>
        <v>Sum Line 6 Subparts for Included</v>
      </c>
      <c r="D7" s="269"/>
      <c r="E7" s="884">
        <f>+SUM(E12:E12)</f>
        <v>755058.31</v>
      </c>
      <c r="F7" s="884">
        <f>+SUM(F12:F12)</f>
        <v>755058.31</v>
      </c>
      <c r="G7" s="885">
        <f>+(E7+F7)/2</f>
        <v>755058.31</v>
      </c>
    </row>
    <row r="8" spans="1:13" s="44" customFormat="1" ht="15">
      <c r="A8" s="1220">
        <f>+A7+1</f>
        <v>3</v>
      </c>
      <c r="B8" s="45" t="s">
        <v>412</v>
      </c>
      <c r="C8" s="43" t="str">
        <f>+"Sum Line "&amp;A$11&amp;" Subparts for Excluded"</f>
        <v>Sum Line 6 Subparts for Excluded</v>
      </c>
      <c r="D8" s="886"/>
      <c r="E8" s="1248">
        <f>+SUM(E13:E15)</f>
        <v>0</v>
      </c>
      <c r="F8" s="1248">
        <f>+SUM(F13:F15)</f>
        <v>0</v>
      </c>
      <c r="G8" s="887">
        <f>+(E8+F8)/2</f>
        <v>0</v>
      </c>
    </row>
    <row r="9" spans="1:13" s="44" customFormat="1">
      <c r="A9" s="1220">
        <f>+A8+1</f>
        <v>4</v>
      </c>
      <c r="B9" s="45" t="s">
        <v>114</v>
      </c>
      <c r="C9" s="43"/>
      <c r="D9" s="269"/>
      <c r="E9" s="884">
        <f>SUM(E7:E8)</f>
        <v>755058.31</v>
      </c>
      <c r="F9" s="884">
        <f>SUM(F7:F8)</f>
        <v>755058.31</v>
      </c>
      <c r="G9" s="885">
        <f>+(E9+F9)/2</f>
        <v>755058.31</v>
      </c>
    </row>
    <row r="10" spans="1:13" s="44" customFormat="1">
      <c r="A10" s="1220">
        <f>+A9+1</f>
        <v>5</v>
      </c>
      <c r="B10" s="188"/>
      <c r="C10" s="686"/>
      <c r="D10" s="686"/>
      <c r="E10" s="686"/>
      <c r="F10" s="1503"/>
      <c r="G10" s="45"/>
      <c r="H10" s="43"/>
      <c r="I10" s="43"/>
    </row>
    <row r="11" spans="1:13" ht="26.4">
      <c r="A11" s="1220">
        <f>+A10+1</f>
        <v>6</v>
      </c>
      <c r="B11" s="1510" t="s">
        <v>295</v>
      </c>
      <c r="C11" s="1510" t="s">
        <v>560</v>
      </c>
      <c r="D11" s="1510" t="s">
        <v>865</v>
      </c>
      <c r="E11" s="1511" t="str">
        <f>+E6</f>
        <v>Beginning of Year</v>
      </c>
      <c r="F11" s="1512" t="str">
        <f>+F6</f>
        <v>End of Year</v>
      </c>
      <c r="G11" s="1513" t="str">
        <f>+G6</f>
        <v>Average</v>
      </c>
      <c r="H11" s="45"/>
      <c r="I11" s="45"/>
    </row>
    <row r="12" spans="1:13" ht="15.6">
      <c r="A12" s="1220">
        <f>+A11+0.01</f>
        <v>6.01</v>
      </c>
      <c r="B12" s="1249" t="s">
        <v>931</v>
      </c>
      <c r="C12" s="1249" t="s">
        <v>932</v>
      </c>
      <c r="D12" s="1486" t="s">
        <v>1543</v>
      </c>
      <c r="E12" s="1354">
        <v>755058.31</v>
      </c>
      <c r="F12" s="1504">
        <v>755058.31</v>
      </c>
      <c r="G12" s="269">
        <f>+SUM(E12,F12)/2</f>
        <v>755058.31</v>
      </c>
      <c r="H12" s="45"/>
      <c r="I12" s="1515" t="s">
        <v>998</v>
      </c>
    </row>
    <row r="13" spans="1:13" ht="13.8">
      <c r="A13" s="1355">
        <f>+A12+0.01</f>
        <v>6.02</v>
      </c>
      <c r="B13" s="1353" t="s">
        <v>905</v>
      </c>
      <c r="C13" s="1353"/>
      <c r="D13" s="1353"/>
      <c r="E13" s="1453">
        <v>0</v>
      </c>
      <c r="F13" s="1505">
        <v>0</v>
      </c>
      <c r="G13" s="269">
        <f t="shared" ref="G13:G15" si="0">+SUM(E13,F13)/2</f>
        <v>0</v>
      </c>
      <c r="H13" s="45"/>
      <c r="I13" s="1516" t="s">
        <v>645</v>
      </c>
    </row>
    <row r="14" spans="1:13">
      <c r="A14" s="1355" t="s">
        <v>899</v>
      </c>
      <c r="B14" s="1353" t="s">
        <v>905</v>
      </c>
      <c r="C14" s="1353"/>
      <c r="D14" s="1353"/>
      <c r="E14" s="1453">
        <v>0</v>
      </c>
      <c r="F14" s="1505">
        <v>0</v>
      </c>
      <c r="G14" s="269">
        <f t="shared" si="0"/>
        <v>0</v>
      </c>
      <c r="H14" s="45"/>
      <c r="I14" s="2121" t="s">
        <v>999</v>
      </c>
      <c r="J14" s="2121"/>
      <c r="K14" s="2121"/>
      <c r="L14" s="2121"/>
      <c r="M14" s="2121"/>
    </row>
    <row r="15" spans="1:13">
      <c r="A15" s="1355" t="s">
        <v>904</v>
      </c>
      <c r="B15" s="1353" t="s">
        <v>905</v>
      </c>
      <c r="C15" s="1353"/>
      <c r="D15" s="1353"/>
      <c r="E15" s="1454">
        <v>0</v>
      </c>
      <c r="F15" s="1506">
        <v>0</v>
      </c>
      <c r="G15" s="564">
        <f t="shared" si="0"/>
        <v>0</v>
      </c>
      <c r="H15" s="45"/>
      <c r="I15" s="2121"/>
      <c r="J15" s="2121"/>
      <c r="K15" s="2121"/>
      <c r="L15" s="2121"/>
      <c r="M15" s="2121"/>
    </row>
    <row r="16" spans="1:13">
      <c r="A16" s="968">
        <f>+A11+1</f>
        <v>7</v>
      </c>
      <c r="B16" s="1249" t="s">
        <v>114</v>
      </c>
      <c r="C16" s="1249"/>
      <c r="D16" s="1249"/>
      <c r="E16" s="1232">
        <f>SUM(E12:E15)</f>
        <v>755058.31</v>
      </c>
      <c r="F16" s="1232">
        <f>SUM(F12:F15)</f>
        <v>755058.31</v>
      </c>
      <c r="G16" s="1232">
        <f>SUM(G12:G15)</f>
        <v>755058.31</v>
      </c>
      <c r="H16" s="45"/>
      <c r="I16" s="2121"/>
      <c r="J16" s="2121"/>
      <c r="K16" s="2121"/>
      <c r="L16" s="2121"/>
      <c r="M16" s="2121"/>
    </row>
    <row r="17" spans="1:13">
      <c r="A17" s="562"/>
      <c r="B17" s="45"/>
      <c r="C17" s="45"/>
      <c r="D17" s="45"/>
      <c r="E17" s="45"/>
      <c r="F17" s="969"/>
      <c r="G17" s="45"/>
      <c r="I17" s="2121"/>
      <c r="J17" s="2121"/>
      <c r="K17" s="2121"/>
      <c r="L17" s="2121"/>
      <c r="M17" s="2121"/>
    </row>
    <row r="18" spans="1:13">
      <c r="A18" s="45" t="s">
        <v>299</v>
      </c>
      <c r="B18" s="45"/>
      <c r="C18" s="45"/>
      <c r="D18" s="45"/>
      <c r="E18" s="45"/>
      <c r="F18" s="45"/>
      <c r="G18" s="45"/>
      <c r="I18" s="2121"/>
      <c r="J18" s="2121"/>
      <c r="K18" s="2121"/>
      <c r="L18" s="2121"/>
      <c r="M18" s="2121"/>
    </row>
    <row r="19" spans="1:13" s="688" customFormat="1">
      <c r="A19" s="890" t="s">
        <v>171</v>
      </c>
      <c r="B19" s="2120" t="str">
        <f>+"Reference Appendix A Note "&amp;'Appendix A'!A320</f>
        <v>Reference Appendix A Note M</v>
      </c>
      <c r="C19" s="2120"/>
      <c r="D19" s="2120"/>
      <c r="E19" s="2120"/>
      <c r="F19" s="2120"/>
      <c r="G19" s="2120"/>
      <c r="I19" s="2121"/>
      <c r="J19" s="2121"/>
      <c r="K19" s="2121"/>
      <c r="L19" s="2121"/>
      <c r="M19" s="2121"/>
    </row>
    <row r="20" spans="1:13">
      <c r="A20" s="890"/>
    </row>
  </sheetData>
  <mergeCells count="5">
    <mergeCell ref="B19:G19"/>
    <mergeCell ref="A1:G1"/>
    <mergeCell ref="A2:G2"/>
    <mergeCell ref="A3:G3"/>
    <mergeCell ref="I14:M19"/>
  </mergeCells>
  <printOptions horizontalCentered="1"/>
  <pageMargins left="0.7" right="0.7" top="0.7" bottom="0.7" header="0.3" footer="0.5"/>
  <pageSetup scale="74" fitToHeight="2"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3"/>
  <sheetViews>
    <sheetView zoomScaleNormal="100" workbookViewId="0">
      <selection activeCell="L6" sqref="L6"/>
    </sheetView>
  </sheetViews>
  <sheetFormatPr defaultColWidth="8.88671875" defaultRowHeight="13.2"/>
  <cols>
    <col min="1" max="1" width="4.33203125" style="690" customWidth="1"/>
    <col min="2" max="2" width="44.44140625" style="44" customWidth="1"/>
    <col min="3" max="11" width="11.44140625" style="44" bestFit="1" customWidth="1"/>
    <col min="12" max="16" width="11.33203125" style="44" customWidth="1"/>
    <col min="17" max="16384" width="8.88671875" style="44"/>
  </cols>
  <sheetData>
    <row r="1" spans="1:17">
      <c r="A1" s="2123" t="str">
        <f>+'MISO Cover'!C6</f>
        <v>Entergy New Orleans, Inc.</v>
      </c>
      <c r="B1" s="2123"/>
      <c r="C1" s="2123"/>
      <c r="D1" s="2123"/>
      <c r="E1" s="2123"/>
      <c r="F1" s="2123"/>
      <c r="G1" s="2123"/>
      <c r="H1" s="2123"/>
      <c r="I1" s="2123"/>
      <c r="J1" s="2123"/>
      <c r="K1" s="2123"/>
      <c r="L1" s="2123"/>
      <c r="M1" s="2123"/>
      <c r="N1" s="2123"/>
      <c r="O1" s="2123"/>
      <c r="P1" s="2123"/>
      <c r="Q1" s="802"/>
    </row>
    <row r="2" spans="1:17">
      <c r="A2" s="2122" t="s">
        <v>869</v>
      </c>
      <c r="B2" s="2122"/>
      <c r="C2" s="2122"/>
      <c r="D2" s="2122"/>
      <c r="E2" s="2122"/>
      <c r="F2" s="2122"/>
      <c r="G2" s="2122"/>
      <c r="H2" s="2122"/>
      <c r="I2" s="2122"/>
      <c r="J2" s="2122"/>
      <c r="K2" s="2122"/>
      <c r="L2" s="2122"/>
      <c r="M2" s="2122"/>
      <c r="N2" s="2122"/>
      <c r="O2" s="2122"/>
      <c r="P2" s="2122"/>
    </row>
    <row r="3" spans="1:17">
      <c r="A3" s="2122" t="str">
        <f>+'MISO Cover'!K4</f>
        <v>For  the 12 Months Ended 12/31/2016</v>
      </c>
      <c r="B3" s="2122"/>
      <c r="C3" s="2122"/>
      <c r="D3" s="2122"/>
      <c r="E3" s="2122"/>
      <c r="F3" s="2122"/>
      <c r="G3" s="2122"/>
      <c r="H3" s="2122"/>
      <c r="I3" s="2122"/>
      <c r="J3" s="2122"/>
      <c r="K3" s="2122"/>
      <c r="L3" s="2122"/>
      <c r="M3" s="2122"/>
      <c r="N3" s="2122"/>
      <c r="O3" s="2122"/>
      <c r="P3" s="2122"/>
    </row>
    <row r="4" spans="1:17">
      <c r="A4" s="761"/>
    </row>
    <row r="5" spans="1:17" s="763" customFormat="1">
      <c r="A5" s="761" t="s">
        <v>281</v>
      </c>
      <c r="B5" s="763" t="s">
        <v>68</v>
      </c>
      <c r="C5" s="763" t="s">
        <v>115</v>
      </c>
      <c r="D5" s="763" t="s">
        <v>56</v>
      </c>
      <c r="E5" s="763" t="s">
        <v>69</v>
      </c>
      <c r="F5" s="763" t="s">
        <v>67</v>
      </c>
      <c r="G5" s="763" t="s">
        <v>157</v>
      </c>
      <c r="H5" s="763" t="s">
        <v>70</v>
      </c>
      <c r="I5" s="763" t="s">
        <v>170</v>
      </c>
      <c r="J5" s="763" t="s">
        <v>60</v>
      </c>
      <c r="K5" s="763" t="s">
        <v>61</v>
      </c>
      <c r="L5" s="763" t="s">
        <v>72</v>
      </c>
      <c r="M5" s="763" t="s">
        <v>99</v>
      </c>
      <c r="N5" s="763" t="s">
        <v>100</v>
      </c>
      <c r="O5" s="763" t="s">
        <v>158</v>
      </c>
      <c r="P5" s="763" t="s">
        <v>224</v>
      </c>
    </row>
    <row r="6" spans="1:17" s="763" customFormat="1">
      <c r="A6" s="761"/>
      <c r="C6" s="1459" t="s">
        <v>38</v>
      </c>
      <c r="D6" s="1459" t="s">
        <v>28</v>
      </c>
      <c r="E6" s="1459" t="s">
        <v>29</v>
      </c>
      <c r="F6" s="1459" t="s">
        <v>30</v>
      </c>
      <c r="G6" s="1459" t="s">
        <v>31</v>
      </c>
      <c r="H6" s="1459" t="s">
        <v>27</v>
      </c>
      <c r="I6" s="1459" t="s">
        <v>32</v>
      </c>
      <c r="J6" s="1459" t="s">
        <v>33</v>
      </c>
      <c r="K6" s="1459" t="s">
        <v>34</v>
      </c>
      <c r="L6" s="1459" t="s">
        <v>35</v>
      </c>
      <c r="M6" s="1459" t="s">
        <v>36</v>
      </c>
      <c r="N6" s="1459" t="s">
        <v>37</v>
      </c>
      <c r="O6" s="1459" t="s">
        <v>38</v>
      </c>
      <c r="P6" s="1470" t="s">
        <v>415</v>
      </c>
    </row>
    <row r="7" spans="1:17">
      <c r="A7" s="953">
        <v>1</v>
      </c>
      <c r="B7" s="44" t="s">
        <v>508</v>
      </c>
      <c r="C7" s="803"/>
      <c r="D7" s="803"/>
    </row>
    <row r="8" spans="1:17">
      <c r="A8" s="1349">
        <v>1.1000000000000001</v>
      </c>
      <c r="B8" s="1302" t="s">
        <v>905</v>
      </c>
      <c r="C8" s="1350"/>
      <c r="D8" s="1350"/>
      <c r="E8" s="1350"/>
      <c r="F8" s="1350"/>
      <c r="G8" s="1350"/>
      <c r="H8" s="1350"/>
      <c r="I8" s="1350"/>
      <c r="J8" s="1350"/>
      <c r="K8" s="1350"/>
      <c r="L8" s="1350"/>
      <c r="M8" s="1350"/>
      <c r="N8" s="1350"/>
      <c r="O8" s="1350"/>
      <c r="P8" s="256">
        <f t="shared" ref="P8:P9" si="0">+SUM(C8:O8)/13</f>
        <v>0</v>
      </c>
    </row>
    <row r="9" spans="1:17">
      <c r="A9" s="1349" t="s">
        <v>899</v>
      </c>
      <c r="B9" s="1302" t="s">
        <v>905</v>
      </c>
      <c r="C9" s="1350"/>
      <c r="D9" s="1350"/>
      <c r="E9" s="1350"/>
      <c r="F9" s="1350"/>
      <c r="G9" s="1350"/>
      <c r="H9" s="1350"/>
      <c r="I9" s="1350"/>
      <c r="J9" s="1350"/>
      <c r="K9" s="1350"/>
      <c r="L9" s="1350"/>
      <c r="M9" s="1350"/>
      <c r="N9" s="1350"/>
      <c r="O9" s="1350"/>
      <c r="P9" s="256">
        <f t="shared" si="0"/>
        <v>0</v>
      </c>
    </row>
    <row r="10" spans="1:17" ht="15">
      <c r="A10" s="1349" t="s">
        <v>903</v>
      </c>
      <c r="B10" s="1302" t="s">
        <v>905</v>
      </c>
      <c r="C10" s="1351"/>
      <c r="D10" s="1351"/>
      <c r="E10" s="1351"/>
      <c r="F10" s="1351"/>
      <c r="G10" s="1351"/>
      <c r="H10" s="1351"/>
      <c r="I10" s="1351"/>
      <c r="J10" s="1351"/>
      <c r="K10" s="1351"/>
      <c r="L10" s="1351"/>
      <c r="M10" s="1351"/>
      <c r="N10" s="1351"/>
      <c r="O10" s="1351"/>
      <c r="P10" s="565">
        <f>+SUM(C10:O10)/13</f>
        <v>0</v>
      </c>
    </row>
    <row r="11" spans="1:17">
      <c r="A11" s="1275">
        <f>+A7+1</f>
        <v>2</v>
      </c>
      <c r="B11" s="574" t="str">
        <f>+"Total - Generator (Sum of Line "&amp;A7&amp;" Subparts)"</f>
        <v>Total - Generator (Sum of Line 1 Subparts)</v>
      </c>
      <c r="C11" s="703">
        <f t="shared" ref="C11:P11" si="1">SUM(C8:C10)</f>
        <v>0</v>
      </c>
      <c r="D11" s="703">
        <f t="shared" si="1"/>
        <v>0</v>
      </c>
      <c r="E11" s="703">
        <f t="shared" si="1"/>
        <v>0</v>
      </c>
      <c r="F11" s="703">
        <f t="shared" si="1"/>
        <v>0</v>
      </c>
      <c r="G11" s="703">
        <f t="shared" si="1"/>
        <v>0</v>
      </c>
      <c r="H11" s="703">
        <f t="shared" si="1"/>
        <v>0</v>
      </c>
      <c r="I11" s="703">
        <f t="shared" si="1"/>
        <v>0</v>
      </c>
      <c r="J11" s="703">
        <f t="shared" si="1"/>
        <v>0</v>
      </c>
      <c r="K11" s="703">
        <f t="shared" si="1"/>
        <v>0</v>
      </c>
      <c r="L11" s="703">
        <f t="shared" si="1"/>
        <v>0</v>
      </c>
      <c r="M11" s="703">
        <f t="shared" si="1"/>
        <v>0</v>
      </c>
      <c r="N11" s="703">
        <f t="shared" si="1"/>
        <v>0</v>
      </c>
      <c r="O11" s="703">
        <f t="shared" si="1"/>
        <v>0</v>
      </c>
      <c r="P11" s="804">
        <f t="shared" si="1"/>
        <v>0</v>
      </c>
    </row>
    <row r="12" spans="1:17">
      <c r="A12" s="953">
        <f>+A11+1</f>
        <v>3</v>
      </c>
      <c r="B12" s="574"/>
      <c r="C12" s="277"/>
      <c r="D12" s="277"/>
      <c r="E12" s="277"/>
      <c r="F12" s="277"/>
      <c r="G12" s="277"/>
      <c r="H12" s="277"/>
      <c r="I12" s="277"/>
      <c r="J12" s="277"/>
      <c r="K12" s="277"/>
      <c r="L12" s="277"/>
      <c r="M12" s="277"/>
      <c r="N12" s="277"/>
      <c r="O12" s="277"/>
    </row>
    <row r="13" spans="1:17">
      <c r="A13" s="953">
        <f>+A12+1</f>
        <v>4</v>
      </c>
      <c r="B13" s="699" t="s">
        <v>506</v>
      </c>
      <c r="C13" s="277"/>
      <c r="D13" s="277"/>
      <c r="E13" s="277"/>
      <c r="F13" s="277"/>
      <c r="G13" s="277"/>
      <c r="H13" s="277"/>
      <c r="I13" s="277"/>
      <c r="J13" s="277"/>
      <c r="K13" s="277"/>
      <c r="L13" s="277"/>
      <c r="M13" s="277"/>
      <c r="N13" s="277"/>
      <c r="O13" s="277"/>
    </row>
    <row r="14" spans="1:17">
      <c r="A14" s="1352">
        <f>+A13+0.1</f>
        <v>4.0999999999999996</v>
      </c>
      <c r="B14" s="1302" t="s">
        <v>905</v>
      </c>
      <c r="C14" s="194"/>
      <c r="D14" s="194"/>
      <c r="E14" s="194"/>
      <c r="F14" s="194"/>
      <c r="G14" s="194"/>
      <c r="H14" s="194"/>
      <c r="I14" s="194"/>
      <c r="J14" s="194"/>
      <c r="K14" s="194"/>
      <c r="L14" s="194"/>
      <c r="M14" s="194"/>
      <c r="N14" s="194"/>
      <c r="O14" s="194"/>
      <c r="P14" s="527">
        <f t="shared" ref="P14:P16" si="2">+SUM(C14:O14)/13</f>
        <v>0</v>
      </c>
    </row>
    <row r="15" spans="1:17">
      <c r="A15" s="1352" t="s">
        <v>899</v>
      </c>
      <c r="B15" s="1302" t="s">
        <v>905</v>
      </c>
      <c r="C15" s="194"/>
      <c r="D15" s="194"/>
      <c r="E15" s="194"/>
      <c r="F15" s="194"/>
      <c r="G15" s="194"/>
      <c r="H15" s="194"/>
      <c r="I15" s="194"/>
      <c r="J15" s="194"/>
      <c r="K15" s="194"/>
      <c r="L15" s="194"/>
      <c r="M15" s="194"/>
      <c r="N15" s="194"/>
      <c r="O15" s="194"/>
      <c r="P15" s="527">
        <f t="shared" si="2"/>
        <v>0</v>
      </c>
    </row>
    <row r="16" spans="1:17">
      <c r="A16" s="1352" t="s">
        <v>900</v>
      </c>
      <c r="B16" s="1302" t="s">
        <v>905</v>
      </c>
      <c r="C16" s="264"/>
      <c r="D16" s="264"/>
      <c r="E16" s="264"/>
      <c r="F16" s="264"/>
      <c r="G16" s="264"/>
      <c r="H16" s="264"/>
      <c r="I16" s="264"/>
      <c r="J16" s="264"/>
      <c r="K16" s="264"/>
      <c r="L16" s="264"/>
      <c r="M16" s="264"/>
      <c r="N16" s="264"/>
      <c r="O16" s="264"/>
      <c r="P16" s="565">
        <f t="shared" si="2"/>
        <v>0</v>
      </c>
    </row>
    <row r="17" spans="1:16" s="43" customFormat="1">
      <c r="A17" s="953">
        <f>+A13+1</f>
        <v>5</v>
      </c>
      <c r="B17" s="574" t="str">
        <f>+"Total - Transm Substation (Sum of Line "&amp;A13&amp;" Subparts)"</f>
        <v>Total - Transm Substation (Sum of Line 4 Subparts)</v>
      </c>
      <c r="C17" s="78">
        <f t="shared" ref="C17:O17" si="3">SUM(C14:C16)</f>
        <v>0</v>
      </c>
      <c r="D17" s="78">
        <f t="shared" si="3"/>
        <v>0</v>
      </c>
      <c r="E17" s="78">
        <f t="shared" si="3"/>
        <v>0</v>
      </c>
      <c r="F17" s="78">
        <f t="shared" si="3"/>
        <v>0</v>
      </c>
      <c r="G17" s="78">
        <f t="shared" si="3"/>
        <v>0</v>
      </c>
      <c r="H17" s="78">
        <f t="shared" si="3"/>
        <v>0</v>
      </c>
      <c r="I17" s="78">
        <f t="shared" si="3"/>
        <v>0</v>
      </c>
      <c r="J17" s="78">
        <f t="shared" si="3"/>
        <v>0</v>
      </c>
      <c r="K17" s="78">
        <f t="shared" si="3"/>
        <v>0</v>
      </c>
      <c r="L17" s="78">
        <f t="shared" si="3"/>
        <v>0</v>
      </c>
      <c r="M17" s="78">
        <f t="shared" si="3"/>
        <v>0</v>
      </c>
      <c r="N17" s="78">
        <f t="shared" si="3"/>
        <v>0</v>
      </c>
      <c r="O17" s="78">
        <f t="shared" si="3"/>
        <v>0</v>
      </c>
      <c r="P17" s="78">
        <f>+SUM(C17:O17)/13</f>
        <v>0</v>
      </c>
    </row>
    <row r="18" spans="1:16" s="43" customFormat="1">
      <c r="A18" s="953">
        <f>+A17+1</f>
        <v>6</v>
      </c>
      <c r="B18" s="574"/>
      <c r="C18" s="78"/>
      <c r="D18" s="78"/>
      <c r="E18" s="78"/>
      <c r="F18" s="78"/>
      <c r="G18" s="78"/>
      <c r="H18" s="78"/>
      <c r="I18" s="78"/>
      <c r="J18" s="78"/>
      <c r="K18" s="78"/>
      <c r="L18" s="78"/>
      <c r="M18" s="78"/>
      <c r="N18" s="78"/>
      <c r="O18" s="78"/>
      <c r="P18" s="78"/>
    </row>
    <row r="19" spans="1:16" ht="13.8" thickBot="1">
      <c r="A19" s="953">
        <f>+A18+1</f>
        <v>7</v>
      </c>
      <c r="B19" s="206" t="s">
        <v>507</v>
      </c>
      <c r="C19" s="704">
        <f t="shared" ref="C19:P19" si="4">+C11+C17</f>
        <v>0</v>
      </c>
      <c r="D19" s="704">
        <f t="shared" si="4"/>
        <v>0</v>
      </c>
      <c r="E19" s="704">
        <f t="shared" si="4"/>
        <v>0</v>
      </c>
      <c r="F19" s="704">
        <f t="shared" si="4"/>
        <v>0</v>
      </c>
      <c r="G19" s="704">
        <f t="shared" si="4"/>
        <v>0</v>
      </c>
      <c r="H19" s="704">
        <f t="shared" si="4"/>
        <v>0</v>
      </c>
      <c r="I19" s="704">
        <f t="shared" si="4"/>
        <v>0</v>
      </c>
      <c r="J19" s="704">
        <f t="shared" si="4"/>
        <v>0</v>
      </c>
      <c r="K19" s="704">
        <f t="shared" si="4"/>
        <v>0</v>
      </c>
      <c r="L19" s="704">
        <f t="shared" si="4"/>
        <v>0</v>
      </c>
      <c r="M19" s="704">
        <f t="shared" si="4"/>
        <v>0</v>
      </c>
      <c r="N19" s="704">
        <f t="shared" si="4"/>
        <v>0</v>
      </c>
      <c r="O19" s="704">
        <f t="shared" si="4"/>
        <v>0</v>
      </c>
      <c r="P19" s="704">
        <f t="shared" si="4"/>
        <v>0</v>
      </c>
    </row>
    <row r="20" spans="1:16" ht="13.8" thickTop="1">
      <c r="A20" s="953"/>
      <c r="B20" s="574" t="str">
        <f>+"Sum of Lines "&amp;A11&amp;" + "&amp;A17</f>
        <v>Sum of Lines 2 + 5</v>
      </c>
      <c r="C20" s="256"/>
      <c r="D20" s="256"/>
    </row>
    <row r="21" spans="1:16">
      <c r="A21" s="953"/>
      <c r="B21" s="574"/>
      <c r="C21" s="256"/>
      <c r="D21" s="256"/>
    </row>
    <row r="22" spans="1:16">
      <c r="A22" s="45" t="s">
        <v>299</v>
      </c>
    </row>
    <row r="23" spans="1:16">
      <c r="A23" s="780" t="s">
        <v>171</v>
      </c>
      <c r="B23" s="2049" t="str">
        <f>+"Reference Appendix A Note "&amp;'Appendix A'!A320</f>
        <v>Reference Appendix A Note M</v>
      </c>
      <c r="C23" s="2049"/>
      <c r="D23" s="2049"/>
      <c r="E23" s="2049"/>
      <c r="F23" s="2049"/>
      <c r="G23" s="2049"/>
      <c r="H23" s="2049"/>
      <c r="I23" s="2049"/>
      <c r="J23" s="2049"/>
      <c r="K23" s="2049"/>
      <c r="L23" s="2049"/>
      <c r="M23" s="2049"/>
      <c r="N23" s="2049"/>
      <c r="O23" s="2049"/>
      <c r="P23" s="2049"/>
    </row>
  </sheetData>
  <mergeCells count="4">
    <mergeCell ref="A3:P3"/>
    <mergeCell ref="B23:P23"/>
    <mergeCell ref="A1:P1"/>
    <mergeCell ref="A2:P2"/>
  </mergeCells>
  <pageMargins left="0.7" right="0.7" top="0.7" bottom="0.7" header="0.3" footer="0.5"/>
  <pageSetup scale="59" orientation="landscape"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87"/>
  <sheetViews>
    <sheetView zoomScaleNormal="100" zoomScaleSheetLayoutView="90" workbookViewId="0">
      <selection activeCell="L6" sqref="L6"/>
    </sheetView>
  </sheetViews>
  <sheetFormatPr defaultColWidth="9.109375" defaultRowHeight="13.2"/>
  <cols>
    <col min="1" max="1" width="5.44140625" style="175" customWidth="1"/>
    <col min="2" max="2" width="51.44140625" style="174" customWidth="1"/>
    <col min="3" max="3" width="11.44140625" style="174" customWidth="1"/>
    <col min="4" max="4" width="12.6640625" style="174" customWidth="1"/>
    <col min="5" max="5" width="15.33203125" style="174" bestFit="1" customWidth="1"/>
    <col min="6" max="6" width="11.88671875" style="174" customWidth="1"/>
    <col min="7" max="7" width="11.44140625" style="174" customWidth="1"/>
    <col min="8" max="8" width="11" style="174" customWidth="1"/>
    <col min="9" max="9" width="9.88671875" style="174" customWidth="1"/>
    <col min="10" max="10" width="9.109375" style="174"/>
    <col min="11" max="11" width="7.5546875" style="174" customWidth="1"/>
    <col min="12" max="12" width="34" style="1627" customWidth="1"/>
    <col min="13" max="13" width="16.109375" style="174" customWidth="1"/>
    <col min="14" max="14" width="9.109375" style="174"/>
    <col min="15" max="15" width="9.109375" style="44"/>
    <col min="16" max="16384" width="9.109375" style="174"/>
  </cols>
  <sheetData>
    <row r="1" spans="1:15">
      <c r="A1" s="2083" t="str">
        <f>+'MISO Cover'!C6</f>
        <v>Entergy New Orleans, Inc.</v>
      </c>
      <c r="B1" s="2083"/>
      <c r="C1" s="2083"/>
      <c r="D1" s="2083"/>
      <c r="E1" s="2083"/>
      <c r="F1" s="2083"/>
      <c r="G1" s="2083"/>
      <c r="H1" s="2083"/>
      <c r="I1" s="2083"/>
      <c r="O1" s="174"/>
    </row>
    <row r="2" spans="1:15">
      <c r="A2" s="2083" t="s">
        <v>651</v>
      </c>
      <c r="B2" s="2083"/>
      <c r="C2" s="2083"/>
      <c r="D2" s="2083"/>
      <c r="E2" s="2083"/>
      <c r="F2" s="2083"/>
      <c r="G2" s="2083"/>
      <c r="H2" s="2083"/>
      <c r="I2" s="2083"/>
      <c r="O2" s="174"/>
    </row>
    <row r="3" spans="1:15">
      <c r="A3" s="2131" t="str">
        <f>+'MISO Cover'!K4</f>
        <v>For  the 12 Months Ended 12/31/2016</v>
      </c>
      <c r="B3" s="2131"/>
      <c r="C3" s="2131"/>
      <c r="D3" s="2131"/>
      <c r="E3" s="2131"/>
      <c r="F3" s="2131"/>
      <c r="G3" s="2131"/>
      <c r="H3" s="2131"/>
      <c r="I3" s="2131"/>
      <c r="K3" s="809"/>
      <c r="O3" s="174"/>
    </row>
    <row r="4" spans="1:15">
      <c r="B4" s="810"/>
      <c r="C4" s="765"/>
      <c r="D4" s="765"/>
      <c r="E4" s="765"/>
      <c r="F4" s="765"/>
      <c r="G4" s="765"/>
      <c r="H4" s="765"/>
      <c r="I4" s="765"/>
      <c r="O4" s="174"/>
    </row>
    <row r="5" spans="1:15" s="285" customFormat="1">
      <c r="A5" s="724" t="s">
        <v>281</v>
      </c>
      <c r="B5" s="1452" t="s">
        <v>68</v>
      </c>
      <c r="C5" s="1452" t="s">
        <v>958</v>
      </c>
      <c r="D5" s="1452" t="s">
        <v>56</v>
      </c>
      <c r="E5" s="1452" t="s">
        <v>69</v>
      </c>
      <c r="F5" s="1452" t="s">
        <v>67</v>
      </c>
      <c r="G5" s="1452" t="s">
        <v>959</v>
      </c>
      <c r="H5" s="1452" t="s">
        <v>70</v>
      </c>
      <c r="I5" s="1452" t="s">
        <v>170</v>
      </c>
      <c r="L5" s="1627"/>
    </row>
    <row r="6" spans="1:15" s="44" customFormat="1">
      <c r="A6" s="723"/>
      <c r="B6" s="550"/>
      <c r="C6" s="551"/>
      <c r="D6" s="551"/>
      <c r="E6" s="551"/>
      <c r="F6" s="551"/>
      <c r="G6" s="551"/>
      <c r="H6" s="551"/>
      <c r="I6" s="550"/>
      <c r="L6" s="256"/>
    </row>
    <row r="7" spans="1:15">
      <c r="A7" s="206">
        <v>1</v>
      </c>
      <c r="B7" s="555" t="s">
        <v>451</v>
      </c>
      <c r="C7" s="556" t="s">
        <v>452</v>
      </c>
      <c r="D7" s="636" t="s">
        <v>137</v>
      </c>
      <c r="E7" s="639"/>
      <c r="F7" s="639" t="s">
        <v>173</v>
      </c>
      <c r="G7" s="640" t="s">
        <v>156</v>
      </c>
      <c r="H7" s="559" t="s">
        <v>22</v>
      </c>
      <c r="I7" s="556" t="s">
        <v>172</v>
      </c>
      <c r="O7" s="174"/>
    </row>
    <row r="8" spans="1:15">
      <c r="A8" s="206">
        <f>+A7+0.1</f>
        <v>1.1000000000000001</v>
      </c>
      <c r="B8" s="552" t="s">
        <v>449</v>
      </c>
      <c r="C8" s="201">
        <f>SUM(D8:G8)</f>
        <v>1044514.2699999999</v>
      </c>
      <c r="D8" s="637">
        <v>1041642.26</v>
      </c>
      <c r="E8" s="518"/>
      <c r="F8" s="282">
        <v>-41927.950000000114</v>
      </c>
      <c r="G8" s="920">
        <f>+H8+I8</f>
        <v>44799.960000000006</v>
      </c>
      <c r="H8" s="557"/>
      <c r="I8" s="282">
        <v>44799.960000000006</v>
      </c>
      <c r="O8" s="174"/>
    </row>
    <row r="9" spans="1:15" s="285" customFormat="1" ht="15">
      <c r="A9" s="206">
        <f>+A8+0.1</f>
        <v>1.2000000000000002</v>
      </c>
      <c r="B9" s="553" t="s">
        <v>450</v>
      </c>
      <c r="C9" s="230">
        <f>SUM(D9:G9)</f>
        <v>775056.36999999988</v>
      </c>
      <c r="D9" s="638"/>
      <c r="E9" s="554"/>
      <c r="F9" s="554"/>
      <c r="G9" s="1563">
        <f>+H9+I9</f>
        <v>775056.36999999988</v>
      </c>
      <c r="H9" s="558">
        <v>775056.36999999988</v>
      </c>
      <c r="I9" s="554"/>
      <c r="L9" s="1627"/>
    </row>
    <row r="10" spans="1:15" s="285" customFormat="1">
      <c r="A10" s="206">
        <f>+A7+1</f>
        <v>2</v>
      </c>
      <c r="B10" s="1564" t="s">
        <v>555</v>
      </c>
      <c r="C10" s="1199">
        <f>SUM(C8:C9)</f>
        <v>1819570.6399999997</v>
      </c>
      <c r="D10" s="1200">
        <f>SUM(D8:D9)</f>
        <v>1041642.26</v>
      </c>
      <c r="E10" s="1199"/>
      <c r="F10" s="1199">
        <f>SUM(F8:F9)</f>
        <v>-41927.950000000114</v>
      </c>
      <c r="G10" s="1199">
        <f>+G8+G9</f>
        <v>819856.32999999984</v>
      </c>
      <c r="H10" s="1201">
        <f>SUM(H8:H9)</f>
        <v>775056.36999999988</v>
      </c>
      <c r="I10" s="1199">
        <f>SUM(I8:I9)</f>
        <v>44799.960000000006</v>
      </c>
      <c r="L10" s="1627"/>
    </row>
    <row r="11" spans="1:15" s="285" customFormat="1">
      <c r="A11" s="206">
        <f>1+A10</f>
        <v>3</v>
      </c>
      <c r="B11" s="549"/>
      <c r="C11" s="548"/>
      <c r="D11" s="548"/>
      <c r="E11" s="548"/>
      <c r="F11" s="548"/>
      <c r="G11" s="548"/>
      <c r="H11" s="548"/>
      <c r="I11" s="548"/>
      <c r="L11" s="1627"/>
    </row>
    <row r="12" spans="1:15" s="285" customFormat="1">
      <c r="A12" s="1195">
        <f>1+A11</f>
        <v>4</v>
      </c>
      <c r="B12" s="1202"/>
      <c r="C12" s="502"/>
      <c r="D12" s="2130" t="s">
        <v>790</v>
      </c>
      <c r="E12" s="2130"/>
      <c r="F12" s="2130"/>
      <c r="G12" s="2130"/>
      <c r="L12" s="1158"/>
    </row>
    <row r="13" spans="1:15" s="1153" customFormat="1">
      <c r="A13" s="1195">
        <f t="shared" ref="A13:A14" si="0">1+A12</f>
        <v>5</v>
      </c>
      <c r="B13" s="1202"/>
      <c r="C13" s="502"/>
      <c r="D13" s="2129" t="s">
        <v>137</v>
      </c>
      <c r="E13" s="2129"/>
      <c r="F13" s="1203"/>
      <c r="G13" s="1203"/>
      <c r="L13" s="1627"/>
    </row>
    <row r="14" spans="1:15" s="805" customFormat="1">
      <c r="A14" s="1195">
        <f t="shared" si="0"/>
        <v>6</v>
      </c>
      <c r="B14" s="1204" t="s">
        <v>453</v>
      </c>
      <c r="C14" s="603"/>
      <c r="D14" s="605" t="s">
        <v>541</v>
      </c>
      <c r="E14" s="1205" t="s">
        <v>756</v>
      </c>
      <c r="F14" s="1206" t="s">
        <v>145</v>
      </c>
      <c r="G14" s="606" t="s">
        <v>156</v>
      </c>
      <c r="H14" s="1154"/>
      <c r="I14" s="1158"/>
      <c r="J14" s="1153"/>
      <c r="K14" s="1153"/>
      <c r="L14" s="502"/>
    </row>
    <row r="15" spans="1:15" ht="15.75" customHeight="1">
      <c r="A15" s="889">
        <f>+A14+0.01</f>
        <v>6.01</v>
      </c>
      <c r="B15" s="187" t="s">
        <v>1173</v>
      </c>
      <c r="C15" s="282">
        <v>0</v>
      </c>
      <c r="D15" s="607"/>
      <c r="E15" s="518"/>
      <c r="F15" s="518"/>
      <c r="G15" s="608">
        <f t="shared" ref="G15:G23" si="1">+C15</f>
        <v>0</v>
      </c>
      <c r="H15" s="604"/>
      <c r="I15" s="1716"/>
      <c r="K15" s="44"/>
      <c r="M15" s="44"/>
      <c r="N15" s="44"/>
    </row>
    <row r="16" spans="1:15" s="805" customFormat="1" ht="15.75" customHeight="1">
      <c r="A16" s="889">
        <f t="shared" ref="A16:A57" si="2">+A15+0.01</f>
        <v>6.02</v>
      </c>
      <c r="B16" s="1565" t="s">
        <v>1174</v>
      </c>
      <c r="C16" s="282">
        <v>0</v>
      </c>
      <c r="D16" s="607"/>
      <c r="E16" s="518"/>
      <c r="F16" s="518"/>
      <c r="G16" s="608">
        <f t="shared" si="1"/>
        <v>0</v>
      </c>
      <c r="I16" s="502"/>
      <c r="L16" s="502"/>
    </row>
    <row r="17" spans="1:16" ht="15.75" customHeight="1">
      <c r="A17" s="889">
        <f t="shared" si="2"/>
        <v>6.0299999999999994</v>
      </c>
      <c r="B17" s="187" t="s">
        <v>1175</v>
      </c>
      <c r="C17" s="282">
        <v>0</v>
      </c>
      <c r="D17" s="607"/>
      <c r="E17" s="518"/>
      <c r="F17" s="518"/>
      <c r="G17" s="608">
        <f t="shared" si="1"/>
        <v>0</v>
      </c>
      <c r="I17" s="1627"/>
      <c r="J17" s="806"/>
      <c r="K17" s="524"/>
      <c r="L17" s="256"/>
      <c r="M17" s="524"/>
      <c r="N17" s="524"/>
      <c r="O17" s="524"/>
      <c r="P17" s="806"/>
    </row>
    <row r="18" spans="1:16" s="805" customFormat="1" ht="15.75" customHeight="1">
      <c r="A18" s="889">
        <f t="shared" si="2"/>
        <v>6.0399999999999991</v>
      </c>
      <c r="B18" s="187" t="s">
        <v>1176</v>
      </c>
      <c r="C18" s="282">
        <v>40800</v>
      </c>
      <c r="D18" s="607"/>
      <c r="E18" s="518"/>
      <c r="F18" s="518"/>
      <c r="G18" s="608">
        <f t="shared" si="1"/>
        <v>40800</v>
      </c>
      <c r="I18" s="502"/>
      <c r="L18" s="502"/>
    </row>
    <row r="19" spans="1:16" s="805" customFormat="1" ht="15.75" customHeight="1">
      <c r="A19" s="889">
        <f t="shared" si="2"/>
        <v>6.0499999999999989</v>
      </c>
      <c r="B19" s="187" t="s">
        <v>1177</v>
      </c>
      <c r="C19" s="282">
        <v>0</v>
      </c>
      <c r="D19" s="607"/>
      <c r="E19" s="518"/>
      <c r="F19" s="518"/>
      <c r="G19" s="608">
        <f>+C19</f>
        <v>0</v>
      </c>
      <c r="I19" s="502"/>
      <c r="L19" s="502"/>
    </row>
    <row r="20" spans="1:16" s="805" customFormat="1" ht="15.75" customHeight="1">
      <c r="A20" s="889">
        <f t="shared" si="2"/>
        <v>6.0599999999999987</v>
      </c>
      <c r="B20" s="187" t="s">
        <v>1178</v>
      </c>
      <c r="C20" s="282">
        <v>0</v>
      </c>
      <c r="D20" s="607"/>
      <c r="E20" s="518"/>
      <c r="F20" s="518"/>
      <c r="G20" s="608">
        <f>+C20</f>
        <v>0</v>
      </c>
      <c r="I20" s="502"/>
      <c r="L20" s="502"/>
    </row>
    <row r="21" spans="1:16" s="805" customFormat="1" ht="15.75" customHeight="1">
      <c r="A21" s="889">
        <f t="shared" si="2"/>
        <v>6.0699999999999985</v>
      </c>
      <c r="B21" s="187" t="s">
        <v>1179</v>
      </c>
      <c r="C21" s="282">
        <v>177110.63</v>
      </c>
      <c r="D21" s="607"/>
      <c r="E21" s="518"/>
      <c r="F21" s="518"/>
      <c r="G21" s="608">
        <f t="shared" si="1"/>
        <v>177110.63</v>
      </c>
      <c r="I21" s="502"/>
      <c r="L21" s="502"/>
    </row>
    <row r="22" spans="1:16" ht="15.75" customHeight="1">
      <c r="A22" s="889">
        <f t="shared" si="2"/>
        <v>6.0799999999999983</v>
      </c>
      <c r="B22" s="1565" t="s">
        <v>1180</v>
      </c>
      <c r="C22" s="282">
        <v>0</v>
      </c>
      <c r="D22" s="607"/>
      <c r="E22" s="518"/>
      <c r="F22" s="518"/>
      <c r="G22" s="608">
        <f t="shared" si="1"/>
        <v>0</v>
      </c>
      <c r="H22" s="176"/>
      <c r="I22" s="502"/>
      <c r="J22" s="805"/>
      <c r="K22" s="44"/>
      <c r="L22" s="256"/>
      <c r="M22" s="44"/>
      <c r="N22" s="44"/>
    </row>
    <row r="23" spans="1:16" ht="15.75" customHeight="1">
      <c r="A23" s="889">
        <f t="shared" si="2"/>
        <v>6.0899999999999981</v>
      </c>
      <c r="B23" s="187" t="s">
        <v>1181</v>
      </c>
      <c r="C23" s="282">
        <v>0</v>
      </c>
      <c r="D23" s="607"/>
      <c r="E23" s="518"/>
      <c r="F23" s="518"/>
      <c r="G23" s="608">
        <f t="shared" si="1"/>
        <v>0</v>
      </c>
      <c r="H23" s="805"/>
      <c r="I23" s="502"/>
      <c r="J23" s="805"/>
      <c r="K23" s="44"/>
      <c r="L23" s="256"/>
      <c r="M23" s="44"/>
      <c r="N23" s="44"/>
    </row>
    <row r="24" spans="1:16" ht="15.75" customHeight="1">
      <c r="A24" s="889">
        <f t="shared" si="2"/>
        <v>6.0999999999999979</v>
      </c>
      <c r="B24" s="187" t="s">
        <v>1182</v>
      </c>
      <c r="C24" s="282">
        <v>0</v>
      </c>
      <c r="D24" s="607"/>
      <c r="E24" s="518">
        <f>+C24</f>
        <v>0</v>
      </c>
      <c r="F24" s="518"/>
      <c r="G24" s="608"/>
      <c r="H24" s="807"/>
      <c r="I24" s="1627"/>
      <c r="K24" s="44"/>
      <c r="L24" s="256"/>
      <c r="M24" s="44"/>
      <c r="N24" s="44"/>
    </row>
    <row r="25" spans="1:16" ht="15.75" customHeight="1">
      <c r="A25" s="889">
        <f t="shared" si="2"/>
        <v>6.1099999999999977</v>
      </c>
      <c r="B25" s="1565" t="s">
        <v>1183</v>
      </c>
      <c r="C25" s="282">
        <v>0</v>
      </c>
      <c r="D25" s="1207">
        <f>+C25</f>
        <v>0</v>
      </c>
      <c r="E25" s="203"/>
      <c r="F25" s="203"/>
      <c r="G25" s="608"/>
      <c r="I25" s="1627"/>
      <c r="K25" s="44"/>
      <c r="L25" s="256"/>
      <c r="M25" s="44"/>
      <c r="N25" s="44"/>
    </row>
    <row r="26" spans="1:16" ht="15.75" customHeight="1">
      <c r="A26" s="889">
        <f t="shared" si="2"/>
        <v>6.1199999999999974</v>
      </c>
      <c r="B26" s="187" t="s">
        <v>1184</v>
      </c>
      <c r="C26" s="282">
        <v>804820.75</v>
      </c>
      <c r="D26" s="1207"/>
      <c r="E26" s="203">
        <f>+C26</f>
        <v>804820.75</v>
      </c>
      <c r="F26" s="203"/>
      <c r="G26" s="608"/>
      <c r="I26" s="1627"/>
      <c r="K26" s="44"/>
      <c r="L26" s="256"/>
      <c r="M26" s="44"/>
      <c r="N26" s="44"/>
    </row>
    <row r="27" spans="1:16" s="805" customFormat="1" ht="15.75" customHeight="1">
      <c r="A27" s="889">
        <f t="shared" si="2"/>
        <v>6.1299999999999972</v>
      </c>
      <c r="B27" s="1565" t="s">
        <v>1185</v>
      </c>
      <c r="C27" s="282">
        <v>0</v>
      </c>
      <c r="D27" s="607"/>
      <c r="E27" s="518"/>
      <c r="F27" s="518"/>
      <c r="G27" s="608">
        <f>+C27</f>
        <v>0</v>
      </c>
      <c r="H27" s="174"/>
      <c r="I27" s="174"/>
      <c r="J27" s="174"/>
      <c r="L27" s="502"/>
    </row>
    <row r="28" spans="1:16" ht="15.75" customHeight="1">
      <c r="A28" s="889">
        <f t="shared" si="2"/>
        <v>6.139999999999997</v>
      </c>
      <c r="B28" s="187" t="s">
        <v>1186</v>
      </c>
      <c r="C28" s="282">
        <v>0</v>
      </c>
      <c r="D28" s="607"/>
      <c r="E28" s="518"/>
      <c r="F28" s="518"/>
      <c r="G28" s="608">
        <f>+C28</f>
        <v>0</v>
      </c>
      <c r="K28" s="44"/>
      <c r="L28" s="256"/>
      <c r="M28" s="44"/>
      <c r="N28" s="44"/>
    </row>
    <row r="29" spans="1:16" ht="15.75" customHeight="1">
      <c r="A29" s="889">
        <f t="shared" si="2"/>
        <v>6.1499999999999968</v>
      </c>
      <c r="B29" s="187" t="s">
        <v>1187</v>
      </c>
      <c r="C29" s="282">
        <v>0</v>
      </c>
      <c r="D29" s="607">
        <f>+C29</f>
        <v>0</v>
      </c>
      <c r="E29" s="518"/>
      <c r="F29" s="203"/>
      <c r="G29" s="1208"/>
      <c r="H29" s="805"/>
      <c r="I29" s="805"/>
      <c r="J29" s="805"/>
      <c r="K29" s="44"/>
      <c r="L29" s="256"/>
      <c r="M29" s="44"/>
      <c r="N29" s="44"/>
    </row>
    <row r="30" spans="1:16" ht="15.75" customHeight="1">
      <c r="A30" s="889">
        <f t="shared" si="2"/>
        <v>6.1599999999999966</v>
      </c>
      <c r="B30" s="187" t="s">
        <v>1188</v>
      </c>
      <c r="C30" s="282">
        <v>0</v>
      </c>
      <c r="D30" s="607">
        <f>+C30</f>
        <v>0</v>
      </c>
      <c r="E30" s="518"/>
      <c r="F30" s="203"/>
      <c r="G30" s="1209"/>
      <c r="K30" s="44"/>
      <c r="L30" s="256"/>
      <c r="M30" s="44"/>
      <c r="N30" s="44"/>
    </row>
    <row r="31" spans="1:16" ht="15.75" customHeight="1">
      <c r="A31" s="889">
        <f t="shared" si="2"/>
        <v>6.1699999999999964</v>
      </c>
      <c r="B31" s="187" t="s">
        <v>1189</v>
      </c>
      <c r="C31" s="282">
        <v>0</v>
      </c>
      <c r="D31" s="1207"/>
      <c r="E31" s="203">
        <f>+C31</f>
        <v>0</v>
      </c>
      <c r="F31" s="203"/>
      <c r="G31" s="608"/>
      <c r="K31" s="44"/>
      <c r="L31" s="256"/>
      <c r="M31" s="44"/>
      <c r="N31" s="44"/>
    </row>
    <row r="32" spans="1:16" ht="15.75" customHeight="1">
      <c r="A32" s="889">
        <f t="shared" si="2"/>
        <v>6.1799999999999962</v>
      </c>
      <c r="B32" s="187" t="s">
        <v>1190</v>
      </c>
      <c r="C32" s="282">
        <v>0</v>
      </c>
      <c r="D32" s="607"/>
      <c r="E32" s="518"/>
      <c r="F32" s="518"/>
      <c r="G32" s="608">
        <f>+C32</f>
        <v>0</v>
      </c>
      <c r="K32" s="44"/>
      <c r="L32" s="256"/>
      <c r="M32" s="44"/>
      <c r="N32" s="44"/>
    </row>
    <row r="33" spans="1:14" ht="15.75" customHeight="1">
      <c r="A33" s="889">
        <f t="shared" si="2"/>
        <v>6.1899999999999959</v>
      </c>
      <c r="B33" s="187" t="s">
        <v>1191</v>
      </c>
      <c r="C33" s="282">
        <v>0</v>
      </c>
      <c r="D33" s="607"/>
      <c r="E33" s="518"/>
      <c r="F33" s="518"/>
      <c r="G33" s="608">
        <f>+C33</f>
        <v>0</v>
      </c>
      <c r="K33" s="44"/>
      <c r="L33" s="256"/>
      <c r="M33" s="44"/>
      <c r="N33" s="44"/>
    </row>
    <row r="34" spans="1:14" ht="15.75" customHeight="1">
      <c r="A34" s="889">
        <f t="shared" si="2"/>
        <v>6.1999999999999957</v>
      </c>
      <c r="B34" s="187" t="s">
        <v>1192</v>
      </c>
      <c r="C34" s="282">
        <v>0</v>
      </c>
      <c r="D34" s="607"/>
      <c r="E34" s="518"/>
      <c r="F34" s="518"/>
      <c r="G34" s="608">
        <f>+C34</f>
        <v>0</v>
      </c>
      <c r="K34" s="44"/>
      <c r="L34" s="256"/>
      <c r="M34" s="44"/>
      <c r="N34" s="44"/>
    </row>
    <row r="35" spans="1:14" ht="15.75" customHeight="1">
      <c r="A35" s="889">
        <f t="shared" si="2"/>
        <v>6.2099999999999955</v>
      </c>
      <c r="B35" s="1565" t="s">
        <v>1193</v>
      </c>
      <c r="C35" s="282">
        <v>0</v>
      </c>
      <c r="D35" s="607"/>
      <c r="E35" s="518"/>
      <c r="F35" s="518">
        <f>+C35</f>
        <v>0</v>
      </c>
      <c r="G35" s="1208"/>
      <c r="K35" s="44"/>
      <c r="L35" s="256"/>
      <c r="M35" s="44"/>
      <c r="N35" s="44"/>
    </row>
    <row r="36" spans="1:14" ht="15.75" customHeight="1">
      <c r="A36" s="889">
        <f t="shared" si="2"/>
        <v>6.2199999999999953</v>
      </c>
      <c r="B36" s="187" t="s">
        <v>1194</v>
      </c>
      <c r="C36" s="282">
        <v>0</v>
      </c>
      <c r="D36" s="607"/>
      <c r="E36" s="518"/>
      <c r="F36" s="518"/>
      <c r="G36" s="608">
        <f>+C36</f>
        <v>0</v>
      </c>
      <c r="K36" s="44"/>
      <c r="L36" s="256"/>
      <c r="M36" s="44"/>
      <c r="N36" s="44"/>
    </row>
    <row r="37" spans="1:14" ht="15.75" customHeight="1">
      <c r="A37" s="889">
        <f t="shared" si="2"/>
        <v>6.2299999999999951</v>
      </c>
      <c r="B37" s="187" t="s">
        <v>1195</v>
      </c>
      <c r="C37" s="282">
        <v>23304.940000000002</v>
      </c>
      <c r="D37" s="607">
        <f>+C37</f>
        <v>23304.940000000002</v>
      </c>
      <c r="E37" s="518"/>
      <c r="F37" s="518"/>
      <c r="G37" s="1208"/>
      <c r="K37" s="44"/>
      <c r="L37" s="256"/>
      <c r="M37" s="44"/>
      <c r="N37" s="44"/>
    </row>
    <row r="38" spans="1:14" ht="15.75" customHeight="1">
      <c r="A38" s="889">
        <f t="shared" si="2"/>
        <v>6.2399999999999949</v>
      </c>
      <c r="B38" s="187" t="s">
        <v>1196</v>
      </c>
      <c r="C38" s="282">
        <v>455884.77999999997</v>
      </c>
      <c r="D38" s="607"/>
      <c r="E38" s="518">
        <f>+C38</f>
        <v>455884.77999999997</v>
      </c>
      <c r="F38" s="518"/>
      <c r="G38" s="1210"/>
      <c r="I38" s="808"/>
      <c r="K38" s="44"/>
      <c r="L38" s="256"/>
      <c r="M38" s="44"/>
      <c r="N38" s="44"/>
    </row>
    <row r="39" spans="1:14" ht="15.75" customHeight="1">
      <c r="A39" s="889">
        <f t="shared" si="2"/>
        <v>6.2499999999999947</v>
      </c>
      <c r="B39" s="187" t="s">
        <v>1197</v>
      </c>
      <c r="C39" s="282">
        <v>20863.7</v>
      </c>
      <c r="D39" s="607">
        <f>+C39</f>
        <v>20863.7</v>
      </c>
      <c r="E39" s="518"/>
      <c r="F39" s="518"/>
      <c r="G39" s="1208"/>
      <c r="K39" s="44"/>
      <c r="L39" s="256"/>
      <c r="M39" s="44"/>
      <c r="N39" s="44"/>
    </row>
    <row r="40" spans="1:14" ht="15.75" customHeight="1">
      <c r="A40" s="889">
        <f t="shared" si="2"/>
        <v>6.2599999999999945</v>
      </c>
      <c r="B40" s="187" t="s">
        <v>1198</v>
      </c>
      <c r="C40" s="282">
        <v>5054273.03</v>
      </c>
      <c r="D40" s="607"/>
      <c r="E40" s="518">
        <f>+C40</f>
        <v>5054273.03</v>
      </c>
      <c r="F40" s="518"/>
      <c r="G40" s="608"/>
      <c r="K40" s="44"/>
      <c r="L40" s="256"/>
      <c r="M40" s="44"/>
      <c r="N40" s="44"/>
    </row>
    <row r="41" spans="1:14" ht="15.75" customHeight="1">
      <c r="A41" s="889">
        <f t="shared" si="2"/>
        <v>6.2699999999999942</v>
      </c>
      <c r="B41" s="187" t="s">
        <v>1199</v>
      </c>
      <c r="C41" s="282">
        <v>365609.25</v>
      </c>
      <c r="D41" s="607"/>
      <c r="E41" s="518"/>
      <c r="F41" s="518"/>
      <c r="G41" s="608">
        <f>+C41</f>
        <v>365609.25</v>
      </c>
      <c r="H41" s="2127" t="s">
        <v>908</v>
      </c>
      <c r="I41" s="2128"/>
      <c r="K41" s="44"/>
      <c r="L41" s="256"/>
      <c r="M41" s="44"/>
      <c r="N41" s="44"/>
    </row>
    <row r="42" spans="1:14" ht="15.75" customHeight="1">
      <c r="A42" s="889">
        <f t="shared" si="2"/>
        <v>6.279999999999994</v>
      </c>
      <c r="B42" s="187" t="s">
        <v>1200</v>
      </c>
      <c r="C42" s="282">
        <v>-7409.6299999999974</v>
      </c>
      <c r="D42" s="607"/>
      <c r="E42" s="518"/>
      <c r="F42" s="518"/>
      <c r="G42" s="608">
        <f>+C42</f>
        <v>-7409.6299999999974</v>
      </c>
      <c r="H42" s="1291" t="s">
        <v>906</v>
      </c>
      <c r="I42" s="1292" t="s">
        <v>907</v>
      </c>
      <c r="K42" s="44"/>
      <c r="L42" s="256"/>
      <c r="M42" s="44"/>
      <c r="N42" s="44"/>
    </row>
    <row r="43" spans="1:14" ht="15.75" customHeight="1">
      <c r="A43" s="889">
        <f t="shared" si="2"/>
        <v>6.2899999999999938</v>
      </c>
      <c r="B43" s="187" t="s">
        <v>1201</v>
      </c>
      <c r="C43" s="282">
        <v>16792.189999999999</v>
      </c>
      <c r="D43" s="607"/>
      <c r="E43" s="518"/>
      <c r="F43" s="518"/>
      <c r="G43" s="608">
        <f>+C43</f>
        <v>16792.189999999999</v>
      </c>
      <c r="H43" s="1341">
        <v>-2249.6299999999978</v>
      </c>
      <c r="I43" s="1341">
        <v>-5160</v>
      </c>
      <c r="K43" s="44"/>
      <c r="L43" s="256"/>
      <c r="M43" s="44"/>
      <c r="N43" s="44"/>
    </row>
    <row r="44" spans="1:14" ht="15.75" customHeight="1">
      <c r="A44" s="889">
        <f t="shared" si="2"/>
        <v>6.2999999999999936</v>
      </c>
      <c r="B44" s="179" t="s">
        <v>1202</v>
      </c>
      <c r="C44" s="282">
        <v>0</v>
      </c>
      <c r="D44" s="607"/>
      <c r="E44" s="518">
        <f>+C44</f>
        <v>0</v>
      </c>
      <c r="F44" s="518"/>
      <c r="G44" s="608"/>
      <c r="K44" s="44"/>
      <c r="L44" s="256"/>
      <c r="M44" s="44"/>
      <c r="N44" s="44"/>
    </row>
    <row r="45" spans="1:14" ht="15.75" customHeight="1">
      <c r="A45" s="889">
        <f t="shared" si="2"/>
        <v>6.3099999999999934</v>
      </c>
      <c r="B45" s="187" t="s">
        <v>1203</v>
      </c>
      <c r="C45" s="282">
        <v>0</v>
      </c>
      <c r="D45" s="607"/>
      <c r="E45" s="518"/>
      <c r="F45" s="518"/>
      <c r="G45" s="608">
        <f>+C45</f>
        <v>0</v>
      </c>
      <c r="K45" s="44"/>
      <c r="L45" s="256"/>
      <c r="M45" s="44"/>
      <c r="N45" s="44"/>
    </row>
    <row r="46" spans="1:14" ht="15.75" customHeight="1">
      <c r="A46" s="889">
        <f t="shared" si="2"/>
        <v>6.3199999999999932</v>
      </c>
      <c r="B46" s="187" t="s">
        <v>1204</v>
      </c>
      <c r="C46" s="282">
        <v>195949.78999999963</v>
      </c>
      <c r="D46" s="607"/>
      <c r="E46" s="518"/>
      <c r="F46" s="518"/>
      <c r="G46" s="608">
        <f>+C46</f>
        <v>195949.78999999963</v>
      </c>
      <c r="K46" s="44"/>
      <c r="L46" s="256"/>
      <c r="M46" s="44"/>
      <c r="N46" s="44"/>
    </row>
    <row r="47" spans="1:14" ht="15.75" customHeight="1">
      <c r="A47" s="889">
        <f t="shared" si="2"/>
        <v>6.329999999999993</v>
      </c>
      <c r="B47" s="1565" t="s">
        <v>1205</v>
      </c>
      <c r="C47" s="282">
        <v>0</v>
      </c>
      <c r="D47" s="607"/>
      <c r="E47" s="518"/>
      <c r="F47" s="518"/>
      <c r="G47" s="608">
        <f>+C47</f>
        <v>0</v>
      </c>
      <c r="K47" s="44"/>
      <c r="L47" s="256"/>
      <c r="M47" s="44"/>
      <c r="N47" s="44"/>
    </row>
    <row r="48" spans="1:14" ht="15.75" customHeight="1">
      <c r="A48" s="889">
        <f t="shared" si="2"/>
        <v>6.3399999999999928</v>
      </c>
      <c r="B48" s="187" t="s">
        <v>1206</v>
      </c>
      <c r="C48" s="282">
        <v>0</v>
      </c>
      <c r="D48" s="607">
        <f>+C48</f>
        <v>0</v>
      </c>
      <c r="E48" s="518"/>
      <c r="F48" s="518"/>
      <c r="G48" s="1208"/>
      <c r="K48" s="44"/>
      <c r="L48" s="256"/>
      <c r="M48" s="44"/>
      <c r="N48" s="44"/>
    </row>
    <row r="49" spans="1:15" ht="15.75" customHeight="1">
      <c r="A49" s="889">
        <f t="shared" si="2"/>
        <v>6.3499999999999925</v>
      </c>
      <c r="B49" s="187" t="s">
        <v>1207</v>
      </c>
      <c r="C49" s="282">
        <v>339583.32999999996</v>
      </c>
      <c r="D49" s="607"/>
      <c r="E49" s="518"/>
      <c r="F49" s="518"/>
      <c r="G49" s="608">
        <f>+C49</f>
        <v>339583.32999999996</v>
      </c>
      <c r="I49" s="811"/>
      <c r="K49" s="44"/>
      <c r="L49" s="256"/>
      <c r="M49" s="44"/>
      <c r="N49" s="44"/>
    </row>
    <row r="50" spans="1:15" ht="15.75" customHeight="1">
      <c r="A50" s="889">
        <f t="shared" si="2"/>
        <v>6.3599999999999923</v>
      </c>
      <c r="B50" s="1566" t="s">
        <v>1208</v>
      </c>
      <c r="C50" s="282">
        <v>0</v>
      </c>
      <c r="D50" s="607"/>
      <c r="E50" s="518"/>
      <c r="F50" s="518"/>
      <c r="G50" s="608">
        <f>+C50</f>
        <v>0</v>
      </c>
      <c r="K50" s="44"/>
      <c r="L50" s="256"/>
      <c r="M50" s="44"/>
      <c r="N50" s="44"/>
    </row>
    <row r="51" spans="1:15" ht="15.75" customHeight="1">
      <c r="A51" s="889">
        <f t="shared" si="2"/>
        <v>6.3699999999999921</v>
      </c>
      <c r="B51" s="1250" t="s">
        <v>738</v>
      </c>
      <c r="C51" s="282">
        <v>0</v>
      </c>
      <c r="D51" s="607">
        <f>+C51</f>
        <v>0</v>
      </c>
      <c r="E51" s="518"/>
      <c r="F51" s="518"/>
      <c r="G51" s="608"/>
      <c r="K51" s="44"/>
      <c r="L51" s="256"/>
      <c r="M51" s="44"/>
      <c r="N51" s="44"/>
    </row>
    <row r="52" spans="1:15" ht="15.75" customHeight="1">
      <c r="A52" s="889">
        <f>ROUND(+A51+0.01,2)</f>
        <v>6.38</v>
      </c>
      <c r="B52" s="1250" t="s">
        <v>739</v>
      </c>
      <c r="C52" s="282">
        <v>0</v>
      </c>
      <c r="D52" s="607">
        <f>+C52</f>
        <v>0</v>
      </c>
      <c r="E52" s="518"/>
      <c r="F52" s="518"/>
      <c r="G52" s="608"/>
      <c r="K52" s="44"/>
      <c r="L52" s="256"/>
      <c r="M52" s="44"/>
      <c r="N52" s="44"/>
    </row>
    <row r="53" spans="1:15" ht="15.75" customHeight="1">
      <c r="A53" s="889">
        <f t="shared" si="2"/>
        <v>6.39</v>
      </c>
      <c r="B53" s="1250" t="s">
        <v>739</v>
      </c>
      <c r="C53" s="282">
        <v>0</v>
      </c>
      <c r="D53" s="607">
        <f>+C53</f>
        <v>0</v>
      </c>
      <c r="E53" s="518"/>
      <c r="F53" s="518"/>
      <c r="G53" s="608"/>
      <c r="K53" s="44"/>
      <c r="L53" s="256"/>
      <c r="M53" s="44"/>
      <c r="N53" s="44"/>
    </row>
    <row r="54" spans="1:15" s="285" customFormat="1" ht="15.75" customHeight="1">
      <c r="A54" s="1286">
        <f>+A53+0.01</f>
        <v>6.3999999999999995</v>
      </c>
      <c r="B54" s="1333" t="s">
        <v>1494</v>
      </c>
      <c r="C54" s="282">
        <v>84.46</v>
      </c>
      <c r="D54" s="557"/>
      <c r="E54" s="1331"/>
      <c r="F54" s="1331"/>
      <c r="G54" s="1334">
        <f>+C54</f>
        <v>84.46</v>
      </c>
      <c r="H54" s="1627"/>
      <c r="K54" s="44"/>
      <c r="L54" s="256"/>
      <c r="M54" s="44"/>
      <c r="N54" s="44"/>
      <c r="O54" s="44"/>
    </row>
    <row r="55" spans="1:15" s="285" customFormat="1" ht="15.75" customHeight="1">
      <c r="A55" s="1286">
        <f>+A54+0.01</f>
        <v>6.4099999999999993</v>
      </c>
      <c r="B55" s="1333" t="s">
        <v>1414</v>
      </c>
      <c r="C55" s="282">
        <v>0</v>
      </c>
      <c r="D55" s="557">
        <f>-$C38/($C$38+$C$39)*G55</f>
        <v>6552.5314843579581</v>
      </c>
      <c r="E55" s="1331">
        <f>-$C39/($C$38+$C$39)*G55</f>
        <v>299.8785156420426</v>
      </c>
      <c r="F55" s="1331"/>
      <c r="G55" s="1334">
        <f>+'WP17 Rev Support'!C11</f>
        <v>-6852.4100000000008</v>
      </c>
      <c r="H55" s="1627"/>
      <c r="K55" s="44"/>
      <c r="L55" s="256"/>
      <c r="M55" s="44"/>
      <c r="N55" s="44"/>
      <c r="O55" s="44"/>
    </row>
    <row r="56" spans="1:15" s="285" customFormat="1" ht="15.75" customHeight="1">
      <c r="A56" s="1286">
        <f t="shared" si="2"/>
        <v>6.419999999999999</v>
      </c>
      <c r="B56" s="1333" t="s">
        <v>1415</v>
      </c>
      <c r="C56" s="282">
        <v>0</v>
      </c>
      <c r="D56" s="557">
        <f>-G56</f>
        <v>-468.57999999999987</v>
      </c>
      <c r="E56" s="1331"/>
      <c r="F56" s="1331"/>
      <c r="G56" s="1334">
        <f>+'WP17 Rev Support'!C18</f>
        <v>468.57999999999987</v>
      </c>
      <c r="H56" s="1627"/>
      <c r="K56" s="44"/>
      <c r="L56" s="256"/>
      <c r="M56" s="44"/>
      <c r="N56" s="44"/>
      <c r="O56" s="44"/>
    </row>
    <row r="57" spans="1:15" s="285" customFormat="1" ht="15.75" customHeight="1">
      <c r="A57" s="1286">
        <f t="shared" si="2"/>
        <v>6.4299999999999988</v>
      </c>
      <c r="B57" s="1333" t="s">
        <v>1416</v>
      </c>
      <c r="C57" s="282">
        <v>0</v>
      </c>
      <c r="D57" s="557"/>
      <c r="E57" s="1331">
        <f>-G57</f>
        <v>-641979.59</v>
      </c>
      <c r="F57" s="1331"/>
      <c r="G57" s="1334">
        <f>+'WP17 Rev Support'!C25</f>
        <v>641979.59</v>
      </c>
      <c r="H57" s="1627"/>
      <c r="K57" s="44"/>
      <c r="L57" s="256"/>
      <c r="M57" s="44"/>
      <c r="N57" s="44"/>
      <c r="O57" s="44"/>
    </row>
    <row r="58" spans="1:15" ht="15.75" customHeight="1">
      <c r="A58" s="1286">
        <f>+A57+0.01</f>
        <v>6.4399999999999986</v>
      </c>
      <c r="B58" s="1333" t="s">
        <v>905</v>
      </c>
      <c r="C58" s="1331"/>
      <c r="D58" s="557"/>
      <c r="E58" s="1331"/>
      <c r="F58" s="1331"/>
      <c r="G58" s="1334"/>
      <c r="K58" s="44"/>
      <c r="L58" s="256"/>
      <c r="M58" s="44"/>
      <c r="N58" s="44"/>
    </row>
    <row r="59" spans="1:15" ht="15.75" customHeight="1">
      <c r="A59" s="1286" t="s">
        <v>899</v>
      </c>
      <c r="B59" s="1333" t="s">
        <v>905</v>
      </c>
      <c r="C59" s="1331"/>
      <c r="D59" s="557"/>
      <c r="E59" s="1331"/>
      <c r="F59" s="1331"/>
      <c r="G59" s="1334"/>
      <c r="K59" s="44"/>
      <c r="L59" s="256"/>
      <c r="M59" s="44"/>
      <c r="N59" s="44"/>
    </row>
    <row r="60" spans="1:15" ht="15.75" customHeight="1">
      <c r="A60" s="1286" t="s">
        <v>904</v>
      </c>
      <c r="B60" s="1335" t="s">
        <v>905</v>
      </c>
      <c r="C60" s="1332"/>
      <c r="D60" s="558"/>
      <c r="E60" s="1332"/>
      <c r="F60" s="1332"/>
      <c r="G60" s="1336"/>
      <c r="K60" s="44"/>
      <c r="L60" s="256"/>
      <c r="M60" s="44"/>
      <c r="N60" s="44"/>
    </row>
    <row r="61" spans="1:15" s="805" customFormat="1" ht="15.75" customHeight="1">
      <c r="A61" s="1044">
        <f>+A14+1</f>
        <v>7</v>
      </c>
      <c r="B61" s="1202" t="str">
        <f>+"Total Acct 456  (Sum Ln "&amp;A14&amp;" Subparts)  (3)"</f>
        <v>Total Acct 456  (Sum Ln 6 Subparts)  (3)</v>
      </c>
      <c r="C61" s="1211">
        <f>SUM(C15:C60)</f>
        <v>7487667.2200000007</v>
      </c>
      <c r="D61" s="1211">
        <f>SUM(D15:D60)</f>
        <v>50252.591484357952</v>
      </c>
      <c r="E61" s="1211">
        <f>SUM(E15:E60)</f>
        <v>5673298.8485156428</v>
      </c>
      <c r="F61" s="1211">
        <f>SUM(F15:F60)</f>
        <v>0</v>
      </c>
      <c r="G61" s="1211">
        <f>SUM(G15:G60)</f>
        <v>1764115.7799999998</v>
      </c>
      <c r="K61" s="44"/>
      <c r="L61" s="78"/>
      <c r="M61" s="43"/>
      <c r="N61" s="43"/>
      <c r="O61" s="43"/>
    </row>
    <row r="62" spans="1:15" s="805" customFormat="1" ht="15.75" customHeight="1" thickBot="1">
      <c r="A62" s="1044">
        <f>+A61+1</f>
        <v>8</v>
      </c>
      <c r="B62" s="1045" t="str">
        <f>+"Total (Sum Ln "&amp;A10&amp;" + Ln"&amp;A61&amp;")"</f>
        <v>Total (Sum Ln 2 + Ln7)</v>
      </c>
      <c r="C62" s="1212">
        <f>+C10+C61</f>
        <v>9307237.8599999994</v>
      </c>
      <c r="D62" s="1212">
        <f>+D10+D61</f>
        <v>1091894.8514843578</v>
      </c>
      <c r="E62" s="1212">
        <f>+E10+E61</f>
        <v>5673298.8485156428</v>
      </c>
      <c r="F62" s="1212">
        <f>+F10+F61</f>
        <v>-41927.950000000114</v>
      </c>
      <c r="G62" s="1212">
        <f>+G10+G61</f>
        <v>2583972.1099999994</v>
      </c>
      <c r="K62" s="44"/>
      <c r="L62" s="78"/>
      <c r="M62" s="43"/>
      <c r="N62" s="43"/>
      <c r="O62" s="43"/>
    </row>
    <row r="63" spans="1:15" s="805" customFormat="1" ht="15.75" customHeight="1" thickTop="1">
      <c r="A63" s="1045"/>
      <c r="B63" s="888"/>
      <c r="C63" s="888"/>
      <c r="D63" s="888"/>
      <c r="E63" s="888"/>
      <c r="F63" s="888"/>
      <c r="G63" s="888"/>
      <c r="K63" s="44"/>
      <c r="L63" s="78"/>
      <c r="M63" s="43"/>
      <c r="N63" s="43"/>
      <c r="O63" s="43"/>
    </row>
    <row r="64" spans="1:15" s="805" customFormat="1" ht="15.75" customHeight="1">
      <c r="A64" s="1045" t="s">
        <v>299</v>
      </c>
      <c r="C64" s="1153"/>
      <c r="D64" s="1153"/>
      <c r="E64" s="1153"/>
      <c r="F64" s="1153"/>
      <c r="G64" s="1153"/>
      <c r="K64" s="44"/>
      <c r="L64" s="78"/>
      <c r="M64" s="43"/>
      <c r="N64" s="43"/>
      <c r="O64" s="43"/>
    </row>
    <row r="65" spans="1:15" s="805" customFormat="1" ht="15.75" customHeight="1">
      <c r="A65" s="1155" t="s">
        <v>171</v>
      </c>
      <c r="B65" s="2126" t="s">
        <v>828</v>
      </c>
      <c r="C65" s="2125"/>
      <c r="D65" s="2125"/>
      <c r="E65" s="2125"/>
      <c r="F65" s="2125"/>
      <c r="G65" s="2125"/>
      <c r="H65" s="1411"/>
      <c r="I65" s="1411"/>
      <c r="K65" s="44"/>
      <c r="L65" s="502"/>
      <c r="O65" s="43"/>
    </row>
    <row r="66" spans="1:15" s="805" customFormat="1">
      <c r="A66" s="1156" t="s">
        <v>320</v>
      </c>
      <c r="B66" s="1412" t="s">
        <v>826</v>
      </c>
      <c r="C66" s="1412"/>
      <c r="D66" s="1412"/>
      <c r="E66" s="1412"/>
      <c r="F66" s="1412"/>
      <c r="G66" s="1412"/>
      <c r="K66" s="44"/>
      <c r="L66" s="502"/>
      <c r="O66" s="43"/>
    </row>
    <row r="67" spans="1:15" s="805" customFormat="1">
      <c r="A67" s="1156" t="s">
        <v>321</v>
      </c>
      <c r="B67" s="1412" t="s">
        <v>827</v>
      </c>
      <c r="C67" s="1423"/>
      <c r="D67" s="1423"/>
      <c r="E67" s="1423"/>
      <c r="F67" s="1423"/>
      <c r="G67" s="1423"/>
      <c r="K67" s="44"/>
      <c r="L67" s="502"/>
      <c r="O67" s="43"/>
    </row>
    <row r="68" spans="1:15" s="805" customFormat="1" ht="26.4" customHeight="1">
      <c r="A68" s="1156" t="s">
        <v>322</v>
      </c>
      <c r="B68" s="2124" t="str">
        <f>+"Revenues from Schedules associated with Attachment GG and MM should appear in the Rev. Credits category above because they are credited in Appendix A - Revenue Requirement Lines "&amp;'Appendix A'!A286&amp;" &amp; "&amp;'Appendix A'!A287&amp;"."</f>
        <v>Revenues from Schedules associated with Attachment GG and MM should appear in the Rev. Credits category above because they are credited in Appendix A - Revenue Requirement Lines 189 &amp; 190.</v>
      </c>
      <c r="C68" s="2125"/>
      <c r="D68" s="2125"/>
      <c r="E68" s="2125"/>
      <c r="F68" s="2125"/>
      <c r="G68" s="2125"/>
      <c r="H68" s="1413"/>
      <c r="K68" s="44"/>
      <c r="L68" s="502"/>
      <c r="O68" s="43"/>
    </row>
    <row r="69" spans="1:15" s="805" customFormat="1" ht="67.95" customHeight="1">
      <c r="A69" s="1156" t="s">
        <v>323</v>
      </c>
      <c r="B69" s="2119" t="s">
        <v>883</v>
      </c>
      <c r="C69" s="2125"/>
      <c r="D69" s="2125"/>
      <c r="E69" s="2125"/>
      <c r="F69" s="2125"/>
      <c r="G69" s="2125"/>
      <c r="H69" s="1410"/>
      <c r="K69" s="44"/>
      <c r="L69" s="502"/>
      <c r="O69" s="43"/>
    </row>
    <row r="70" spans="1:15">
      <c r="A70" s="1492" t="s">
        <v>696</v>
      </c>
      <c r="B70" s="285" t="s">
        <v>960</v>
      </c>
      <c r="K70" s="44"/>
    </row>
    <row r="71" spans="1:15">
      <c r="A71" s="724"/>
    </row>
    <row r="72" spans="1:15">
      <c r="A72" s="724"/>
    </row>
    <row r="73" spans="1:15">
      <c r="A73" s="724"/>
    </row>
    <row r="74" spans="1:15">
      <c r="A74" s="724"/>
    </row>
    <row r="75" spans="1:15">
      <c r="A75" s="724"/>
    </row>
    <row r="87" spans="1:15" ht="14.4" customHeight="1">
      <c r="A87" s="174"/>
      <c r="O87" s="174"/>
    </row>
  </sheetData>
  <sortState ref="B29:E76">
    <sortCondition ref="B29:B76"/>
  </sortState>
  <mergeCells count="9">
    <mergeCell ref="B68:G68"/>
    <mergeCell ref="B69:G69"/>
    <mergeCell ref="B65:G65"/>
    <mergeCell ref="H41:I41"/>
    <mergeCell ref="A1:I1"/>
    <mergeCell ref="A2:I2"/>
    <mergeCell ref="D13:E13"/>
    <mergeCell ref="D12:G12"/>
    <mergeCell ref="A3:I3"/>
  </mergeCells>
  <phoneticPr fontId="100" type="noConversion"/>
  <printOptions horizontalCentered="1"/>
  <pageMargins left="0.7" right="0.7" top="0.7" bottom="0.7" header="0.3" footer="0.5"/>
  <pageSetup scale="64" orientation="portrait" r:id="rId1"/>
  <headerFooter>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L6" sqref="L6"/>
    </sheetView>
  </sheetViews>
  <sheetFormatPr defaultRowHeight="13.2"/>
  <cols>
    <col min="1" max="1" width="5.33203125" customWidth="1"/>
    <col min="2" max="2" width="5" customWidth="1"/>
    <col min="3" max="3" width="11.33203125" style="1258" bestFit="1" customWidth="1"/>
    <col min="4" max="4" width="53.88671875" bestFit="1" customWidth="1"/>
    <col min="5" max="5" width="14.88671875" customWidth="1"/>
  </cols>
  <sheetData>
    <row r="1" spans="1:10" s="285" customFormat="1">
      <c r="A1" s="2123" t="str">
        <f>+'MISO Cover'!C6</f>
        <v>Entergy New Orleans, Inc.</v>
      </c>
      <c r="B1" s="2123"/>
      <c r="C1" s="2123"/>
      <c r="D1" s="2123"/>
      <c r="E1" s="2123"/>
      <c r="F1" s="1616"/>
      <c r="G1" s="1616"/>
      <c r="H1" s="1616"/>
    </row>
    <row r="2" spans="1:10" s="285" customFormat="1">
      <c r="A2" s="2123" t="s">
        <v>1392</v>
      </c>
      <c r="B2" s="2123"/>
      <c r="C2" s="2123"/>
      <c r="D2" s="2123"/>
      <c r="E2" s="2123"/>
      <c r="F2" s="1616"/>
      <c r="G2" s="1616"/>
      <c r="H2" s="1616"/>
    </row>
    <row r="3" spans="1:10" s="285" customFormat="1">
      <c r="A3" s="2122" t="str">
        <f>+'MISO Cover'!K4</f>
        <v>For  the 12 Months Ended 12/31/2016</v>
      </c>
      <c r="B3" s="2122"/>
      <c r="C3" s="2122"/>
      <c r="D3" s="2122"/>
      <c r="E3" s="2122"/>
      <c r="F3" s="1617"/>
      <c r="G3" s="1617"/>
      <c r="H3" s="1617"/>
      <c r="J3" s="1618"/>
    </row>
    <row r="5" spans="1:10">
      <c r="A5" t="s">
        <v>1393</v>
      </c>
      <c r="C5" s="1619" t="s">
        <v>1394</v>
      </c>
      <c r="D5" t="s">
        <v>1395</v>
      </c>
      <c r="E5" t="s">
        <v>1396</v>
      </c>
    </row>
    <row r="6" spans="1:10">
      <c r="A6" s="1620">
        <v>1</v>
      </c>
      <c r="B6" t="s">
        <v>1397</v>
      </c>
    </row>
    <row r="7" spans="1:10">
      <c r="A7" s="1620">
        <f>+A6+1</f>
        <v>2</v>
      </c>
      <c r="C7" s="1621">
        <v>4161.8500000000004</v>
      </c>
      <c r="D7" s="1622" t="s">
        <v>1398</v>
      </c>
      <c r="E7" t="s">
        <v>1399</v>
      </c>
    </row>
    <row r="8" spans="1:10">
      <c r="A8" s="1620">
        <f t="shared" ref="A8:A25" si="0">+A7+1</f>
        <v>3</v>
      </c>
      <c r="C8" s="1621">
        <v>130.74</v>
      </c>
      <c r="D8" s="1622" t="s">
        <v>1400</v>
      </c>
      <c r="E8" t="s">
        <v>1401</v>
      </c>
    </row>
    <row r="9" spans="1:10">
      <c r="A9" s="1620">
        <f t="shared" si="0"/>
        <v>4</v>
      </c>
      <c r="C9" s="1621">
        <v>-10394.780000000001</v>
      </c>
      <c r="D9" s="1622" t="s">
        <v>1398</v>
      </c>
      <c r="E9" t="s">
        <v>1401</v>
      </c>
    </row>
    <row r="10" spans="1:10">
      <c r="A10" s="1620">
        <f t="shared" si="0"/>
        <v>5</v>
      </c>
      <c r="B10" s="1610"/>
      <c r="C10" s="1623">
        <v>-750.22</v>
      </c>
      <c r="D10" s="1622" t="s">
        <v>1400</v>
      </c>
      <c r="E10" t="s">
        <v>1401</v>
      </c>
    </row>
    <row r="11" spans="1:10">
      <c r="A11" s="1620">
        <f t="shared" si="0"/>
        <v>6</v>
      </c>
      <c r="B11" t="s">
        <v>114</v>
      </c>
      <c r="C11" s="1621">
        <f>SUM(C7:C10)</f>
        <v>-6852.4100000000008</v>
      </c>
      <c r="D11" s="1624" t="s">
        <v>1402</v>
      </c>
    </row>
    <row r="12" spans="1:10">
      <c r="A12" s="1620">
        <f t="shared" si="0"/>
        <v>7</v>
      </c>
    </row>
    <row r="13" spans="1:10">
      <c r="A13" s="1620">
        <f t="shared" si="0"/>
        <v>8</v>
      </c>
      <c r="B13" t="s">
        <v>1403</v>
      </c>
    </row>
    <row r="14" spans="1:10">
      <c r="A14" s="1620">
        <f t="shared" si="0"/>
        <v>9</v>
      </c>
      <c r="C14" s="1258">
        <v>1101.0899999999999</v>
      </c>
      <c r="D14" t="s">
        <v>1404</v>
      </c>
      <c r="E14" t="s">
        <v>1399</v>
      </c>
    </row>
    <row r="15" spans="1:10">
      <c r="A15" s="1620">
        <f t="shared" si="0"/>
        <v>10</v>
      </c>
      <c r="C15" s="1258">
        <v>34.840000000000003</v>
      </c>
      <c r="D15" t="s">
        <v>1405</v>
      </c>
      <c r="E15" t="s">
        <v>1401</v>
      </c>
    </row>
    <row r="16" spans="1:10">
      <c r="A16" s="1620">
        <f t="shared" si="0"/>
        <v>11</v>
      </c>
      <c r="C16" s="1258">
        <v>-624.53</v>
      </c>
      <c r="D16" t="s">
        <v>1404</v>
      </c>
      <c r="E16" t="s">
        <v>1401</v>
      </c>
    </row>
    <row r="17" spans="1:5">
      <c r="A17" s="1620">
        <f t="shared" si="0"/>
        <v>12</v>
      </c>
      <c r="B17" s="1610"/>
      <c r="C17" s="1625">
        <v>-42.82</v>
      </c>
      <c r="D17" s="1610" t="s">
        <v>1405</v>
      </c>
      <c r="E17" t="s">
        <v>1401</v>
      </c>
    </row>
    <row r="18" spans="1:5">
      <c r="A18" s="1620">
        <f t="shared" si="0"/>
        <v>13</v>
      </c>
      <c r="B18" t="s">
        <v>114</v>
      </c>
      <c r="C18" s="1258">
        <f>SUM(C14:C17)</f>
        <v>468.57999999999987</v>
      </c>
      <c r="D18" t="str">
        <f>+D11</f>
        <v>Total Schedule Out of Period Amount</v>
      </c>
    </row>
    <row r="19" spans="1:5">
      <c r="A19" s="1620">
        <f t="shared" si="0"/>
        <v>14</v>
      </c>
    </row>
    <row r="20" spans="1:5">
      <c r="A20" s="1620">
        <f t="shared" si="0"/>
        <v>15</v>
      </c>
      <c r="B20" t="s">
        <v>1406</v>
      </c>
    </row>
    <row r="21" spans="1:5">
      <c r="A21" s="1620">
        <f t="shared" si="0"/>
        <v>16</v>
      </c>
      <c r="C21" s="1258">
        <v>453177.63</v>
      </c>
      <c r="D21" t="s">
        <v>1407</v>
      </c>
      <c r="E21" t="s">
        <v>1408</v>
      </c>
    </row>
    <row r="22" spans="1:5">
      <c r="A22" s="1620">
        <f t="shared" si="0"/>
        <v>17</v>
      </c>
      <c r="C22" s="1258">
        <v>14256.06</v>
      </c>
      <c r="D22" t="s">
        <v>1409</v>
      </c>
      <c r="E22" t="s">
        <v>1410</v>
      </c>
    </row>
    <row r="23" spans="1:5">
      <c r="A23" s="1620">
        <f t="shared" si="0"/>
        <v>18</v>
      </c>
      <c r="C23" s="1258">
        <v>169222.5</v>
      </c>
      <c r="D23" t="s">
        <v>1407</v>
      </c>
      <c r="E23" t="s">
        <v>1411</v>
      </c>
    </row>
    <row r="24" spans="1:5">
      <c r="A24" s="1620">
        <f t="shared" si="0"/>
        <v>19</v>
      </c>
      <c r="B24" s="1610"/>
      <c r="C24" s="1625">
        <v>5323.4</v>
      </c>
      <c r="D24" s="1610" t="s">
        <v>1409</v>
      </c>
      <c r="E24" t="s">
        <v>1411</v>
      </c>
    </row>
    <row r="25" spans="1:5">
      <c r="A25" s="1620">
        <f t="shared" si="0"/>
        <v>20</v>
      </c>
      <c r="B25" t="s">
        <v>114</v>
      </c>
      <c r="C25" s="1258">
        <f>SUM(C21:C24)</f>
        <v>641979.59</v>
      </c>
      <c r="D25" t="str">
        <f>+D11</f>
        <v>Total Schedule Out of Period Amount</v>
      </c>
    </row>
    <row r="27" spans="1:5">
      <c r="A27" s="2132" t="s">
        <v>125</v>
      </c>
      <c r="B27" s="2132"/>
    </row>
    <row r="28" spans="1:5">
      <c r="A28" s="1626" t="s">
        <v>171</v>
      </c>
      <c r="B28" t="s">
        <v>1412</v>
      </c>
    </row>
    <row r="29" spans="1:5">
      <c r="A29" s="1626" t="s">
        <v>320</v>
      </c>
      <c r="B29" t="s">
        <v>1413</v>
      </c>
    </row>
  </sheetData>
  <mergeCells count="4">
    <mergeCell ref="A1:E1"/>
    <mergeCell ref="A2:E2"/>
    <mergeCell ref="A3:E3"/>
    <mergeCell ref="A27:B27"/>
  </mergeCells>
  <printOptions horizontalCentered="1"/>
  <pageMargins left="0.7" right="0.7" top="0.75" bottom="0.75" header="0.3" footer="0.5"/>
  <pageSetup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40"/>
  <sheetViews>
    <sheetView zoomScale="90" zoomScaleNormal="90" zoomScaleSheetLayoutView="100" workbookViewId="0">
      <selection activeCell="L6" sqref="L6"/>
    </sheetView>
  </sheetViews>
  <sheetFormatPr defaultColWidth="9.109375" defaultRowHeight="13.2"/>
  <cols>
    <col min="1" max="1" width="6.33203125" style="298" bestFit="1" customWidth="1"/>
    <col min="2" max="2" width="79.44140625" style="298" bestFit="1" customWidth="1"/>
    <col min="3" max="3" width="50.44140625" style="298" customWidth="1"/>
    <col min="4" max="4" width="14" style="298" bestFit="1" customWidth="1"/>
    <col min="5" max="5" width="1.44140625" style="298" customWidth="1"/>
    <col min="6" max="6" width="7.6640625" style="298" customWidth="1"/>
    <col min="7" max="7" width="11.44140625" style="298" customWidth="1"/>
    <col min="8" max="8" width="6.33203125" style="298" hidden="1" customWidth="1"/>
    <col min="9" max="9" width="15.33203125" style="298" customWidth="1"/>
    <col min="10" max="10" width="3.44140625" style="298" customWidth="1"/>
    <col min="11" max="11" width="7" style="298" customWidth="1"/>
    <col min="12" max="12" width="14" style="299" customWidth="1"/>
    <col min="13" max="14" width="14.33203125" style="299" customWidth="1"/>
    <col min="15" max="15" width="13.109375" style="298" customWidth="1"/>
    <col min="16" max="16" width="15.88671875" style="299" bestFit="1" customWidth="1"/>
    <col min="17" max="17" width="25.6640625" style="299" customWidth="1"/>
    <col min="18" max="18" width="14.88671875" style="298" bestFit="1" customWidth="1"/>
    <col min="19" max="16384" width="9.109375" style="298"/>
  </cols>
  <sheetData>
    <row r="1" spans="1:15" s="298" customFormat="1">
      <c r="I1" s="1023"/>
      <c r="J1" s="1023"/>
      <c r="K1" s="1024" t="s">
        <v>929</v>
      </c>
      <c r="L1" s="299"/>
    </row>
    <row r="2" spans="1:15" s="298" customFormat="1">
      <c r="A2" s="300"/>
      <c r="B2" s="300"/>
      <c r="C2" s="300"/>
      <c r="E2" s="300"/>
      <c r="F2" s="300"/>
      <c r="G2" s="300"/>
      <c r="H2" s="300"/>
      <c r="I2" s="300"/>
      <c r="J2" s="300"/>
      <c r="K2" s="301" t="s">
        <v>315</v>
      </c>
      <c r="L2" s="299"/>
    </row>
    <row r="3" spans="1:15" s="298" customFormat="1">
      <c r="A3" s="300"/>
      <c r="B3" s="300"/>
      <c r="C3" s="1474" t="s">
        <v>956</v>
      </c>
      <c r="D3" s="300"/>
      <c r="E3" s="300"/>
      <c r="F3" s="300"/>
      <c r="G3" s="300"/>
      <c r="H3" s="300"/>
      <c r="I3" s="300"/>
      <c r="J3" s="300"/>
      <c r="K3" s="300"/>
      <c r="L3" s="299"/>
    </row>
    <row r="4" spans="1:15" s="298" customFormat="1" ht="13.2" customHeight="1">
      <c r="A4" s="302"/>
      <c r="B4" s="303" t="s">
        <v>316</v>
      </c>
      <c r="C4" s="304" t="s">
        <v>317</v>
      </c>
      <c r="E4" s="303"/>
      <c r="F4" s="303"/>
      <c r="G4" s="305"/>
      <c r="H4" s="306"/>
      <c r="I4" s="1021"/>
      <c r="J4" s="1022"/>
      <c r="K4" s="1732" t="s">
        <v>1350</v>
      </c>
      <c r="L4" s="2015" t="s">
        <v>816</v>
      </c>
      <c r="M4" s="2015"/>
      <c r="N4" s="2015"/>
      <c r="O4" s="2015"/>
    </row>
    <row r="5" spans="1:15" s="298" customFormat="1" ht="13.8" thickBot="1">
      <c r="A5" s="302"/>
      <c r="C5" s="307" t="s">
        <v>318</v>
      </c>
      <c r="E5" s="308"/>
      <c r="F5" s="308"/>
      <c r="G5" s="308"/>
      <c r="H5" s="309"/>
      <c r="I5" s="309"/>
      <c r="J5" s="310"/>
      <c r="K5" s="310"/>
      <c r="L5" s="2015"/>
      <c r="M5" s="2015"/>
      <c r="N5" s="2015"/>
      <c r="O5" s="2015"/>
    </row>
    <row r="6" spans="1:15" s="298" customFormat="1" ht="14.4" thickBot="1">
      <c r="A6" s="302"/>
      <c r="B6" s="311"/>
      <c r="C6" s="1025" t="s">
        <v>952</v>
      </c>
      <c r="E6" s="310"/>
      <c r="F6" s="310"/>
      <c r="G6" s="310"/>
      <c r="H6" s="310"/>
      <c r="J6" s="312"/>
      <c r="K6" s="312"/>
      <c r="L6" s="1192" t="s">
        <v>285</v>
      </c>
    </row>
    <row r="7" spans="1:15" s="298" customFormat="1" ht="13.8">
      <c r="B7" s="311"/>
      <c r="C7" s="998" t="str">
        <f>+L6&amp;" Rate"</f>
        <v>True-Up Rate</v>
      </c>
      <c r="J7" s="313"/>
      <c r="K7" s="313"/>
    </row>
    <row r="8" spans="1:15" s="298" customFormat="1">
      <c r="A8" s="304"/>
      <c r="C8" s="310"/>
      <c r="D8" s="314"/>
      <c r="E8" s="310"/>
      <c r="F8" s="310"/>
      <c r="G8" s="310"/>
      <c r="H8" s="310"/>
      <c r="I8" s="310"/>
      <c r="J8" s="310"/>
      <c r="K8" s="310"/>
      <c r="L8" s="299" t="s">
        <v>319</v>
      </c>
    </row>
    <row r="9" spans="1:15" s="298" customFormat="1">
      <c r="A9" s="304"/>
      <c r="B9" s="316" t="s">
        <v>171</v>
      </c>
      <c r="C9" s="316" t="s">
        <v>320</v>
      </c>
      <c r="D9" s="316" t="s">
        <v>321</v>
      </c>
      <c r="E9" s="308" t="s">
        <v>66</v>
      </c>
      <c r="F9" s="308"/>
      <c r="G9" s="314" t="s">
        <v>322</v>
      </c>
      <c r="H9" s="308"/>
      <c r="I9" s="314" t="s">
        <v>323</v>
      </c>
      <c r="J9" s="310"/>
      <c r="K9" s="310"/>
      <c r="L9" s="299" t="s">
        <v>285</v>
      </c>
    </row>
    <row r="10" spans="1:15" s="298" customFormat="1">
      <c r="A10" s="304" t="s">
        <v>324</v>
      </c>
      <c r="B10" s="310"/>
      <c r="C10" s="310"/>
      <c r="D10" s="317"/>
      <c r="E10" s="310"/>
      <c r="F10" s="310"/>
      <c r="G10" s="310"/>
      <c r="H10" s="310"/>
      <c r="I10" s="304" t="s">
        <v>325</v>
      </c>
      <c r="J10" s="310"/>
      <c r="K10" s="310"/>
      <c r="L10" s="315">
        <f>IF(L6=L8,0,1)</f>
        <v>1</v>
      </c>
    </row>
    <row r="11" spans="1:15" s="298" customFormat="1" ht="13.8" thickBot="1">
      <c r="A11" s="318" t="s">
        <v>326</v>
      </c>
      <c r="B11" s="310"/>
      <c r="C11" s="310"/>
      <c r="D11" s="310"/>
      <c r="E11" s="310"/>
      <c r="F11" s="310"/>
      <c r="G11" s="310"/>
      <c r="H11" s="310"/>
      <c r="I11" s="318" t="s">
        <v>149</v>
      </c>
      <c r="J11" s="310"/>
      <c r="K11" s="310"/>
      <c r="L11" s="299"/>
    </row>
    <row r="12" spans="1:15" s="298" customFormat="1">
      <c r="A12" s="375">
        <v>1</v>
      </c>
      <c r="B12" s="310" t="s">
        <v>327</v>
      </c>
      <c r="C12" s="322" t="str">
        <f>+"Page 3, Line "&amp;A174</f>
        <v>Page 3, Line 31</v>
      </c>
      <c r="D12" s="319"/>
      <c r="E12" s="310"/>
      <c r="F12" s="310"/>
      <c r="G12" s="310"/>
      <c r="H12" s="310"/>
      <c r="I12" s="320">
        <f>+I174</f>
        <v>20642544.940480154</v>
      </c>
      <c r="J12" s="310"/>
      <c r="K12" s="312"/>
      <c r="L12" s="299"/>
    </row>
    <row r="13" spans="1:15" s="298" customFormat="1">
      <c r="A13" s="375"/>
      <c r="B13" s="310"/>
      <c r="C13" s="310"/>
      <c r="D13" s="310"/>
      <c r="E13" s="310"/>
      <c r="F13" s="310"/>
      <c r="G13" s="310"/>
      <c r="H13" s="310"/>
      <c r="I13" s="319"/>
      <c r="J13" s="310"/>
      <c r="K13" s="310"/>
      <c r="L13" s="299"/>
    </row>
    <row r="14" spans="1:15" s="298" customFormat="1" ht="13.8" thickBot="1">
      <c r="A14" s="375" t="s">
        <v>66</v>
      </c>
      <c r="B14" s="321" t="s">
        <v>328</v>
      </c>
      <c r="C14" s="322"/>
      <c r="D14" s="323" t="s">
        <v>114</v>
      </c>
      <c r="E14" s="322"/>
      <c r="F14" s="324" t="s">
        <v>329</v>
      </c>
      <c r="G14" s="324"/>
      <c r="H14" s="312"/>
      <c r="I14" s="325"/>
      <c r="J14" s="312"/>
      <c r="K14" s="310"/>
      <c r="L14" s="299"/>
    </row>
    <row r="15" spans="1:15" s="298" customFormat="1">
      <c r="A15" s="375">
        <f>+A12+1</f>
        <v>2</v>
      </c>
      <c r="B15" s="752" t="str">
        <f>+B224</f>
        <v xml:space="preserve">Account 454 (Rent From Electric Property: General Plant Only) </v>
      </c>
      <c r="C15" s="322" t="str">
        <f>+"Page 4, Line "&amp;A224</f>
        <v>Page 4, Line 34</v>
      </c>
      <c r="D15" s="320">
        <f>+I224</f>
        <v>1037915.786158758</v>
      </c>
      <c r="E15" s="322"/>
      <c r="F15" s="322" t="s">
        <v>330</v>
      </c>
      <c r="G15" s="326">
        <v>1</v>
      </c>
      <c r="H15" s="327"/>
      <c r="I15" s="320">
        <f>+G15*D15</f>
        <v>1037915.786158758</v>
      </c>
      <c r="J15" s="312"/>
      <c r="K15" s="310"/>
      <c r="L15" s="299"/>
    </row>
    <row r="16" spans="1:15" s="298" customFormat="1">
      <c r="A16" s="375">
        <f>+A15+1</f>
        <v>3</v>
      </c>
      <c r="B16" s="752" t="str">
        <f>+B227</f>
        <v>Account 456.1 Transmission Service Revenue Credits</v>
      </c>
      <c r="C16" s="322" t="str">
        <f>+"Page 4, Line "&amp;A231</f>
        <v>Page 4, Line 37</v>
      </c>
      <c r="D16" s="320">
        <f>+I231</f>
        <v>50252.591484357603</v>
      </c>
      <c r="E16" s="322"/>
      <c r="F16" s="322" t="s">
        <v>330</v>
      </c>
      <c r="G16" s="326">
        <v>1</v>
      </c>
      <c r="H16" s="327"/>
      <c r="I16" s="320">
        <f>+G16*D16</f>
        <v>50252.591484357603</v>
      </c>
      <c r="J16" s="312"/>
      <c r="K16" s="310"/>
      <c r="L16" s="299"/>
    </row>
    <row r="17" spans="1:17">
      <c r="A17" s="375">
        <f>+A16+1</f>
        <v>4</v>
      </c>
      <c r="B17" s="752" t="s">
        <v>819</v>
      </c>
      <c r="C17" s="329"/>
      <c r="D17" s="328"/>
      <c r="E17" s="322"/>
      <c r="F17" s="322" t="s">
        <v>331</v>
      </c>
      <c r="G17" s="326" t="s">
        <v>332</v>
      </c>
      <c r="H17" s="327"/>
      <c r="I17" s="328"/>
      <c r="J17" s="312"/>
      <c r="K17" s="310"/>
      <c r="N17" s="298"/>
      <c r="P17" s="298"/>
      <c r="Q17" s="298"/>
    </row>
    <row r="18" spans="1:17" ht="13.8" thickBot="1">
      <c r="A18" s="375">
        <f>+A17+1</f>
        <v>5</v>
      </c>
      <c r="B18" s="752" t="s">
        <v>819</v>
      </c>
      <c r="C18" s="329"/>
      <c r="D18" s="328"/>
      <c r="E18" s="322"/>
      <c r="F18" s="322" t="s">
        <v>331</v>
      </c>
      <c r="G18" s="326" t="s">
        <v>332</v>
      </c>
      <c r="H18" s="327"/>
      <c r="I18" s="330"/>
      <c r="J18" s="312"/>
      <c r="K18" s="310"/>
      <c r="L18" s="299" t="s">
        <v>927</v>
      </c>
      <c r="N18" s="298"/>
      <c r="P18" s="298"/>
      <c r="Q18" s="298"/>
    </row>
    <row r="19" spans="1:17">
      <c r="A19" s="375">
        <f>+A18+1</f>
        <v>6</v>
      </c>
      <c r="B19" s="321" t="s">
        <v>333</v>
      </c>
      <c r="C19" s="312" t="str">
        <f>+"(Sum of Line "&amp;A15&amp;" to Line "&amp;A18&amp;")"</f>
        <v>(Sum of Line 2 to Line 5)</v>
      </c>
      <c r="D19" s="331" t="s">
        <v>66</v>
      </c>
      <c r="E19" s="322"/>
      <c r="F19" s="322"/>
      <c r="G19" s="332"/>
      <c r="H19" s="327"/>
      <c r="I19" s="320">
        <f>SUM(I15:I18)</f>
        <v>1088168.3776431156</v>
      </c>
      <c r="J19" s="312"/>
      <c r="K19" s="310"/>
      <c r="L19" s="1383"/>
      <c r="M19" s="1383"/>
      <c r="N19" s="1384"/>
      <c r="O19" s="1384"/>
      <c r="P19" s="1384"/>
      <c r="Q19" s="298"/>
    </row>
    <row r="20" spans="1:17">
      <c r="A20" s="375"/>
      <c r="B20" s="333"/>
      <c r="C20" s="312"/>
      <c r="D20" s="322" t="s">
        <v>66</v>
      </c>
      <c r="E20" s="312"/>
      <c r="F20" s="312"/>
      <c r="G20" s="334"/>
      <c r="H20" s="312"/>
      <c r="I20" s="333"/>
      <c r="J20" s="312"/>
      <c r="K20" s="310"/>
      <c r="L20" s="1383"/>
      <c r="M20" s="1383"/>
      <c r="N20" s="1384"/>
      <c r="O20" s="1384"/>
      <c r="P20" s="1384"/>
      <c r="Q20" s="298"/>
    </row>
    <row r="21" spans="1:17">
      <c r="A21" s="375" t="str">
        <f>+A19&amp;"a"</f>
        <v>6a</v>
      </c>
      <c r="B21" s="335" t="s">
        <v>335</v>
      </c>
      <c r="C21" s="322" t="str">
        <f>+"Appendix A Line"&amp;'Appendix A'!A293&amp;" "&amp;$L$6&amp;" Column"</f>
        <v>Appendix A Line194 True-Up Column</v>
      </c>
      <c r="D21" s="320">
        <f>IF($L$10=0,'Appendix A'!H293,'Appendix A'!G293)</f>
        <v>0</v>
      </c>
      <c r="E21" s="336"/>
      <c r="F21" s="337" t="s">
        <v>330</v>
      </c>
      <c r="G21" s="338">
        <v>1</v>
      </c>
      <c r="H21" s="336"/>
      <c r="I21" s="320">
        <f>+G21*D21</f>
        <v>0</v>
      </c>
      <c r="J21" s="312"/>
      <c r="K21" s="310"/>
      <c r="L21" s="1383"/>
      <c r="M21" s="1383">
        <f>IF($L$10=0,'Appendix A'!H293,'Appendix A'!G293)</f>
        <v>0</v>
      </c>
      <c r="N21" s="1385">
        <f>+I21-M21</f>
        <v>0</v>
      </c>
      <c r="O21" s="1384"/>
      <c r="P21" s="1384"/>
      <c r="Q21" s="298"/>
    </row>
    <row r="22" spans="1:17">
      <c r="A22" s="375"/>
      <c r="B22" s="333"/>
      <c r="C22" s="312"/>
      <c r="D22" s="322"/>
      <c r="E22" s="312"/>
      <c r="F22" s="312"/>
      <c r="G22" s="334"/>
      <c r="H22" s="312"/>
      <c r="I22" s="333"/>
      <c r="J22" s="312"/>
      <c r="K22" s="310"/>
      <c r="L22" s="1383"/>
      <c r="M22" s="1383"/>
      <c r="N22" s="1384"/>
      <c r="O22" s="1384"/>
      <c r="P22" s="1384"/>
      <c r="Q22" s="298"/>
    </row>
    <row r="23" spans="1:17">
      <c r="A23" s="375" t="s">
        <v>629</v>
      </c>
      <c r="B23" s="335" t="s">
        <v>334</v>
      </c>
      <c r="C23" s="298" t="str">
        <f>+"(Line "&amp;A12&amp;" - Line "&amp;A19&amp;" + Line "&amp;A21&amp;")"</f>
        <v>(Line 1 - Line 6 + Line 6a)</v>
      </c>
      <c r="I23" s="1002">
        <f>+I12-I19+I21</f>
        <v>19554376.562837038</v>
      </c>
      <c r="J23" s="312"/>
      <c r="K23" s="310"/>
      <c r="L23" s="1383"/>
      <c r="M23" s="1383">
        <f>IF($L$10=0,'Appendix A'!H295,'Appendix A'!G290)</f>
        <v>0</v>
      </c>
      <c r="N23" s="1385">
        <f>+I23-M23</f>
        <v>19554376.562837038</v>
      </c>
      <c r="O23" s="1384"/>
      <c r="P23" s="1384"/>
      <c r="Q23" s="298"/>
    </row>
    <row r="24" spans="1:17">
      <c r="A24" s="375"/>
      <c r="B24" s="335"/>
      <c r="C24" s="339"/>
      <c r="D24" s="339"/>
      <c r="E24" s="339"/>
      <c r="F24" s="339"/>
      <c r="G24" s="339"/>
      <c r="H24" s="339"/>
      <c r="I24" s="339"/>
      <c r="J24" s="312"/>
      <c r="K24" s="310"/>
      <c r="L24" s="1383"/>
      <c r="M24" s="1383"/>
      <c r="N24" s="1384"/>
      <c r="O24" s="1384"/>
      <c r="P24" s="1384"/>
      <c r="Q24" s="298"/>
    </row>
    <row r="25" spans="1:17">
      <c r="A25" s="375" t="s">
        <v>628</v>
      </c>
      <c r="B25" s="321" t="s">
        <v>793</v>
      </c>
      <c r="C25" s="322" t="str">
        <f>+"Appendix A Line "&amp;'Appendix A'!A298&amp;" "&amp;$L$6&amp;" Column"</f>
        <v>Appendix A Line 197 True-Up Column</v>
      </c>
      <c r="D25" s="328"/>
      <c r="E25" s="312"/>
      <c r="F25" s="312"/>
      <c r="G25" s="334"/>
      <c r="H25" s="312"/>
      <c r="I25" s="320">
        <f>IF($L$10=0,'Appendix A'!H298,'Appendix A'!G298)</f>
        <v>0</v>
      </c>
      <c r="J25" s="312"/>
      <c r="K25" s="310"/>
      <c r="L25" s="1383"/>
      <c r="M25" s="1383"/>
      <c r="N25" s="1384"/>
      <c r="O25" s="1384"/>
      <c r="P25" s="1384"/>
      <c r="Q25" s="298"/>
    </row>
    <row r="26" spans="1:17">
      <c r="A26" s="375" t="s">
        <v>630</v>
      </c>
      <c r="B26" s="321" t="s">
        <v>793</v>
      </c>
      <c r="C26" s="322" t="str">
        <f>+"Appendix A Line "&amp;'Appendix A'!A299&amp;" "&amp;$L$6&amp;" Column"</f>
        <v>Appendix A Line 198 True-Up Column</v>
      </c>
      <c r="D26" s="322"/>
      <c r="E26" s="312"/>
      <c r="F26" s="312"/>
      <c r="G26" s="334"/>
      <c r="H26" s="312"/>
      <c r="I26" s="320">
        <f>IF($L$10=0,'Appendix A'!H299,'Appendix A'!G299)</f>
        <v>0</v>
      </c>
      <c r="J26" s="312"/>
      <c r="K26" s="310"/>
      <c r="L26" s="1384"/>
      <c r="M26" s="1384"/>
      <c r="N26" s="1384"/>
      <c r="O26" s="1384"/>
      <c r="P26" s="1384"/>
      <c r="Q26" s="298"/>
    </row>
    <row r="27" spans="1:17">
      <c r="A27" s="405"/>
      <c r="B27" s="335"/>
      <c r="C27" s="336"/>
      <c r="D27" s="341"/>
      <c r="E27" s="341"/>
      <c r="F27" s="341"/>
      <c r="G27" s="341"/>
      <c r="H27" s="341"/>
      <c r="I27" s="342"/>
      <c r="J27" s="339"/>
      <c r="K27" s="340"/>
      <c r="L27" s="1384"/>
      <c r="M27" s="1383"/>
      <c r="N27" s="1385"/>
      <c r="O27" s="1384"/>
      <c r="P27" s="1384"/>
      <c r="Q27" s="298"/>
    </row>
    <row r="28" spans="1:17" ht="13.8" thickBot="1">
      <c r="A28" s="405">
        <v>7</v>
      </c>
      <c r="B28" s="335" t="s">
        <v>334</v>
      </c>
      <c r="C28" s="336" t="str">
        <f>+"(Sum of Line "&amp;A23&amp;" to Line "&amp;A26&amp;")"</f>
        <v>(Sum of Line 7a to Line 7c)</v>
      </c>
      <c r="D28" s="341"/>
      <c r="E28" s="342"/>
      <c r="F28" s="342"/>
      <c r="G28" s="342"/>
      <c r="H28" s="342"/>
      <c r="I28" s="1285">
        <f>+SUM(I23:I26)</f>
        <v>19554376.562837038</v>
      </c>
      <c r="J28" s="339"/>
      <c r="K28" s="340"/>
      <c r="L28" s="1384"/>
      <c r="M28" s="1383">
        <f>IF($L$10=0,'Appendix A'!H295,'Appendix A'!G295)</f>
        <v>0</v>
      </c>
      <c r="N28" s="1385">
        <f>+I28-M28</f>
        <v>19554376.562837038</v>
      </c>
      <c r="O28" s="1384"/>
      <c r="P28" s="1384"/>
      <c r="Q28" s="298"/>
    </row>
    <row r="29" spans="1:17" ht="13.8" thickTop="1">
      <c r="A29" s="343"/>
      <c r="B29" s="344"/>
      <c r="C29" s="340"/>
      <c r="D29" s="340"/>
      <c r="E29" s="340"/>
      <c r="F29" s="345"/>
      <c r="G29" s="346"/>
      <c r="H29" s="340"/>
      <c r="I29" s="344"/>
      <c r="J29" s="340"/>
      <c r="K29" s="340"/>
      <c r="L29" s="1383"/>
      <c r="M29" s="1383"/>
      <c r="N29" s="1384"/>
      <c r="O29" s="1384"/>
      <c r="P29" s="1384"/>
      <c r="Q29" s="298"/>
    </row>
    <row r="30" spans="1:17">
      <c r="A30" s="343"/>
      <c r="B30" s="347"/>
      <c r="C30" s="340"/>
      <c r="D30" s="340"/>
      <c r="E30" s="340"/>
      <c r="F30" s="345"/>
      <c r="G30" s="346"/>
      <c r="H30" s="340"/>
      <c r="I30" s="344"/>
      <c r="J30" s="340"/>
      <c r="K30" s="340"/>
      <c r="L30" s="1383"/>
      <c r="M30" s="1383"/>
      <c r="N30" s="1384"/>
      <c r="O30" s="1384"/>
      <c r="P30" s="1384"/>
      <c r="Q30" s="298"/>
    </row>
    <row r="31" spans="1:17" ht="15.6">
      <c r="A31" s="363"/>
      <c r="B31" s="348" t="s">
        <v>336</v>
      </c>
      <c r="C31" s="349"/>
      <c r="D31" s="350"/>
      <c r="E31" s="349"/>
      <c r="F31" s="349"/>
      <c r="G31" s="349"/>
      <c r="H31" s="349"/>
      <c r="I31" s="351"/>
      <c r="J31" s="349"/>
      <c r="L31" s="1386"/>
      <c r="M31" s="1383"/>
      <c r="N31" s="1384"/>
      <c r="O31" s="1384"/>
      <c r="P31" s="1384"/>
      <c r="Q31" s="298"/>
    </row>
    <row r="32" spans="1:17" ht="15.6">
      <c r="A32" s="363">
        <f>+A28+1</f>
        <v>8</v>
      </c>
      <c r="B32" s="755" t="s">
        <v>599</v>
      </c>
      <c r="C32" s="322" t="str">
        <f>+"Appendix A Line "&amp;'Appendix A'!A303&amp;" "&amp;$L$6&amp;" Column"</f>
        <v>Appendix A Line 200 True-Up Column</v>
      </c>
      <c r="D32" s="350"/>
      <c r="E32" s="349"/>
      <c r="F32" s="349"/>
      <c r="G32" s="352"/>
      <c r="H32" s="349"/>
      <c r="I32" s="320">
        <f>IF($L$10=0,'Appendix A'!$H$303,'Appendix A'!$G$303)</f>
        <v>0</v>
      </c>
      <c r="J32" s="349"/>
      <c r="L32" s="1386"/>
      <c r="M32" s="1383"/>
      <c r="N32" s="1384"/>
      <c r="O32" s="1384"/>
      <c r="P32" s="1384"/>
      <c r="Q32" s="298"/>
    </row>
    <row r="33" spans="1:17" ht="15.6">
      <c r="A33" s="363">
        <f t="shared" ref="A33:A39" si="0">+A32+1</f>
        <v>9</v>
      </c>
      <c r="B33" s="752" t="s">
        <v>819</v>
      </c>
      <c r="C33" s="349"/>
      <c r="D33" s="349"/>
      <c r="E33" s="349"/>
      <c r="F33" s="349"/>
      <c r="G33" s="352"/>
      <c r="H33" s="349"/>
      <c r="I33" s="355">
        <v>0</v>
      </c>
      <c r="J33" s="349"/>
      <c r="L33" s="1386"/>
      <c r="M33" s="1384"/>
      <c r="N33" s="1384"/>
      <c r="O33" s="1384"/>
      <c r="P33" s="1384"/>
      <c r="Q33" s="298"/>
    </row>
    <row r="34" spans="1:17" ht="15.6">
      <c r="A34" s="363">
        <f t="shared" si="0"/>
        <v>10</v>
      </c>
      <c r="B34" s="752" t="s">
        <v>819</v>
      </c>
      <c r="C34" s="349"/>
      <c r="D34" s="349"/>
      <c r="E34" s="349"/>
      <c r="F34" s="349"/>
      <c r="G34" s="352"/>
      <c r="H34" s="349"/>
      <c r="I34" s="355">
        <v>0</v>
      </c>
      <c r="J34" s="349"/>
      <c r="L34" s="1386"/>
      <c r="M34" s="1384"/>
      <c r="N34" s="1384"/>
      <c r="O34" s="1384"/>
      <c r="P34" s="1384"/>
      <c r="Q34" s="298"/>
    </row>
    <row r="35" spans="1:17" ht="15.6">
      <c r="A35" s="363">
        <f t="shared" si="0"/>
        <v>11</v>
      </c>
      <c r="B35" s="752" t="s">
        <v>819</v>
      </c>
      <c r="C35" s="349"/>
      <c r="D35" s="349"/>
      <c r="E35" s="349"/>
      <c r="F35" s="349"/>
      <c r="G35" s="352"/>
      <c r="H35" s="349"/>
      <c r="I35" s="355">
        <v>0</v>
      </c>
      <c r="J35" s="349"/>
      <c r="L35" s="1386"/>
      <c r="M35" s="1384"/>
      <c r="N35" s="1384"/>
      <c r="O35" s="1384"/>
      <c r="P35" s="1384"/>
      <c r="Q35" s="298"/>
    </row>
    <row r="36" spans="1:17" ht="15.6">
      <c r="A36" s="363">
        <f t="shared" si="0"/>
        <v>12</v>
      </c>
      <c r="B36" s="752" t="s">
        <v>819</v>
      </c>
      <c r="C36" s="349"/>
      <c r="D36" s="349"/>
      <c r="E36" s="349"/>
      <c r="F36" s="349"/>
      <c r="G36" s="352"/>
      <c r="H36" s="349"/>
      <c r="I36" s="355">
        <v>0</v>
      </c>
      <c r="J36" s="349"/>
      <c r="L36" s="1386"/>
      <c r="M36" s="1384"/>
      <c r="N36" s="1384"/>
      <c r="O36" s="1384"/>
      <c r="P36" s="1384"/>
      <c r="Q36" s="298"/>
    </row>
    <row r="37" spans="1:17" ht="15.6">
      <c r="A37" s="363">
        <f t="shared" si="0"/>
        <v>13</v>
      </c>
      <c r="B37" s="752" t="s">
        <v>819</v>
      </c>
      <c r="C37" s="349"/>
      <c r="D37" s="349"/>
      <c r="E37" s="349"/>
      <c r="F37" s="349"/>
      <c r="G37" s="352"/>
      <c r="H37" s="349"/>
      <c r="I37" s="355">
        <v>0</v>
      </c>
      <c r="J37" s="349"/>
      <c r="L37" s="1386"/>
      <c r="M37" s="1384"/>
      <c r="N37" s="1384"/>
      <c r="O37" s="1384"/>
      <c r="P37" s="1384"/>
      <c r="Q37" s="298"/>
    </row>
    <row r="38" spans="1:17" ht="16.2" thickBot="1">
      <c r="A38" s="363">
        <f t="shared" si="0"/>
        <v>14</v>
      </c>
      <c r="B38" s="752" t="s">
        <v>819</v>
      </c>
      <c r="C38" s="349"/>
      <c r="D38" s="349"/>
      <c r="E38" s="349"/>
      <c r="F38" s="349"/>
      <c r="G38" s="352"/>
      <c r="H38" s="349"/>
      <c r="I38" s="356">
        <v>0</v>
      </c>
      <c r="J38" s="349"/>
      <c r="L38" s="1386"/>
      <c r="M38" s="1384"/>
      <c r="N38" s="1384"/>
      <c r="O38" s="1384"/>
      <c r="P38" s="1384"/>
      <c r="Q38" s="298"/>
    </row>
    <row r="39" spans="1:17" ht="15.6">
      <c r="A39" s="363">
        <f t="shared" si="0"/>
        <v>15</v>
      </c>
      <c r="B39" s="357" t="str">
        <f>+B31</f>
        <v xml:space="preserve">DIVISOR </v>
      </c>
      <c r="C39" s="349" t="str">
        <f>+"(Sum of Line "&amp;A32&amp;" to Line "&amp;A38&amp;")"</f>
        <v>(Sum of Line 8 to Line 14)</v>
      </c>
      <c r="D39" s="349"/>
      <c r="E39" s="349"/>
      <c r="F39" s="349"/>
      <c r="G39" s="349"/>
      <c r="H39" s="349"/>
      <c r="I39" s="353">
        <f>SUM(I32:I38)</f>
        <v>0</v>
      </c>
      <c r="J39" s="349"/>
      <c r="L39" s="1386"/>
      <c r="M39" s="1384"/>
      <c r="N39" s="1384"/>
      <c r="O39" s="1384"/>
      <c r="P39" s="1384"/>
      <c r="Q39" s="298"/>
    </row>
    <row r="40" spans="1:17" ht="15.6">
      <c r="A40" s="363"/>
      <c r="B40" s="348"/>
      <c r="C40" s="349"/>
      <c r="D40" s="349"/>
      <c r="E40" s="349"/>
      <c r="F40" s="349"/>
      <c r="G40" s="349"/>
      <c r="H40" s="349"/>
      <c r="I40" s="351"/>
      <c r="J40" s="349"/>
      <c r="L40" s="1386"/>
      <c r="M40" s="1384"/>
      <c r="N40" s="1384"/>
      <c r="O40" s="1384"/>
      <c r="P40" s="1384"/>
      <c r="Q40" s="298"/>
    </row>
    <row r="41" spans="1:17" ht="15.6">
      <c r="A41" s="363">
        <f>+A39+1</f>
        <v>16</v>
      </c>
      <c r="B41" s="348" t="s">
        <v>337</v>
      </c>
      <c r="C41" s="349" t="str">
        <f>+"(Line "&amp;A28&amp;" / Line "&amp;A39&amp;")"</f>
        <v>(Line 7 / Line 15)</v>
      </c>
      <c r="D41" s="351">
        <f>IF(I39&gt;0,I28/I39,0)</f>
        <v>0</v>
      </c>
      <c r="E41" s="351"/>
      <c r="F41" s="351"/>
      <c r="G41" s="351"/>
      <c r="H41" s="351"/>
      <c r="I41" s="328"/>
      <c r="J41" s="349"/>
      <c r="L41" s="1386"/>
      <c r="M41" s="1384"/>
      <c r="N41" s="1384"/>
      <c r="O41" s="1384"/>
      <c r="P41" s="1384"/>
      <c r="Q41" s="298"/>
    </row>
    <row r="42" spans="1:17" ht="15.6">
      <c r="A42" s="363">
        <f>+A41+1</f>
        <v>17</v>
      </c>
      <c r="B42" s="348" t="s">
        <v>338</v>
      </c>
      <c r="C42" s="349" t="str">
        <f>+"(Line "&amp;A41&amp;" / 12)"</f>
        <v>(Line 16 / 12)</v>
      </c>
      <c r="D42" s="351">
        <f>+D41/12</f>
        <v>0</v>
      </c>
      <c r="E42" s="351"/>
      <c r="F42" s="351"/>
      <c r="G42" s="351"/>
      <c r="H42" s="351"/>
      <c r="I42" s="328"/>
      <c r="J42" s="349"/>
      <c r="L42" s="1386"/>
      <c r="M42" s="1384"/>
      <c r="N42" s="1384"/>
      <c r="O42" s="1384"/>
      <c r="P42" s="1384"/>
      <c r="Q42" s="298"/>
    </row>
    <row r="43" spans="1:17" ht="15.6">
      <c r="A43" s="363"/>
      <c r="B43" s="348"/>
      <c r="C43" s="349"/>
      <c r="D43" s="351"/>
      <c r="E43" s="351"/>
      <c r="F43" s="351"/>
      <c r="G43" s="351"/>
      <c r="H43" s="351"/>
      <c r="I43" s="328"/>
      <c r="J43" s="349"/>
      <c r="L43" s="1386"/>
      <c r="M43" s="1384"/>
      <c r="N43" s="1384"/>
      <c r="O43" s="1384"/>
      <c r="P43" s="1384"/>
      <c r="Q43" s="298"/>
    </row>
    <row r="44" spans="1:17" ht="15.6">
      <c r="A44" s="363"/>
      <c r="B44" s="348"/>
      <c r="C44" s="349"/>
      <c r="D44" s="358" t="s">
        <v>339</v>
      </c>
      <c r="E44" s="351"/>
      <c r="F44" s="351"/>
      <c r="G44" s="351"/>
      <c r="H44" s="351"/>
      <c r="I44" s="358" t="s">
        <v>340</v>
      </c>
      <c r="J44" s="349"/>
      <c r="L44" s="1386"/>
      <c r="M44" s="1384"/>
      <c r="N44" s="1384"/>
      <c r="O44" s="1384"/>
      <c r="P44" s="1384"/>
      <c r="Q44" s="298"/>
    </row>
    <row r="45" spans="1:17" ht="15.6">
      <c r="A45" s="363"/>
      <c r="B45" s="348"/>
      <c r="C45" s="349"/>
      <c r="D45" s="351"/>
      <c r="E45" s="351"/>
      <c r="F45" s="351"/>
      <c r="G45" s="351"/>
      <c r="H45" s="351"/>
      <c r="I45" s="328"/>
      <c r="J45" s="349"/>
      <c r="L45" s="1386"/>
      <c r="M45" s="1384"/>
      <c r="N45" s="1384"/>
      <c r="O45" s="1384"/>
      <c r="P45" s="1384"/>
      <c r="Q45" s="298"/>
    </row>
    <row r="46" spans="1:17" ht="15.6">
      <c r="A46" s="363">
        <f>+A42+1</f>
        <v>18</v>
      </c>
      <c r="B46" s="348" t="s">
        <v>341</v>
      </c>
      <c r="C46" s="359" t="str">
        <f>+"(Line "&amp;A$41&amp;" / 52; Line "&amp;A$41&amp;" / 52)"</f>
        <v>(Line 16 / 52; Line 16 / 52)</v>
      </c>
      <c r="D46" s="351">
        <f>+D41/52</f>
        <v>0</v>
      </c>
      <c r="E46" s="351"/>
      <c r="F46" s="351"/>
      <c r="G46" s="351"/>
      <c r="H46" s="351"/>
      <c r="I46" s="328">
        <f>+D41/52</f>
        <v>0</v>
      </c>
      <c r="J46" s="349"/>
      <c r="L46" s="1386"/>
      <c r="M46" s="1384"/>
      <c r="N46" s="1384"/>
      <c r="O46" s="1384"/>
      <c r="P46" s="1384"/>
      <c r="Q46" s="298"/>
    </row>
    <row r="47" spans="1:17" ht="15.6">
      <c r="A47" s="363">
        <f>+A46+1</f>
        <v>19</v>
      </c>
      <c r="B47" s="348" t="s">
        <v>342</v>
      </c>
      <c r="C47" s="359" t="str">
        <f>+"(Line "&amp;A$41&amp;" / 260; Line "&amp;A$41&amp;" / 365)"</f>
        <v>(Line 16 / 260; Line 16 / 365)</v>
      </c>
      <c r="D47" s="351">
        <f>+D41/260</f>
        <v>0</v>
      </c>
      <c r="F47" s="351" t="s">
        <v>343</v>
      </c>
      <c r="G47" s="351"/>
      <c r="H47" s="351"/>
      <c r="I47" s="328">
        <f>+D41/365</f>
        <v>0</v>
      </c>
      <c r="J47" s="349"/>
      <c r="L47" s="1386"/>
      <c r="M47" s="1384"/>
      <c r="N47" s="1384"/>
      <c r="O47" s="1384"/>
      <c r="P47" s="1384"/>
      <c r="Q47" s="298"/>
    </row>
    <row r="48" spans="1:17" ht="15.6">
      <c r="A48" s="363">
        <f>+A47+1</f>
        <v>20</v>
      </c>
      <c r="B48" s="348" t="s">
        <v>344</v>
      </c>
      <c r="C48" s="359" t="str">
        <f>+"(Line "&amp;A$41&amp;" / 4160; Line "&amp;A$41&amp;" / 8760) x 1000"</f>
        <v>(Line 16 / 4160; Line 16 / 8760) x 1000</v>
      </c>
      <c r="D48" s="351">
        <f>+D41 / 4160 * 1000</f>
        <v>0</v>
      </c>
      <c r="F48" s="351" t="s">
        <v>345</v>
      </c>
      <c r="G48" s="351"/>
      <c r="H48" s="351"/>
      <c r="I48" s="328">
        <f>+D41 / 8760 * 1000</f>
        <v>0</v>
      </c>
      <c r="J48" s="349"/>
      <c r="L48" s="1386"/>
      <c r="M48" s="1384"/>
      <c r="N48" s="1384"/>
      <c r="O48" s="1384"/>
      <c r="P48" s="1384"/>
      <c r="Q48" s="298"/>
    </row>
    <row r="49" spans="1:17" ht="15.6">
      <c r="A49" s="363"/>
      <c r="B49" s="348"/>
      <c r="C49" s="349"/>
      <c r="D49" s="351"/>
      <c r="F49" s="351" t="s">
        <v>346</v>
      </c>
      <c r="G49" s="351"/>
      <c r="H49" s="351"/>
      <c r="I49" s="328"/>
      <c r="J49" s="349"/>
      <c r="L49" s="1386" t="s">
        <v>66</v>
      </c>
      <c r="M49" s="1384"/>
      <c r="N49" s="1384"/>
      <c r="O49" s="1384"/>
      <c r="P49" s="1384"/>
      <c r="Q49" s="298"/>
    </row>
    <row r="50" spans="1:17" ht="15.6">
      <c r="A50" s="363"/>
      <c r="B50" s="348"/>
      <c r="C50" s="349"/>
      <c r="D50" s="351"/>
      <c r="F50" s="351"/>
      <c r="G50" s="351"/>
      <c r="H50" s="351"/>
      <c r="I50" s="328"/>
      <c r="J50" s="349"/>
      <c r="L50" s="1386" t="s">
        <v>66</v>
      </c>
      <c r="M50" s="1384"/>
      <c r="N50" s="1384"/>
      <c r="O50" s="1384"/>
      <c r="P50" s="1384"/>
      <c r="Q50" s="298"/>
    </row>
    <row r="51" spans="1:17" ht="15.6">
      <c r="A51" s="363">
        <f>+A48+1</f>
        <v>21</v>
      </c>
      <c r="B51" s="360" t="s">
        <v>347</v>
      </c>
      <c r="C51" s="349" t="s">
        <v>348</v>
      </c>
      <c r="D51" s="1359">
        <v>0</v>
      </c>
      <c r="F51" s="361" t="s">
        <v>349</v>
      </c>
      <c r="G51" s="361"/>
      <c r="H51" s="361"/>
      <c r="I51" s="361">
        <f>D51</f>
        <v>0</v>
      </c>
      <c r="J51" s="362" t="s">
        <v>349</v>
      </c>
      <c r="L51" s="1386"/>
      <c r="M51" s="1384"/>
      <c r="N51" s="1384"/>
      <c r="O51" s="1384"/>
      <c r="P51" s="1384"/>
      <c r="Q51" s="298"/>
    </row>
    <row r="52" spans="1:17" ht="15.6">
      <c r="A52" s="363">
        <f>+A51+1</f>
        <v>22</v>
      </c>
      <c r="B52" s="360" t="s">
        <v>347</v>
      </c>
      <c r="C52" s="349"/>
      <c r="D52" s="1359">
        <v>0</v>
      </c>
      <c r="F52" s="361" t="s">
        <v>350</v>
      </c>
      <c r="G52" s="361"/>
      <c r="H52" s="361"/>
      <c r="I52" s="361">
        <f>D52</f>
        <v>0</v>
      </c>
      <c r="J52" s="362" t="s">
        <v>350</v>
      </c>
      <c r="L52" s="1386"/>
      <c r="M52" s="1384"/>
      <c r="N52" s="1384"/>
      <c r="O52" s="1384"/>
      <c r="P52" s="1384"/>
      <c r="Q52" s="298"/>
    </row>
    <row r="53" spans="1:17" ht="15.6">
      <c r="A53" s="363"/>
      <c r="B53" s="339"/>
      <c r="C53" s="348"/>
      <c r="D53" s="349"/>
      <c r="E53" s="364"/>
      <c r="F53" s="364"/>
      <c r="G53" s="364"/>
      <c r="H53" s="364"/>
      <c r="I53" s="364"/>
      <c r="J53" s="364"/>
      <c r="K53" s="364"/>
      <c r="L53" s="1386"/>
      <c r="M53" s="1384"/>
      <c r="N53" s="1384"/>
      <c r="O53" s="1384"/>
      <c r="P53" s="1384"/>
      <c r="Q53" s="298"/>
    </row>
    <row r="54" spans="1:17">
      <c r="A54" s="304"/>
      <c r="B54" s="365"/>
      <c r="C54" s="312"/>
      <c r="D54" s="366"/>
      <c r="E54" s="367"/>
      <c r="F54" s="367"/>
      <c r="G54" s="367"/>
      <c r="H54" s="367"/>
      <c r="I54" s="367"/>
      <c r="J54" s="367"/>
      <c r="K54" s="368" t="str">
        <f>+K1</f>
        <v>Attachment O-ENOI</v>
      </c>
      <c r="L54" s="1383"/>
      <c r="M54" s="1384"/>
      <c r="N54" s="1384"/>
      <c r="O54" s="1384"/>
      <c r="P54" s="1384"/>
      <c r="Q54" s="298"/>
    </row>
    <row r="55" spans="1:17">
      <c r="A55" s="302"/>
      <c r="B55" s="365"/>
      <c r="C55" s="312"/>
      <c r="D55" s="310"/>
      <c r="E55" s="310"/>
      <c r="F55" s="310"/>
      <c r="G55" s="310"/>
      <c r="H55" s="310"/>
      <c r="I55" s="369"/>
      <c r="J55" s="310"/>
      <c r="K55" s="370" t="s">
        <v>351</v>
      </c>
      <c r="L55" s="1383"/>
      <c r="M55" s="1384"/>
      <c r="N55" s="1384"/>
      <c r="O55" s="1384"/>
      <c r="P55" s="1384"/>
      <c r="Q55" s="298"/>
    </row>
    <row r="56" spans="1:17">
      <c r="A56" s="302"/>
      <c r="B56" s="310"/>
      <c r="C56" s="397" t="str">
        <f>+C$3</f>
        <v>MISO Cover</v>
      </c>
      <c r="D56" s="310"/>
      <c r="E56" s="310"/>
      <c r="F56" s="310"/>
      <c r="G56" s="310"/>
      <c r="H56" s="310"/>
      <c r="I56" s="310"/>
      <c r="J56" s="310"/>
      <c r="K56" s="310"/>
      <c r="L56" s="1383"/>
      <c r="M56" s="1384"/>
      <c r="N56" s="1384"/>
      <c r="O56" s="1384"/>
      <c r="P56" s="1384"/>
      <c r="Q56" s="298"/>
    </row>
    <row r="57" spans="1:17">
      <c r="A57" s="302"/>
      <c r="B57" s="365" t="s">
        <v>316</v>
      </c>
      <c r="C57" s="397" t="s">
        <v>317</v>
      </c>
      <c r="E57" s="365"/>
      <c r="F57" s="365"/>
      <c r="G57" s="365"/>
      <c r="H57" s="365"/>
      <c r="I57" s="300"/>
      <c r="J57" s="365"/>
      <c r="K57" s="370" t="str">
        <f>K4</f>
        <v>For  the 12 Months Ended 12/31/2016</v>
      </c>
      <c r="L57" s="1383"/>
      <c r="M57" s="1384"/>
      <c r="N57" s="1384"/>
      <c r="O57" s="1384"/>
      <c r="P57" s="1384"/>
      <c r="Q57" s="298"/>
    </row>
    <row r="58" spans="1:17">
      <c r="A58" s="302"/>
      <c r="B58" s="371"/>
      <c r="C58" s="395" t="s">
        <v>318</v>
      </c>
      <c r="E58" s="308"/>
      <c r="F58" s="308"/>
      <c r="G58" s="308"/>
      <c r="H58" s="308"/>
      <c r="I58" s="308"/>
      <c r="J58" s="308"/>
      <c r="K58" s="308"/>
      <c r="L58" s="1383"/>
      <c r="M58" s="1384"/>
      <c r="N58" s="1384"/>
      <c r="O58" s="1384"/>
      <c r="P58" s="1384"/>
      <c r="Q58" s="298"/>
    </row>
    <row r="59" spans="1:17">
      <c r="A59" s="302"/>
      <c r="B59" s="365"/>
      <c r="C59" s="395" t="str">
        <f>+C6</f>
        <v>Entergy New Orleans, Inc.</v>
      </c>
      <c r="E59" s="308"/>
      <c r="F59" s="308"/>
      <c r="G59" s="308" t="s">
        <v>66</v>
      </c>
      <c r="H59" s="308"/>
      <c r="I59" s="308"/>
      <c r="J59" s="308"/>
      <c r="K59" s="308"/>
      <c r="L59" s="1383"/>
      <c r="M59" s="1384"/>
      <c r="N59" s="1384"/>
      <c r="O59" s="1384"/>
      <c r="P59" s="1384"/>
      <c r="Q59" s="298"/>
    </row>
    <row r="60" spans="1:17">
      <c r="A60" s="302"/>
      <c r="B60" s="302"/>
      <c r="C60" s="395" t="str">
        <f>+C7</f>
        <v>True-Up Rate</v>
      </c>
      <c r="D60" s="302"/>
      <c r="E60" s="302"/>
      <c r="F60" s="302"/>
      <c r="G60" s="302"/>
      <c r="H60" s="302"/>
      <c r="I60" s="302"/>
      <c r="J60" s="302"/>
      <c r="K60" s="302"/>
      <c r="L60" s="1383"/>
      <c r="M60" s="1384"/>
      <c r="N60" s="1384"/>
      <c r="O60" s="1384"/>
      <c r="P60" s="1384"/>
      <c r="Q60" s="298"/>
    </row>
    <row r="61" spans="1:17">
      <c r="A61" s="302"/>
      <c r="B61" s="316" t="s">
        <v>171</v>
      </c>
      <c r="C61" s="397" t="s">
        <v>320</v>
      </c>
      <c r="D61" s="316" t="s">
        <v>321</v>
      </c>
      <c r="E61" s="308" t="s">
        <v>66</v>
      </c>
      <c r="F61" s="308"/>
      <c r="G61" s="314" t="s">
        <v>322</v>
      </c>
      <c r="H61" s="308"/>
      <c r="I61" s="314" t="s">
        <v>323</v>
      </c>
      <c r="J61" s="308"/>
      <c r="K61" s="316"/>
      <c r="L61" s="1383"/>
      <c r="M61" s="1384"/>
      <c r="N61" s="1384"/>
      <c r="O61" s="1384"/>
      <c r="P61" s="1384"/>
      <c r="Q61" s="298"/>
    </row>
    <row r="62" spans="1:17">
      <c r="A62" s="302"/>
      <c r="B62" s="365"/>
      <c r="C62" s="399"/>
      <c r="D62" s="308"/>
      <c r="E62" s="308"/>
      <c r="F62" s="322"/>
      <c r="G62" s="375"/>
      <c r="H62" s="322"/>
      <c r="I62" s="400" t="s">
        <v>895</v>
      </c>
      <c r="J62" s="308"/>
      <c r="K62" s="316"/>
      <c r="L62" s="1383"/>
      <c r="M62" s="1384"/>
      <c r="N62" s="1384"/>
      <c r="O62" s="1384"/>
      <c r="P62" s="1384"/>
      <c r="Q62" s="298"/>
    </row>
    <row r="63" spans="1:17">
      <c r="A63" s="304" t="s">
        <v>324</v>
      </c>
      <c r="B63" s="365"/>
      <c r="C63" s="401" t="s">
        <v>159</v>
      </c>
      <c r="D63" s="372" t="s">
        <v>352</v>
      </c>
      <c r="E63" s="373"/>
      <c r="F63" s="2016" t="s">
        <v>631</v>
      </c>
      <c r="G63" s="2016"/>
      <c r="H63" s="402"/>
      <c r="I63" s="375" t="s">
        <v>354</v>
      </c>
      <c r="J63" s="308"/>
      <c r="K63" s="316"/>
      <c r="L63" s="1383"/>
      <c r="M63" s="1384"/>
      <c r="N63" s="1384"/>
      <c r="O63" s="1384"/>
      <c r="P63" s="1384"/>
      <c r="Q63" s="298"/>
    </row>
    <row r="64" spans="1:17" ht="13.8" thickBot="1">
      <c r="A64" s="318" t="s">
        <v>326</v>
      </c>
      <c r="B64" s="374" t="s">
        <v>355</v>
      </c>
      <c r="C64" s="322"/>
      <c r="D64" s="308"/>
      <c r="E64" s="308"/>
      <c r="F64" s="322"/>
      <c r="G64" s="322"/>
      <c r="H64" s="322"/>
      <c r="I64" s="322"/>
      <c r="J64" s="308"/>
      <c r="K64" s="308"/>
      <c r="L64" s="1383"/>
      <c r="M64" s="1384"/>
      <c r="N64" s="1384"/>
      <c r="O64" s="1384"/>
      <c r="P64" s="1384"/>
      <c r="Q64" s="298"/>
    </row>
    <row r="65" spans="1:17">
      <c r="A65" s="375"/>
      <c r="B65" s="321" t="s">
        <v>356</v>
      </c>
      <c r="C65" s="322"/>
      <c r="D65" s="322"/>
      <c r="E65" s="322"/>
      <c r="F65" s="322"/>
      <c r="G65" s="322"/>
      <c r="H65" s="322"/>
      <c r="I65" s="322"/>
      <c r="J65" s="322"/>
      <c r="K65" s="322"/>
      <c r="L65" s="1383"/>
      <c r="M65" s="1384"/>
      <c r="N65" s="1384"/>
      <c r="O65" s="1384"/>
      <c r="P65" s="1384"/>
      <c r="Q65" s="298"/>
    </row>
    <row r="66" spans="1:17">
      <c r="A66" s="375">
        <v>1</v>
      </c>
      <c r="B66" s="752" t="s">
        <v>588</v>
      </c>
      <c r="C66" s="322" t="str">
        <f>+"WP04 PIS Line "&amp;IF($L$10=0,'WP04 PIS'!A$21,'WP04 PIS'!A$23)&amp;" Column "&amp;'WP04 PIS'!D$5</f>
        <v>WP04 PIS Line 18 Column C</v>
      </c>
      <c r="D66" s="320">
        <f>IF($L$10=0,'WP04 PIS'!D$21,'WP04 PIS'!D$23)</f>
        <v>311117033.08846158</v>
      </c>
      <c r="E66" s="322"/>
      <c r="F66" s="322" t="s">
        <v>331</v>
      </c>
      <c r="G66" s="376" t="s">
        <v>66</v>
      </c>
      <c r="H66" s="322"/>
      <c r="I66" s="320"/>
      <c r="J66" s="322"/>
      <c r="K66" s="339"/>
      <c r="L66" s="1387"/>
      <c r="M66" s="1383"/>
      <c r="N66" s="1383"/>
      <c r="O66" s="1383"/>
      <c r="P66" s="1384"/>
      <c r="Q66" s="298"/>
    </row>
    <row r="67" spans="1:17">
      <c r="A67" s="375">
        <f>+A66+1</f>
        <v>2</v>
      </c>
      <c r="B67" s="752" t="s">
        <v>137</v>
      </c>
      <c r="C67" s="322" t="str">
        <f>+"WP04 PIS Line "&amp;IF($L$10=0,'WP04 PIS'!A$21,'WP04 PIS'!A$23)&amp;" Column "&amp;'WP04 PIS'!G$5</f>
        <v>WP04 PIS Line 18 Column F</v>
      </c>
      <c r="D67" s="320">
        <f>IF($L$10=0,'WP04 PIS'!G$21,'WP04 PIS'!G$23)</f>
        <v>146329558.58307692</v>
      </c>
      <c r="E67" s="322"/>
      <c r="F67" s="322" t="s">
        <v>357</v>
      </c>
      <c r="G67" s="326">
        <f>+TP</f>
        <v>0.97142056580185099</v>
      </c>
      <c r="H67" s="327"/>
      <c r="I67" s="320">
        <f>+G67*D67</f>
        <v>142147542.59230769</v>
      </c>
      <c r="J67" s="322"/>
      <c r="K67" s="339"/>
      <c r="L67" s="1384"/>
      <c r="M67" s="1383">
        <f>+D67</f>
        <v>146329558.58307692</v>
      </c>
      <c r="N67" s="1383">
        <f>+D67-M67</f>
        <v>0</v>
      </c>
      <c r="O67" s="1383"/>
      <c r="P67" s="1383"/>
      <c r="Q67" s="298"/>
    </row>
    <row r="68" spans="1:17">
      <c r="A68" s="375" t="str">
        <f>+A67&amp;"a"</f>
        <v>2a</v>
      </c>
      <c r="B68" s="752" t="s">
        <v>717</v>
      </c>
      <c r="C68" s="322" t="str">
        <f>+"Appendix A Line "&amp;'Appendix A'!A41&amp;" "&amp;$L$6&amp;" Column"</f>
        <v>Appendix A Line 20 True-Up Column</v>
      </c>
      <c r="D68" s="320">
        <f>IF($L$10=0,'Appendix A'!H41,'Appendix A'!G41)</f>
        <v>0</v>
      </c>
      <c r="E68" s="322"/>
      <c r="F68" s="322" t="s">
        <v>357</v>
      </c>
      <c r="G68" s="326">
        <f>+TP</f>
        <v>0.97142056580185099</v>
      </c>
      <c r="H68" s="327"/>
      <c r="I68" s="320">
        <f>+G68*D68</f>
        <v>0</v>
      </c>
      <c r="J68" s="322"/>
      <c r="K68" s="339"/>
      <c r="L68" s="1388"/>
      <c r="M68" s="1383">
        <f>+D68</f>
        <v>0</v>
      </c>
      <c r="N68" s="1383"/>
      <c r="O68" s="1383"/>
      <c r="P68" s="1383"/>
      <c r="Q68" s="298"/>
    </row>
    <row r="69" spans="1:17">
      <c r="A69" s="375">
        <f>+A67+1</f>
        <v>3</v>
      </c>
      <c r="B69" s="752" t="s">
        <v>589</v>
      </c>
      <c r="C69" s="322" t="str">
        <f>+"WP04 PIS Line "&amp;IF($L$10=0,'WP04 PIS'!A$21,'WP04 PIS'!A$23)&amp;" Column "&amp;'WP04 PIS'!J$5</f>
        <v>WP04 PIS Line 18 Column I</v>
      </c>
      <c r="D69" s="320">
        <f>IF($L$10=0,'WP04 PIS'!J$21,'WP04 PIS'!J$23)</f>
        <v>631794826.04307687</v>
      </c>
      <c r="E69" s="322"/>
      <c r="F69" s="322" t="s">
        <v>331</v>
      </c>
      <c r="G69" s="326" t="s">
        <v>66</v>
      </c>
      <c r="H69" s="327"/>
      <c r="I69" s="320"/>
      <c r="J69" s="322"/>
      <c r="K69" s="339"/>
      <c r="L69" s="1387"/>
      <c r="M69" s="1383"/>
      <c r="N69" s="1383"/>
      <c r="O69" s="1383"/>
      <c r="P69" s="1383"/>
      <c r="Q69" s="298"/>
    </row>
    <row r="70" spans="1:17">
      <c r="A70" s="375">
        <f t="shared" ref="A70:A110" si="1">+A69+1</f>
        <v>4</v>
      </c>
      <c r="B70" s="752" t="s">
        <v>581</v>
      </c>
      <c r="C70" s="322" t="str">
        <f>+"WP04 PIS Line "&amp;IF($L$10=0,'WP04 PIS'!A$21,'WP04 PIS'!A$23)&amp;" Column "&amp;'WP04 PIS'!C$5&amp;" &amp; "&amp;'WP04 PIS'!K5</f>
        <v>WP04 PIS Line 18 Column B &amp; J</v>
      </c>
      <c r="D70" s="320">
        <f>IF($L$10=0,('WP04 PIS'!C$21+'WP04 PIS'!K$21),('WP04 PIS'!C$23+'WP04 PIS'!K$23))</f>
        <v>131507946.29846144</v>
      </c>
      <c r="E70" s="322"/>
      <c r="F70" s="322" t="s">
        <v>358</v>
      </c>
      <c r="G70" s="326">
        <f>+WS</f>
        <v>8.6337951827005405E-2</v>
      </c>
      <c r="H70" s="327"/>
      <c r="I70" s="320">
        <f>+G70*D70</f>
        <v>11354126.732384978</v>
      </c>
      <c r="J70" s="322"/>
      <c r="K70" s="339"/>
      <c r="L70" s="1389">
        <f>(D198+D199)/D202</f>
        <v>8.8878035802894981E-2</v>
      </c>
      <c r="M70" s="1383">
        <f>+D70*L70</f>
        <v>11688167.959479846</v>
      </c>
      <c r="N70" s="1383"/>
      <c r="O70" s="1383"/>
      <c r="P70" s="1383"/>
      <c r="Q70" s="298"/>
    </row>
    <row r="71" spans="1:17" ht="13.8" thickBot="1">
      <c r="A71" s="375">
        <f t="shared" si="1"/>
        <v>5</v>
      </c>
      <c r="B71" s="752" t="s">
        <v>819</v>
      </c>
      <c r="C71" s="322"/>
      <c r="D71" s="378"/>
      <c r="E71" s="322"/>
      <c r="F71" s="322"/>
      <c r="G71" s="326"/>
      <c r="H71" s="327"/>
      <c r="I71" s="378"/>
      <c r="J71" s="322"/>
      <c r="K71" s="339"/>
      <c r="L71" s="1390"/>
      <c r="M71" s="1383"/>
      <c r="N71" s="1383"/>
      <c r="O71" s="1383"/>
      <c r="P71" s="1383"/>
      <c r="Q71" s="298"/>
    </row>
    <row r="72" spans="1:17">
      <c r="A72" s="375">
        <f t="shared" si="1"/>
        <v>6</v>
      </c>
      <c r="B72" s="305" t="s">
        <v>359</v>
      </c>
      <c r="C72" s="312" t="str">
        <f>+"(Sum of Line "&amp;A66&amp;" to Line "&amp;A71&amp;")"</f>
        <v>(Sum of Line 1 to Line 5)</v>
      </c>
      <c r="D72" s="320">
        <f>SUM(D66:D71)</f>
        <v>1220749364.0130768</v>
      </c>
      <c r="E72" s="322"/>
      <c r="F72" s="322"/>
      <c r="G72" s="379"/>
      <c r="H72" s="327"/>
      <c r="I72" s="320">
        <f>SUM(I66:I71)</f>
        <v>153501669.32469267</v>
      </c>
      <c r="J72" s="322"/>
      <c r="K72" s="339"/>
      <c r="L72" s="1391"/>
      <c r="M72" s="1383">
        <f>+M67+M68+M70</f>
        <v>158017726.54255676</v>
      </c>
      <c r="N72" s="1383"/>
      <c r="O72" s="1383"/>
      <c r="P72" s="1383"/>
      <c r="Q72" s="298"/>
    </row>
    <row r="73" spans="1:17">
      <c r="A73" s="375"/>
      <c r="B73" s="321"/>
      <c r="C73" s="322"/>
      <c r="D73" s="320"/>
      <c r="E73" s="322"/>
      <c r="F73" s="322"/>
      <c r="G73" s="380"/>
      <c r="H73" s="322"/>
      <c r="I73" s="320"/>
      <c r="J73" s="322"/>
      <c r="K73" s="339"/>
      <c r="L73" s="1388"/>
      <c r="M73" s="1383"/>
      <c r="N73" s="1383"/>
      <c r="O73" s="1383"/>
      <c r="P73" s="1383"/>
      <c r="Q73" s="298"/>
    </row>
    <row r="74" spans="1:17">
      <c r="A74" s="375"/>
      <c r="B74" s="321" t="s">
        <v>360</v>
      </c>
      <c r="C74" s="322"/>
      <c r="D74" s="320"/>
      <c r="E74" s="322"/>
      <c r="F74" s="322"/>
      <c r="G74" s="381"/>
      <c r="H74" s="322"/>
      <c r="I74" s="320"/>
      <c r="J74" s="322"/>
      <c r="K74" s="339"/>
      <c r="L74" s="1387"/>
      <c r="M74" s="1383"/>
      <c r="N74" s="1383"/>
      <c r="O74" s="1383"/>
      <c r="P74" s="1383"/>
      <c r="Q74" s="298"/>
    </row>
    <row r="75" spans="1:17">
      <c r="A75" s="375">
        <f>+A72+1</f>
        <v>7</v>
      </c>
      <c r="B75" s="752" t="s">
        <v>588</v>
      </c>
      <c r="C75" s="322" t="str">
        <f>+"WP04 PIS Line "&amp;IF($L$10=0,'WP04 PIS'!A$40,'WP04 PIS'!A$42)&amp;" Column "&amp;'WP04 PIS'!D$5</f>
        <v>WP04 PIS Line 37 Column C</v>
      </c>
      <c r="D75" s="320">
        <f>IF($L$10=0,'WP04 PIS'!D$40,'WP04 PIS'!D$42)</f>
        <v>158822982.69230768</v>
      </c>
      <c r="E75" s="322"/>
      <c r="F75" s="322" t="s">
        <v>331</v>
      </c>
      <c r="G75" s="381" t="s">
        <v>66</v>
      </c>
      <c r="H75" s="322"/>
      <c r="I75" s="320"/>
      <c r="J75" s="322"/>
      <c r="K75" s="339"/>
      <c r="L75" s="1392"/>
      <c r="M75" s="1383"/>
      <c r="N75" s="1383"/>
      <c r="O75" s="1383"/>
      <c r="P75" s="1383"/>
      <c r="Q75" s="298"/>
    </row>
    <row r="76" spans="1:17">
      <c r="A76" s="375">
        <f t="shared" si="1"/>
        <v>8</v>
      </c>
      <c r="B76" s="752" t="s">
        <v>137</v>
      </c>
      <c r="C76" s="322" t="str">
        <f>+"WP04 PIS Line "&amp;IF($L$10=0,'WP04 PIS'!A$40,'WP04 PIS'!A$42)&amp;" Column "&amp;'WP04 PIS'!G$5</f>
        <v>WP04 PIS Line 37 Column F</v>
      </c>
      <c r="D76" s="320">
        <f>IF($L$10=0,'WP04 PIS'!G$40,'WP04 PIS'!G$42)</f>
        <v>65746526.846153848</v>
      </c>
      <c r="E76" s="322"/>
      <c r="F76" s="322" t="s">
        <v>357</v>
      </c>
      <c r="G76" s="326">
        <f>+TP</f>
        <v>0.97142056580185099</v>
      </c>
      <c r="H76" s="327"/>
      <c r="I76" s="320">
        <f>+G76*D76</f>
        <v>63867528.30839736</v>
      </c>
      <c r="J76" s="322"/>
      <c r="K76" s="339"/>
      <c r="L76" s="1387"/>
      <c r="M76" s="1383">
        <f>+D76</f>
        <v>65746526.846153848</v>
      </c>
      <c r="N76" s="1383">
        <f>+D76-M76</f>
        <v>0</v>
      </c>
      <c r="O76" s="1383"/>
      <c r="P76" s="1383"/>
      <c r="Q76" s="298"/>
    </row>
    <row r="77" spans="1:17">
      <c r="A77" s="375" t="str">
        <f>+A76&amp;"a"</f>
        <v>8a</v>
      </c>
      <c r="B77" s="752" t="s">
        <v>717</v>
      </c>
      <c r="C77" s="322"/>
      <c r="D77" s="320"/>
      <c r="E77" s="322"/>
      <c r="F77" s="322"/>
      <c r="G77" s="326"/>
      <c r="H77" s="327"/>
      <c r="I77" s="320"/>
      <c r="J77" s="322"/>
      <c r="K77" s="339"/>
      <c r="L77" s="1387"/>
      <c r="M77" s="1383"/>
      <c r="N77" s="1383"/>
      <c r="O77" s="1383"/>
      <c r="P77" s="1383"/>
      <c r="Q77" s="298"/>
    </row>
    <row r="78" spans="1:17">
      <c r="A78" s="375">
        <f>+A76+1</f>
        <v>9</v>
      </c>
      <c r="B78" s="752" t="s">
        <v>589</v>
      </c>
      <c r="C78" s="322" t="str">
        <f>+"WP04 PIS Line "&amp;IF($L$10=0,'WP04 PIS'!A$40,'WP04 PIS'!A$42)&amp;" Column "&amp;'WP04 PIS'!J$5</f>
        <v>WP04 PIS Line 37 Column I</v>
      </c>
      <c r="D78" s="320">
        <f>IF($L$10=0,'WP04 PIS'!J$40,'WP04 PIS'!J$42)</f>
        <v>203898120.38461539</v>
      </c>
      <c r="E78" s="322"/>
      <c r="F78" s="322" t="s">
        <v>331</v>
      </c>
      <c r="G78" s="326" t="str">
        <f>+G69</f>
        <v xml:space="preserve"> </v>
      </c>
      <c r="H78" s="327"/>
      <c r="I78" s="320" t="s">
        <v>66</v>
      </c>
      <c r="J78" s="322"/>
      <c r="K78" s="339"/>
      <c r="L78" s="1387"/>
      <c r="M78" s="1383"/>
      <c r="N78" s="1383"/>
      <c r="O78" s="1383"/>
      <c r="P78" s="1383"/>
      <c r="Q78" s="298"/>
    </row>
    <row r="79" spans="1:17">
      <c r="A79" s="375">
        <f t="shared" si="1"/>
        <v>10</v>
      </c>
      <c r="B79" s="752" t="s">
        <v>581</v>
      </c>
      <c r="C79" s="322" t="str">
        <f>+"WP04 PIS Line "&amp;IF($L$10=0,'WP04 PIS'!A$40,'WP04 PIS'!A$42)&amp;" Column "&amp;'WP04 PIS'!C$5&amp;" &amp; "&amp;'WP04 PIS'!K5</f>
        <v>WP04 PIS Line 37 Column B &amp; J</v>
      </c>
      <c r="D79" s="320">
        <f>IF($L$10=0,('WP04 PIS'!C$40+'WP04 PIS'!K$40),('WP04 PIS'!C$42+'WP04 PIS'!K$42))</f>
        <v>75696420.538461536</v>
      </c>
      <c r="E79" s="322"/>
      <c r="F79" s="322" t="s">
        <v>358</v>
      </c>
      <c r="G79" s="326">
        <f>+WS</f>
        <v>8.6337951827005405E-2</v>
      </c>
      <c r="H79" s="327"/>
      <c r="I79" s="320">
        <f>+G79*D79</f>
        <v>6535473.909926435</v>
      </c>
      <c r="J79" s="322"/>
      <c r="K79" s="339"/>
      <c r="L79" s="1389">
        <f>+L70</f>
        <v>8.8878035802894981E-2</v>
      </c>
      <c r="M79" s="1383">
        <f>+D79*L79</f>
        <v>6727749.174768379</v>
      </c>
      <c r="N79" s="1383"/>
      <c r="O79" s="1383"/>
      <c r="P79" s="1383"/>
      <c r="Q79" s="298"/>
    </row>
    <row r="80" spans="1:17" ht="13.8" thickBot="1">
      <c r="A80" s="375">
        <f t="shared" si="1"/>
        <v>11</v>
      </c>
      <c r="B80" s="752" t="s">
        <v>819</v>
      </c>
      <c r="C80" s="322"/>
      <c r="D80" s="378"/>
      <c r="E80" s="322"/>
      <c r="F80" s="328"/>
      <c r="G80" s="326"/>
      <c r="H80" s="327"/>
      <c r="I80" s="378"/>
      <c r="J80" s="322"/>
      <c r="K80" s="339"/>
      <c r="L80" s="1387"/>
      <c r="M80" s="1383"/>
      <c r="N80" s="1383"/>
      <c r="O80" s="1383"/>
      <c r="P80" s="1383"/>
      <c r="Q80" s="298"/>
    </row>
    <row r="81" spans="1:17">
      <c r="A81" s="375">
        <f t="shared" si="1"/>
        <v>12</v>
      </c>
      <c r="B81" s="321" t="s">
        <v>361</v>
      </c>
      <c r="C81" s="312" t="str">
        <f>+"(Sum of Line "&amp;A75&amp;" to Line "&amp;A80&amp;")"</f>
        <v>(Sum of Line 7 to Line 11)</v>
      </c>
      <c r="D81" s="320">
        <f>SUM(D75:D80)</f>
        <v>504164050.46153843</v>
      </c>
      <c r="E81" s="322"/>
      <c r="F81" s="322"/>
      <c r="G81" s="328"/>
      <c r="H81" s="327"/>
      <c r="I81" s="320">
        <f>SUM(I75:I80)</f>
        <v>70403002.218323797</v>
      </c>
      <c r="J81" s="322"/>
      <c r="K81" s="339"/>
      <c r="L81" s="1387"/>
      <c r="M81" s="1383">
        <f>+M76+M79</f>
        <v>72474276.020922229</v>
      </c>
      <c r="N81" s="1383"/>
      <c r="O81" s="1383"/>
      <c r="P81" s="1383"/>
      <c r="Q81" s="298"/>
    </row>
    <row r="82" spans="1:17">
      <c r="A82" s="375"/>
      <c r="B82" s="333"/>
      <c r="C82" s="322" t="s">
        <v>66</v>
      </c>
      <c r="D82" s="320"/>
      <c r="E82" s="322"/>
      <c r="F82" s="322"/>
      <c r="G82" s="358"/>
      <c r="H82" s="322"/>
      <c r="I82" s="320"/>
      <c r="J82" s="322"/>
      <c r="K82" s="339"/>
      <c r="L82" s="1388"/>
      <c r="M82" s="1383"/>
      <c r="N82" s="1383"/>
      <c r="O82" s="1383"/>
      <c r="P82" s="1383"/>
      <c r="Q82" s="298"/>
    </row>
    <row r="83" spans="1:17">
      <c r="A83" s="375"/>
      <c r="B83" s="321" t="s">
        <v>362</v>
      </c>
      <c r="C83" s="322"/>
      <c r="D83" s="320"/>
      <c r="E83" s="322"/>
      <c r="F83" s="322"/>
      <c r="G83" s="328"/>
      <c r="H83" s="322"/>
      <c r="I83" s="320"/>
      <c r="J83" s="322"/>
      <c r="K83" s="339"/>
      <c r="L83" s="1387"/>
      <c r="M83" s="1383"/>
      <c r="N83" s="1383"/>
      <c r="O83" s="1383"/>
      <c r="P83" s="1383"/>
      <c r="Q83" s="298"/>
    </row>
    <row r="84" spans="1:17">
      <c r="A84" s="375">
        <f>+A81+1</f>
        <v>13</v>
      </c>
      <c r="B84" s="752" t="s">
        <v>588</v>
      </c>
      <c r="C84" s="322" t="str">
        <f>"(Line "&amp;A66&amp;" - Line "&amp;A75&amp;")"</f>
        <v>(Line 1 - Line 7)</v>
      </c>
      <c r="D84" s="320">
        <f t="shared" ref="D84:D88" si="2">D66-D75</f>
        <v>152294050.3961539</v>
      </c>
      <c r="E84" s="327"/>
      <c r="F84" s="327"/>
      <c r="G84" s="358"/>
      <c r="H84" s="327"/>
      <c r="I84" s="320" t="s">
        <v>66</v>
      </c>
      <c r="J84" s="322"/>
      <c r="K84" s="339"/>
      <c r="L84" s="1388"/>
      <c r="M84" s="1383"/>
      <c r="N84" s="1383"/>
      <c r="O84" s="1383"/>
      <c r="P84" s="1383"/>
      <c r="Q84" s="298"/>
    </row>
    <row r="85" spans="1:17">
      <c r="A85" s="375">
        <f t="shared" si="1"/>
        <v>14</v>
      </c>
      <c r="B85" s="752" t="s">
        <v>137</v>
      </c>
      <c r="C85" s="322" t="str">
        <f>"(Line "&amp;A67&amp;" - Line "&amp;A76&amp;")"</f>
        <v>(Line 2 - Line 8)</v>
      </c>
      <c r="D85" s="320">
        <f t="shared" si="2"/>
        <v>80583031.736923069</v>
      </c>
      <c r="E85" s="327"/>
      <c r="F85" s="327"/>
      <c r="G85" s="328"/>
      <c r="H85" s="327"/>
      <c r="I85" s="320">
        <f>I67-I76</f>
        <v>78280014.283910334</v>
      </c>
      <c r="J85" s="322"/>
      <c r="K85" s="339"/>
      <c r="L85" s="1388"/>
      <c r="M85" s="1383">
        <f t="shared" ref="M85:M86" si="3">M67-M76</f>
        <v>80583031.736923069</v>
      </c>
      <c r="N85" s="1383">
        <f>+D85-M85</f>
        <v>0</v>
      </c>
      <c r="O85" s="1383"/>
      <c r="P85" s="1383"/>
      <c r="Q85" s="298"/>
    </row>
    <row r="86" spans="1:17">
      <c r="A86" s="375" t="str">
        <f>+A85&amp;"a"</f>
        <v>14a</v>
      </c>
      <c r="B86" s="752" t="s">
        <v>717</v>
      </c>
      <c r="C86" s="322" t="str">
        <f>"(Line "&amp;A68&amp;" - Line "&amp;A77&amp;")"</f>
        <v>(Line 2a - Line 8a)</v>
      </c>
      <c r="D86" s="320">
        <f t="shared" si="2"/>
        <v>0</v>
      </c>
      <c r="E86" s="327"/>
      <c r="F86" s="327"/>
      <c r="G86" s="328"/>
      <c r="H86" s="327"/>
      <c r="I86" s="320">
        <f>I68-I77</f>
        <v>0</v>
      </c>
      <c r="J86" s="322"/>
      <c r="K86" s="339"/>
      <c r="L86" s="1388"/>
      <c r="M86" s="1383">
        <f t="shared" si="3"/>
        <v>0</v>
      </c>
      <c r="N86" s="1383"/>
      <c r="O86" s="1383"/>
      <c r="P86" s="1383"/>
      <c r="Q86" s="298"/>
    </row>
    <row r="87" spans="1:17">
      <c r="A87" s="375">
        <f>+A85+1</f>
        <v>15</v>
      </c>
      <c r="B87" s="752" t="s">
        <v>589</v>
      </c>
      <c r="C87" s="322" t="str">
        <f>"(Line "&amp;A69&amp;" - Line "&amp;A78&amp;")"</f>
        <v>(Line 3 - Line 9)</v>
      </c>
      <c r="D87" s="320">
        <f t="shared" si="2"/>
        <v>427896705.65846145</v>
      </c>
      <c r="E87" s="327"/>
      <c r="F87" s="327"/>
      <c r="G87" s="358"/>
      <c r="H87" s="327"/>
      <c r="I87" s="320" t="s">
        <v>66</v>
      </c>
      <c r="J87" s="322"/>
      <c r="K87" s="339"/>
      <c r="L87" s="1388"/>
      <c r="M87" s="1383"/>
      <c r="N87" s="1383"/>
      <c r="O87" s="1383"/>
      <c r="P87" s="1383"/>
      <c r="Q87" s="298"/>
    </row>
    <row r="88" spans="1:17">
      <c r="A88" s="375">
        <f t="shared" si="1"/>
        <v>16</v>
      </c>
      <c r="B88" s="752" t="s">
        <v>581</v>
      </c>
      <c r="C88" s="322" t="str">
        <f>"(Line "&amp;A70&amp;" - Line "&amp;A79&amp;")"</f>
        <v>(Line 4 - Line 10)</v>
      </c>
      <c r="D88" s="320">
        <f t="shared" si="2"/>
        <v>55811525.759999901</v>
      </c>
      <c r="E88" s="327"/>
      <c r="F88" s="327"/>
      <c r="G88" s="358"/>
      <c r="H88" s="327"/>
      <c r="I88" s="320">
        <f>I70-I79</f>
        <v>4818652.8224585429</v>
      </c>
      <c r="J88" s="322"/>
      <c r="K88" s="339"/>
      <c r="L88" s="1388"/>
      <c r="M88" s="1383">
        <f>M70-M79</f>
        <v>4960418.7847114671</v>
      </c>
      <c r="N88" s="1383"/>
      <c r="O88" s="1383"/>
      <c r="P88" s="1383"/>
      <c r="Q88" s="298"/>
    </row>
    <row r="89" spans="1:17" ht="13.8" thickBot="1">
      <c r="A89" s="375">
        <f t="shared" si="1"/>
        <v>17</v>
      </c>
      <c r="B89" s="752" t="s">
        <v>819</v>
      </c>
      <c r="C89" s="322"/>
      <c r="D89" s="378"/>
      <c r="E89" s="327"/>
      <c r="F89" s="327"/>
      <c r="G89" s="358"/>
      <c r="H89" s="327"/>
      <c r="I89" s="378"/>
      <c r="J89" s="322"/>
      <c r="K89" s="339"/>
      <c r="L89" s="1388"/>
      <c r="M89" s="1383"/>
      <c r="N89" s="1383"/>
      <c r="O89" s="1383"/>
      <c r="P89" s="1383"/>
      <c r="Q89" s="298"/>
    </row>
    <row r="90" spans="1:17">
      <c r="A90" s="375">
        <f t="shared" si="1"/>
        <v>18</v>
      </c>
      <c r="B90" s="321" t="s">
        <v>363</v>
      </c>
      <c r="C90" s="312" t="str">
        <f>+"(Sum of Line "&amp;A84&amp;" to Line "&amp;A89&amp;")"</f>
        <v>(Sum of Line 13 to Line 17)</v>
      </c>
      <c r="D90" s="320">
        <f>SUM(D84:D89)</f>
        <v>716585313.55153835</v>
      </c>
      <c r="E90" s="327"/>
      <c r="F90" s="327"/>
      <c r="G90" s="379"/>
      <c r="H90" s="327"/>
      <c r="I90" s="320">
        <f>SUM(I84:I89)</f>
        <v>83098667.10636887</v>
      </c>
      <c r="J90" s="322"/>
      <c r="K90" s="339"/>
      <c r="L90" s="1387"/>
      <c r="M90" s="1383">
        <f>SUM(M84:M89)</f>
        <v>85543450.521634534</v>
      </c>
      <c r="N90" s="1383"/>
      <c r="O90" s="1383"/>
      <c r="P90" s="1383"/>
      <c r="Q90" s="298"/>
    </row>
    <row r="91" spans="1:17">
      <c r="A91" s="375"/>
      <c r="B91" s="321"/>
      <c r="C91" s="322"/>
      <c r="D91" s="320"/>
      <c r="E91" s="327"/>
      <c r="F91" s="327"/>
      <c r="G91" s="358"/>
      <c r="H91" s="327"/>
      <c r="I91" s="320"/>
      <c r="J91" s="322"/>
      <c r="K91" s="339"/>
      <c r="L91" s="1387"/>
      <c r="M91" s="1383"/>
      <c r="N91" s="1383"/>
      <c r="O91" s="1383"/>
      <c r="P91" s="1383"/>
      <c r="Q91" s="298"/>
    </row>
    <row r="92" spans="1:17" s="386" customFormat="1">
      <c r="A92" s="375" t="s">
        <v>622</v>
      </c>
      <c r="B92" s="1178" t="s">
        <v>819</v>
      </c>
      <c r="C92" s="384"/>
      <c r="D92" s="1179"/>
      <c r="E92" s="1180"/>
      <c r="F92" s="382"/>
      <c r="G92" s="1181"/>
      <c r="H92" s="382"/>
      <c r="I92" s="383"/>
      <c r="J92" s="384"/>
      <c r="K92" s="385"/>
      <c r="L92" s="1393"/>
      <c r="M92" s="1394"/>
      <c r="N92" s="1394"/>
      <c r="O92" s="1394"/>
      <c r="P92" s="1394"/>
    </row>
    <row r="93" spans="1:17">
      <c r="A93" s="375"/>
      <c r="B93" s="333"/>
      <c r="C93" s="322"/>
      <c r="D93" s="1457"/>
      <c r="E93" s="384"/>
      <c r="F93" s="1458"/>
      <c r="G93" s="333"/>
      <c r="H93" s="322"/>
      <c r="I93" s="320"/>
      <c r="J93" s="322"/>
      <c r="K93" s="339"/>
      <c r="L93" s="1388"/>
      <c r="M93" s="1383"/>
      <c r="N93" s="1383"/>
      <c r="O93" s="1383"/>
      <c r="P93" s="1383"/>
      <c r="Q93" s="298"/>
    </row>
    <row r="94" spans="1:17">
      <c r="A94" s="375"/>
      <c r="B94" s="305" t="s">
        <v>364</v>
      </c>
      <c r="C94" s="322"/>
      <c r="D94" s="320"/>
      <c r="E94" s="322"/>
      <c r="F94" s="322"/>
      <c r="G94" s="322"/>
      <c r="H94" s="322"/>
      <c r="I94" s="320"/>
      <c r="J94" s="322"/>
      <c r="K94" s="339"/>
      <c r="L94" s="1387"/>
      <c r="M94" s="1383"/>
      <c r="N94" s="1383"/>
      <c r="O94" s="1383"/>
      <c r="P94" s="1383"/>
      <c r="Q94" s="298"/>
    </row>
    <row r="95" spans="1:17">
      <c r="A95" s="375">
        <f>+A90+1</f>
        <v>19</v>
      </c>
      <c r="B95" s="752" t="s">
        <v>146</v>
      </c>
      <c r="C95" s="322" t="str">
        <f>+"Appendix A Line "&amp;'Appendix A'!A75&amp;" "&amp;$L$6&amp;" Column"</f>
        <v>Appendix A Line 43 True-Up Column</v>
      </c>
      <c r="D95" s="320">
        <f>IF($L$10=0,'Appendix A'!$H$75,'Appendix A'!$G$75)</f>
        <v>-14755943.923240718</v>
      </c>
      <c r="E95" s="322"/>
      <c r="F95" s="322" t="s">
        <v>357</v>
      </c>
      <c r="G95" s="1374">
        <f>+TP</f>
        <v>0.97142056580185099</v>
      </c>
      <c r="H95" s="327"/>
      <c r="I95" s="320">
        <f>+G95*D95</f>
        <v>-14334227.394854883</v>
      </c>
      <c r="J95" s="322"/>
      <c r="K95" s="339"/>
      <c r="L95" s="1388"/>
      <c r="M95" s="1383">
        <f>+D95</f>
        <v>-14755943.923240718</v>
      </c>
      <c r="N95" s="1383"/>
      <c r="O95" s="1383"/>
      <c r="P95" s="1383"/>
      <c r="Q95" s="298"/>
    </row>
    <row r="96" spans="1:17">
      <c r="B96" s="339"/>
      <c r="C96" s="339"/>
      <c r="D96" s="339"/>
      <c r="E96" s="339"/>
      <c r="F96" s="339"/>
      <c r="G96" s="339"/>
      <c r="H96" s="339"/>
      <c r="I96" s="339"/>
      <c r="L96" s="1383"/>
      <c r="M96" s="1383"/>
      <c r="N96" s="1383"/>
      <c r="O96" s="1384"/>
      <c r="P96" s="1383"/>
    </row>
    <row r="97" spans="1:17">
      <c r="A97" s="375">
        <f>+A95+1</f>
        <v>20</v>
      </c>
      <c r="B97" s="752" t="s">
        <v>819</v>
      </c>
      <c r="C97" s="322"/>
      <c r="D97" s="383"/>
      <c r="E97" s="322"/>
      <c r="F97" s="322"/>
      <c r="G97" s="387"/>
      <c r="H97" s="327"/>
      <c r="I97" s="320"/>
      <c r="J97" s="322"/>
      <c r="K97" s="339"/>
      <c r="L97" s="1388"/>
      <c r="M97" s="1383"/>
      <c r="N97" s="1383"/>
      <c r="O97" s="1383"/>
      <c r="P97" s="1383"/>
      <c r="Q97" s="298"/>
    </row>
    <row r="98" spans="1:17">
      <c r="A98" s="375">
        <f t="shared" si="1"/>
        <v>21</v>
      </c>
      <c r="B98" s="752" t="s">
        <v>819</v>
      </c>
      <c r="C98" s="322"/>
      <c r="D98" s="383"/>
      <c r="E98" s="322"/>
      <c r="F98" s="322"/>
      <c r="G98" s="387"/>
      <c r="H98" s="327"/>
      <c r="I98" s="320"/>
      <c r="J98" s="322"/>
      <c r="K98" s="339"/>
      <c r="L98" s="1388"/>
      <c r="M98" s="1383"/>
      <c r="N98" s="1383"/>
      <c r="O98" s="1383"/>
      <c r="P98" s="1383"/>
      <c r="Q98" s="298"/>
    </row>
    <row r="99" spans="1:17">
      <c r="A99" s="375">
        <f>+A98+1</f>
        <v>22</v>
      </c>
      <c r="B99" s="758" t="s">
        <v>306</v>
      </c>
      <c r="C99" s="322" t="str">
        <f>+"Appendix A Line "&amp;+'Appendix A'!A87&amp;" "&amp;$L$6&amp;" Column"</f>
        <v>Appendix A Line 52 True-Up Column</v>
      </c>
      <c r="D99" s="320">
        <f>IF($L$10=0,'Appendix A'!H87,'Appendix A'!G87)</f>
        <v>2830872.4036025731</v>
      </c>
      <c r="E99" s="322"/>
      <c r="F99" s="322" t="s">
        <v>357</v>
      </c>
      <c r="G99" s="1374">
        <f>+TP</f>
        <v>0.97142056580185099</v>
      </c>
      <c r="H99" s="327"/>
      <c r="I99" s="383">
        <f>+D99*G99</f>
        <v>2749967.6720204572</v>
      </c>
      <c r="J99" s="322"/>
      <c r="K99" s="339"/>
      <c r="L99" s="1388"/>
      <c r="M99" s="1383">
        <f>+D99</f>
        <v>2830872.4036025731</v>
      </c>
      <c r="N99" s="1383"/>
      <c r="O99" s="1383"/>
      <c r="P99" s="1383"/>
      <c r="Q99" s="298"/>
    </row>
    <row r="100" spans="1:17">
      <c r="A100" s="375">
        <f>+A99+1</f>
        <v>23</v>
      </c>
      <c r="B100" s="752" t="s">
        <v>819</v>
      </c>
      <c r="C100" s="322"/>
      <c r="D100" s="320"/>
      <c r="E100" s="382"/>
      <c r="F100" s="322"/>
      <c r="G100" s="387"/>
      <c r="H100" s="327"/>
      <c r="I100" s="383"/>
      <c r="J100" s="339"/>
      <c r="K100" s="339"/>
      <c r="L100" s="1388"/>
      <c r="M100" s="1383"/>
      <c r="N100" s="1383"/>
      <c r="O100" s="1383"/>
      <c r="P100" s="1383"/>
      <c r="Q100" s="298"/>
    </row>
    <row r="101" spans="1:17" s="386" customFormat="1" ht="13.8" thickBot="1">
      <c r="A101" s="375" t="str">
        <f>+A100&amp;"a"</f>
        <v>23a</v>
      </c>
      <c r="B101" s="1182" t="s">
        <v>819</v>
      </c>
      <c r="C101" s="322"/>
      <c r="D101" s="378"/>
      <c r="E101" s="382"/>
      <c r="F101" s="382"/>
      <c r="G101" s="1181"/>
      <c r="H101" s="382"/>
      <c r="I101" s="378"/>
      <c r="J101" s="385"/>
      <c r="K101" s="385"/>
      <c r="L101" s="1395"/>
      <c r="M101" s="1394"/>
      <c r="N101" s="1394"/>
      <c r="O101" s="1394"/>
      <c r="P101" s="1394"/>
    </row>
    <row r="102" spans="1:17">
      <c r="A102" s="375">
        <f>+A100+1</f>
        <v>24</v>
      </c>
      <c r="B102" s="321" t="s">
        <v>365</v>
      </c>
      <c r="C102" s="312" t="str">
        <f>+"(Sum of Line "&amp;A95&amp;" to Line "&amp;A101&amp;")"</f>
        <v>(Sum of Line 19 to Line 23a)</v>
      </c>
      <c r="D102" s="320">
        <f>SUM(D95:D101)</f>
        <v>-11925071.519638143</v>
      </c>
      <c r="E102" s="322"/>
      <c r="F102" s="322"/>
      <c r="G102" s="327"/>
      <c r="H102" s="327"/>
      <c r="I102" s="320">
        <f>SUM(I95:I101)</f>
        <v>-11584259.722834425</v>
      </c>
      <c r="J102" s="322"/>
      <c r="K102" s="339"/>
      <c r="L102" s="1387"/>
      <c r="M102" s="1383">
        <f>+D102</f>
        <v>-11925071.519638143</v>
      </c>
      <c r="N102" s="1383"/>
      <c r="O102" s="1383"/>
      <c r="P102" s="1383"/>
      <c r="Q102" s="298"/>
    </row>
    <row r="103" spans="1:17">
      <c r="A103" s="375"/>
      <c r="B103" s="333"/>
      <c r="C103" s="322"/>
      <c r="D103" s="320"/>
      <c r="E103" s="322"/>
      <c r="F103" s="322"/>
      <c r="G103" s="388"/>
      <c r="H103" s="322"/>
      <c r="I103" s="320"/>
      <c r="J103" s="322"/>
      <c r="K103" s="339"/>
      <c r="L103" s="1388"/>
      <c r="M103" s="1383"/>
      <c r="N103" s="1383"/>
      <c r="O103" s="1383"/>
      <c r="P103" s="1383"/>
      <c r="Q103" s="298"/>
    </row>
    <row r="104" spans="1:17">
      <c r="A104" s="375">
        <f>+A102+1</f>
        <v>25</v>
      </c>
      <c r="B104" s="305" t="s">
        <v>366</v>
      </c>
      <c r="C104" s="322" t="str">
        <f>+"Appendix A Line "&amp;+'Appendix A'!A106&amp;" "&amp;$L$6&amp;" Column"</f>
        <v>Appendix A Line 66 True-Up Column</v>
      </c>
      <c r="D104" s="320">
        <f>IF($L$10=0,'Appendix A'!H106,'Appendix A'!G106)</f>
        <v>0</v>
      </c>
      <c r="E104" s="322"/>
      <c r="F104" s="322" t="s">
        <v>357</v>
      </c>
      <c r="G104" s="326">
        <f>+TP</f>
        <v>0.97142056580185099</v>
      </c>
      <c r="H104" s="327"/>
      <c r="I104" s="320">
        <f>+G104*D104</f>
        <v>0</v>
      </c>
      <c r="J104" s="322"/>
      <c r="K104" s="339"/>
      <c r="L104" s="1387"/>
      <c r="M104" s="1383">
        <f>+D104</f>
        <v>0</v>
      </c>
      <c r="N104" s="1383"/>
      <c r="O104" s="1383"/>
      <c r="P104" s="1383"/>
      <c r="Q104" s="298"/>
    </row>
    <row r="105" spans="1:17">
      <c r="A105" s="375"/>
      <c r="B105" s="321"/>
      <c r="C105" s="322"/>
      <c r="D105" s="320"/>
      <c r="E105" s="322"/>
      <c r="F105" s="322"/>
      <c r="G105" s="326"/>
      <c r="H105" s="327"/>
      <c r="I105" s="320"/>
      <c r="J105" s="322"/>
      <c r="K105" s="339"/>
      <c r="L105" s="1387"/>
      <c r="M105" s="1383"/>
      <c r="N105" s="1383"/>
      <c r="O105" s="1383"/>
      <c r="P105" s="1383"/>
      <c r="Q105" s="298"/>
    </row>
    <row r="106" spans="1:17">
      <c r="A106" s="375"/>
      <c r="B106" s="321" t="s">
        <v>367</v>
      </c>
      <c r="C106" s="322"/>
      <c r="D106" s="320"/>
      <c r="E106" s="322"/>
      <c r="F106" s="322"/>
      <c r="G106" s="326"/>
      <c r="H106" s="327"/>
      <c r="I106" s="320"/>
      <c r="J106" s="322"/>
      <c r="K106" s="339"/>
      <c r="L106" s="1387"/>
      <c r="M106" s="1383"/>
      <c r="N106" s="1383"/>
      <c r="O106" s="1383"/>
      <c r="P106" s="1383"/>
      <c r="Q106" s="298"/>
    </row>
    <row r="107" spans="1:17">
      <c r="A107" s="375">
        <f>+A104+1</f>
        <v>26</v>
      </c>
      <c r="B107" s="752" t="s">
        <v>819</v>
      </c>
      <c r="C107" s="333"/>
      <c r="D107" s="320"/>
      <c r="E107" s="322"/>
      <c r="F107" s="322"/>
      <c r="G107" s="389"/>
      <c r="H107" s="327"/>
      <c r="I107" s="320"/>
      <c r="J107" s="312"/>
      <c r="K107" s="339"/>
      <c r="L107" s="1388"/>
      <c r="M107" s="1383">
        <f>+I107</f>
        <v>0</v>
      </c>
      <c r="N107" s="1383"/>
      <c r="O107" s="1383"/>
      <c r="P107" s="1383"/>
      <c r="Q107" s="298"/>
    </row>
    <row r="108" spans="1:17">
      <c r="A108" s="375">
        <f t="shared" si="1"/>
        <v>27</v>
      </c>
      <c r="B108" s="752" t="s">
        <v>162</v>
      </c>
      <c r="C108" s="322" t="str">
        <f>+"Appendix A Line "&amp;+'Appendix A'!A94&amp;" "&amp;$L$6&amp;" Column"</f>
        <v>Appendix A Line 57 True-Up Column</v>
      </c>
      <c r="D108" s="320">
        <f>IF($L$10=0,'Appendix A'!H94,'Appendix A'!G94)</f>
        <v>104111.82857752735</v>
      </c>
      <c r="E108" s="322"/>
      <c r="F108" s="322" t="s">
        <v>357</v>
      </c>
      <c r="G108" s="326">
        <f>+TP</f>
        <v>0.97142056580185099</v>
      </c>
      <c r="H108" s="327"/>
      <c r="I108" s="320">
        <f>+G108*D108</f>
        <v>101136.37142344694</v>
      </c>
      <c r="J108" s="322" t="s">
        <v>66</v>
      </c>
      <c r="K108" s="339"/>
      <c r="L108" s="1388"/>
      <c r="M108" s="1383">
        <f>+D108</f>
        <v>104111.82857752735</v>
      </c>
      <c r="N108" s="1383"/>
      <c r="O108" s="1383"/>
      <c r="P108" s="1383"/>
      <c r="Q108" s="298"/>
    </row>
    <row r="109" spans="1:17" ht="13.8" thickBot="1">
      <c r="A109" s="375">
        <f t="shared" si="1"/>
        <v>28</v>
      </c>
      <c r="B109" s="752" t="s">
        <v>587</v>
      </c>
      <c r="C109" s="322" t="str">
        <f>+"Appendix A Line "&amp;+'Appendix A'!A104&amp;" "&amp;$L$6&amp;" Column"</f>
        <v>Appendix A Line 65 True-Up Column</v>
      </c>
      <c r="D109" s="378">
        <f>IF($L$10=0,'Appendix A'!H104,'Appendix A'!G104)</f>
        <v>930986.24397637742</v>
      </c>
      <c r="E109" s="322"/>
      <c r="F109" s="322" t="s">
        <v>357</v>
      </c>
      <c r="G109" s="326">
        <f>+TP</f>
        <v>0.97142056580185099</v>
      </c>
      <c r="H109" s="327"/>
      <c r="I109" s="378">
        <f>+G109*D109</f>
        <v>904379.18387727265</v>
      </c>
      <c r="J109" s="322"/>
      <c r="K109" s="339"/>
      <c r="L109" s="1388"/>
      <c r="M109" s="1396">
        <f>+D109</f>
        <v>930986.24397637742</v>
      </c>
      <c r="N109" s="1383"/>
      <c r="O109" s="1383"/>
      <c r="P109" s="1383"/>
      <c r="Q109" s="298"/>
    </row>
    <row r="110" spans="1:17">
      <c r="A110" s="375">
        <f t="shared" si="1"/>
        <v>29</v>
      </c>
      <c r="B110" s="321" t="s">
        <v>368</v>
      </c>
      <c r="C110" s="312" t="str">
        <f>+"(Sum of Lines "&amp;A107&amp;" to "&amp;A109&amp;")"</f>
        <v>(Sum of Lines 26 to 28)</v>
      </c>
      <c r="D110" s="320">
        <f>SUM(D107:D109)</f>
        <v>1035098.0725539047</v>
      </c>
      <c r="E110" s="312"/>
      <c r="F110" s="312"/>
      <c r="G110" s="390"/>
      <c r="H110" s="390"/>
      <c r="I110" s="320">
        <f>I107+I108+I109</f>
        <v>1005515.5553007196</v>
      </c>
      <c r="J110" s="312"/>
      <c r="K110" s="339"/>
      <c r="L110" s="1397"/>
      <c r="M110" s="1383">
        <f>+M107+M108+M109</f>
        <v>1035098.0725539047</v>
      </c>
      <c r="N110" s="1383"/>
      <c r="O110" s="1383"/>
      <c r="P110" s="1383"/>
      <c r="Q110" s="298"/>
    </row>
    <row r="111" spans="1:17" ht="13.8" thickBot="1">
      <c r="A111" s="375"/>
      <c r="B111" s="333"/>
      <c r="C111" s="322"/>
      <c r="D111" s="378"/>
      <c r="E111" s="322"/>
      <c r="F111" s="322"/>
      <c r="G111" s="322"/>
      <c r="H111" s="322"/>
      <c r="I111" s="378"/>
      <c r="J111" s="322"/>
      <c r="K111" s="339"/>
      <c r="L111" s="1387"/>
      <c r="M111" s="1383"/>
      <c r="N111" s="1383"/>
      <c r="O111" s="1383"/>
      <c r="P111" s="1383"/>
      <c r="Q111" s="298"/>
    </row>
    <row r="112" spans="1:17" ht="13.8" thickBot="1">
      <c r="A112" s="375">
        <f>+A110+1</f>
        <v>30</v>
      </c>
      <c r="B112" s="321" t="s">
        <v>369</v>
      </c>
      <c r="C112" s="322" t="str">
        <f>+"(Line "&amp;A90&amp;" + Line "&amp;A92&amp;" + Line "&amp;A102&amp;" + Line "&amp;A104&amp;" + Line "&amp;A110&amp;")"</f>
        <v>(Line 18 + Line 18a + Line 24 + Line 25 + Line 29)</v>
      </c>
      <c r="D112" s="391">
        <f>+D110+D104+D102+D90+D92</f>
        <v>705695340.10445416</v>
      </c>
      <c r="E112" s="327"/>
      <c r="F112" s="327"/>
      <c r="G112" s="392"/>
      <c r="H112" s="327"/>
      <c r="I112" s="391">
        <f>+I110+I104+I102+I90+I92</f>
        <v>72519922.938835159</v>
      </c>
      <c r="J112" s="322"/>
      <c r="K112" s="339"/>
      <c r="L112" s="1388"/>
      <c r="M112" s="1398">
        <f>+M90+M92+M102+M104+M110</f>
        <v>74653477.074550301</v>
      </c>
      <c r="N112" s="1383">
        <f>IF($L$10=0,'Appendix A'!H120,'Appendix A'!G120)</f>
        <v>74653477.074550301</v>
      </c>
      <c r="O112" s="1385"/>
      <c r="P112" s="1383"/>
      <c r="Q112" s="298"/>
    </row>
    <row r="113" spans="1:18" ht="13.8" thickTop="1">
      <c r="A113" s="375"/>
      <c r="B113" s="321"/>
      <c r="C113" s="322"/>
      <c r="D113" s="393"/>
      <c r="E113" s="327"/>
      <c r="F113" s="327"/>
      <c r="G113" s="392"/>
      <c r="H113" s="327"/>
      <c r="I113" s="393"/>
      <c r="J113" s="322"/>
      <c r="K113" s="388"/>
      <c r="L113" s="1383"/>
      <c r="M113" s="1383"/>
      <c r="N113" s="1383"/>
      <c r="O113" s="1384"/>
      <c r="P113" s="1384"/>
      <c r="Q113" s="298"/>
    </row>
    <row r="114" spans="1:18">
      <c r="A114" s="375"/>
      <c r="B114" s="321"/>
      <c r="C114" s="322"/>
      <c r="D114" s="393"/>
      <c r="E114" s="327"/>
      <c r="F114" s="327"/>
      <c r="G114" s="392"/>
      <c r="H114" s="327"/>
      <c r="I114" s="393"/>
      <c r="J114" s="322"/>
      <c r="K114" s="368" t="str">
        <f>+K1</f>
        <v>Attachment O-ENOI</v>
      </c>
      <c r="L114" s="1383"/>
      <c r="M114" s="1383"/>
      <c r="N114" s="1383"/>
      <c r="O114" s="1384"/>
      <c r="P114" s="1384"/>
      <c r="Q114" s="298"/>
    </row>
    <row r="115" spans="1:18">
      <c r="A115" s="375"/>
      <c r="B115" s="321"/>
      <c r="C115" s="322"/>
      <c r="D115" s="322"/>
      <c r="E115" s="322"/>
      <c r="F115" s="322"/>
      <c r="G115" s="322"/>
      <c r="H115" s="322"/>
      <c r="I115" s="322"/>
      <c r="J115" s="322"/>
      <c r="K115" s="394" t="s">
        <v>370</v>
      </c>
      <c r="L115" s="1383"/>
      <c r="M115" s="1383"/>
      <c r="N115" s="1383"/>
      <c r="O115" s="1384"/>
      <c r="P115" s="1384"/>
      <c r="Q115" s="298"/>
    </row>
    <row r="116" spans="1:18">
      <c r="A116" s="375"/>
      <c r="B116" s="321"/>
      <c r="C116" s="397" t="str">
        <f>+C$3</f>
        <v>MISO Cover</v>
      </c>
      <c r="D116" s="322"/>
      <c r="E116" s="322"/>
      <c r="F116" s="322"/>
      <c r="G116" s="322"/>
      <c r="H116" s="322"/>
      <c r="I116" s="322"/>
      <c r="J116" s="322"/>
      <c r="K116" s="394"/>
      <c r="L116" s="1383"/>
      <c r="M116" s="1383"/>
      <c r="N116" s="1383"/>
      <c r="O116" s="1384"/>
      <c r="P116" s="1384"/>
      <c r="Q116" s="298"/>
    </row>
    <row r="117" spans="1:18">
      <c r="A117" s="375"/>
      <c r="B117" s="321" t="s">
        <v>316</v>
      </c>
      <c r="C117" s="395" t="s">
        <v>317</v>
      </c>
      <c r="D117" s="339"/>
      <c r="E117" s="322"/>
      <c r="F117" s="322"/>
      <c r="G117" s="322"/>
      <c r="H117" s="322"/>
      <c r="I117" s="396"/>
      <c r="J117" s="322"/>
      <c r="K117" s="394" t="str">
        <f>K4</f>
        <v>For  the 12 Months Ended 12/31/2016</v>
      </c>
      <c r="L117" s="1383"/>
      <c r="M117" s="1383"/>
      <c r="N117" s="1383"/>
      <c r="O117" s="1384"/>
      <c r="P117" s="1383"/>
    </row>
    <row r="118" spans="1:18">
      <c r="A118" s="375"/>
      <c r="B118" s="321"/>
      <c r="C118" s="395" t="s">
        <v>318</v>
      </c>
      <c r="D118" s="339"/>
      <c r="E118" s="322"/>
      <c r="F118" s="322"/>
      <c r="G118" s="322"/>
      <c r="H118" s="322"/>
      <c r="I118" s="322"/>
      <c r="J118" s="322"/>
      <c r="K118" s="322"/>
      <c r="L118" s="1383"/>
      <c r="M118" s="1383"/>
      <c r="N118" s="1383"/>
      <c r="O118" s="1384"/>
      <c r="P118" s="1383"/>
    </row>
    <row r="119" spans="1:18">
      <c r="A119" s="375"/>
      <c r="B119" s="333"/>
      <c r="C119" s="395" t="str">
        <f>+C59</f>
        <v>Entergy New Orleans, Inc.</v>
      </c>
      <c r="D119" s="339"/>
      <c r="E119" s="322"/>
      <c r="F119" s="322"/>
      <c r="G119" s="322"/>
      <c r="H119" s="322"/>
      <c r="I119" s="322"/>
      <c r="J119" s="322"/>
      <c r="K119" s="322"/>
      <c r="L119" s="1383"/>
      <c r="M119" s="1383"/>
      <c r="N119" s="1383"/>
      <c r="O119" s="1384"/>
      <c r="P119" s="1383"/>
    </row>
    <row r="120" spans="1:18">
      <c r="A120" s="999"/>
      <c r="B120" s="999"/>
      <c r="C120" s="395" t="str">
        <f>+C60</f>
        <v>True-Up Rate</v>
      </c>
      <c r="D120" s="999"/>
      <c r="E120" s="999"/>
      <c r="F120" s="999"/>
      <c r="G120" s="999"/>
      <c r="H120" s="999"/>
      <c r="I120" s="999"/>
      <c r="J120" s="999"/>
      <c r="K120" s="999"/>
      <c r="L120" s="1383"/>
      <c r="M120" s="1383"/>
      <c r="N120" s="1383"/>
      <c r="O120" s="1384"/>
      <c r="P120" s="1383"/>
    </row>
    <row r="121" spans="1:18">
      <c r="A121" s="375"/>
      <c r="B121" s="397" t="s">
        <v>171</v>
      </c>
      <c r="C121" s="397" t="s">
        <v>320</v>
      </c>
      <c r="D121" s="397" t="s">
        <v>321</v>
      </c>
      <c r="E121" s="322" t="s">
        <v>66</v>
      </c>
      <c r="F121" s="322"/>
      <c r="G121" s="398" t="s">
        <v>322</v>
      </c>
      <c r="H121" s="322"/>
      <c r="I121" s="398" t="s">
        <v>323</v>
      </c>
      <c r="J121" s="322"/>
      <c r="K121" s="322"/>
      <c r="L121" s="1383"/>
      <c r="M121" s="1383"/>
      <c r="N121" s="1383"/>
      <c r="O121" s="1384"/>
      <c r="P121" s="1383"/>
    </row>
    <row r="122" spans="1:18">
      <c r="A122" s="375" t="s">
        <v>324</v>
      </c>
      <c r="B122" s="321"/>
      <c r="C122" s="399"/>
      <c r="D122" s="322"/>
      <c r="E122" s="322"/>
      <c r="F122" s="322"/>
      <c r="G122" s="375"/>
      <c r="H122" s="322"/>
      <c r="I122" s="400"/>
      <c r="J122" s="322"/>
      <c r="K122" s="400"/>
      <c r="L122" s="1383"/>
      <c r="M122" s="1383"/>
      <c r="N122" s="1383"/>
      <c r="O122" s="1384"/>
      <c r="P122" s="1383"/>
    </row>
    <row r="123" spans="1:18" ht="13.8" thickBot="1">
      <c r="A123" s="323" t="s">
        <v>326</v>
      </c>
      <c r="B123" s="321"/>
      <c r="C123" s="401" t="s">
        <v>159</v>
      </c>
      <c r="D123" s="400" t="s">
        <v>912</v>
      </c>
      <c r="E123" s="402"/>
      <c r="F123" s="400" t="s">
        <v>353</v>
      </c>
      <c r="G123" s="333"/>
      <c r="H123" s="402"/>
      <c r="I123" s="375" t="s">
        <v>354</v>
      </c>
      <c r="J123" s="322"/>
      <c r="K123" s="339"/>
      <c r="L123" s="1399"/>
      <c r="M123" s="1383"/>
      <c r="N123" s="1383"/>
      <c r="O123" s="1383"/>
      <c r="P123" s="1383"/>
    </row>
    <row r="124" spans="1:18">
      <c r="A124" s="375"/>
      <c r="B124" s="321" t="s">
        <v>127</v>
      </c>
      <c r="C124" s="322"/>
      <c r="D124" s="322"/>
      <c r="E124" s="322"/>
      <c r="F124" s="322"/>
      <c r="G124" s="322"/>
      <c r="H124" s="322"/>
      <c r="I124" s="322"/>
      <c r="J124" s="322"/>
      <c r="K124" s="339"/>
      <c r="L124" s="1387"/>
      <c r="M124" s="1383"/>
      <c r="N124" s="1383"/>
      <c r="O124" s="1383"/>
      <c r="P124" s="1383"/>
      <c r="Q124" s="377"/>
      <c r="R124" s="403"/>
    </row>
    <row r="125" spans="1:18">
      <c r="A125" s="375">
        <v>1</v>
      </c>
      <c r="B125" s="321" t="s">
        <v>371</v>
      </c>
      <c r="C125" s="322" t="str">
        <f>+"Appendix A Line "&amp;+'Appendix A'!A125&amp;" "&amp;$L$6&amp;" Column"</f>
        <v>Appendix A Line 75 True-Up Column</v>
      </c>
      <c r="D125" s="320">
        <f>IF($L$10=0,'Appendix A'!H125,'Appendix A'!G125)</f>
        <v>9255374.0099999923</v>
      </c>
      <c r="E125" s="322"/>
      <c r="F125" s="322" t="s">
        <v>357</v>
      </c>
      <c r="G125" s="326">
        <f>+TP</f>
        <v>0.97142056580185099</v>
      </c>
      <c r="H125" s="327"/>
      <c r="I125" s="320">
        <f t="shared" ref="I125:I132" si="4">+G125*D125</f>
        <v>8990860.6575019397</v>
      </c>
      <c r="J125" s="404"/>
      <c r="K125" s="339"/>
      <c r="L125" s="1387"/>
      <c r="M125" s="1383">
        <f>+D125</f>
        <v>9255374.0099999923</v>
      </c>
      <c r="N125" s="1383"/>
      <c r="O125" s="1383"/>
      <c r="P125" s="1383"/>
      <c r="Q125" s="377"/>
      <c r="R125" s="403"/>
    </row>
    <row r="126" spans="1:18">
      <c r="A126" s="405" t="s">
        <v>623</v>
      </c>
      <c r="B126" s="755" t="s">
        <v>583</v>
      </c>
      <c r="C126" s="436" t="str">
        <f>+"Appendix A Lines "&amp;+'Appendix A'!A126&amp;" - Line "&amp;'Appendix A'!A128&amp;" - Line "&amp;'Appendix A'!A129&amp;" "&amp;$L$6&amp;" Column"</f>
        <v>Appendix A Lines 76 - Line 78 - Line 79 True-Up Column</v>
      </c>
      <c r="D126" s="1444">
        <f>IF($L$10=0,'Appendix A'!H126-'Appendix A'!H128-'Appendix A'!H129,'Appendix A'!G126-'Appendix A'!G128-'Appendix A'!G129)</f>
        <v>993041.21999999986</v>
      </c>
      <c r="E126" s="342"/>
      <c r="F126" s="342" t="str">
        <f>+F125</f>
        <v>TP</v>
      </c>
      <c r="G126" s="326">
        <f>+TP</f>
        <v>0.97142056580185099</v>
      </c>
      <c r="H126" s="342"/>
      <c r="I126" s="320">
        <f>+G126*D126</f>
        <v>964660.66379696026</v>
      </c>
      <c r="J126" s="406"/>
      <c r="K126" s="339"/>
      <c r="L126" s="1387"/>
      <c r="M126" s="1383">
        <f>+D126</f>
        <v>993041.21999999986</v>
      </c>
      <c r="N126" s="1383"/>
      <c r="O126" s="1383"/>
      <c r="P126" s="1383"/>
      <c r="Q126" s="377"/>
      <c r="R126" s="403"/>
    </row>
    <row r="127" spans="1:18">
      <c r="A127" s="405">
        <f>+A125+1</f>
        <v>2</v>
      </c>
      <c r="B127" s="752" t="s">
        <v>584</v>
      </c>
      <c r="C127" s="322" t="str">
        <f>+"Appendix A Line "&amp;+'Appendix A'!A127&amp;" "&amp;$L$6&amp;" Column"</f>
        <v>Appendix A Line 77 True-Up Column</v>
      </c>
      <c r="D127" s="320">
        <f>IF($L$10=0,'Appendix A'!H127,'Appendix A'!G127)</f>
        <v>4327932.43</v>
      </c>
      <c r="E127" s="322"/>
      <c r="F127" s="322" t="str">
        <f>+F126</f>
        <v>TP</v>
      </c>
      <c r="G127" s="326">
        <f>+TP</f>
        <v>0.97142056580185099</v>
      </c>
      <c r="H127" s="327"/>
      <c r="I127" s="320">
        <f t="shared" si="4"/>
        <v>4204242.5699027795</v>
      </c>
      <c r="J127" s="406"/>
      <c r="K127" s="339"/>
      <c r="L127" s="1387"/>
      <c r="M127" s="1383">
        <f>+D127</f>
        <v>4327932.43</v>
      </c>
      <c r="N127" s="1383">
        <f>+M125-M126-M127</f>
        <v>3934400.3599999929</v>
      </c>
      <c r="O127" s="1383">
        <f>+M125-M126-M127-N127</f>
        <v>0</v>
      </c>
      <c r="P127" s="1383"/>
      <c r="Q127" s="377"/>
      <c r="R127" s="403"/>
    </row>
    <row r="128" spans="1:18">
      <c r="A128" s="405">
        <f t="shared" ref="A128:A137" si="5">+A127+1</f>
        <v>3</v>
      </c>
      <c r="B128" s="321" t="s">
        <v>372</v>
      </c>
      <c r="C128" s="322" t="str">
        <f>+"Appendix A Line "&amp;+'Appendix A'!A133&amp;" "&amp;$L$6&amp;" Column"</f>
        <v>Appendix A Line 81 True-Up Column</v>
      </c>
      <c r="D128" s="320">
        <f>IF($L$10=0,+'Appendix A'!H133,'Appendix A'!G133)</f>
        <v>38690682.609999947</v>
      </c>
      <c r="E128" s="322"/>
      <c r="F128" s="322" t="s">
        <v>358</v>
      </c>
      <c r="G128" s="326">
        <f>+WS</f>
        <v>8.6337951827005405E-2</v>
      </c>
      <c r="H128" s="327"/>
      <c r="I128" s="320">
        <f t="shared" si="4"/>
        <v>3340474.2913361313</v>
      </c>
      <c r="J128" s="404"/>
      <c r="K128" s="407"/>
      <c r="L128" s="1389">
        <f>+L79</f>
        <v>8.8878035802894981E-2</v>
      </c>
      <c r="M128" s="1383">
        <f>+L128*D128</f>
        <v>3438751.8742500218</v>
      </c>
      <c r="N128" s="1383"/>
      <c r="O128" s="1383"/>
      <c r="P128" s="1383"/>
      <c r="Q128" s="377"/>
      <c r="R128" s="403"/>
    </row>
    <row r="129" spans="1:18">
      <c r="A129" s="405">
        <f t="shared" si="5"/>
        <v>4</v>
      </c>
      <c r="B129" s="752" t="s">
        <v>582</v>
      </c>
      <c r="C129" s="322" t="str">
        <f>+"Appendix A Line "&amp;+'Appendix A'!A154&amp;" "&amp;$L$6&amp;" Column"</f>
        <v>Appendix A Line 100 True-Up Column</v>
      </c>
      <c r="D129" s="320">
        <f>IF($L$10=0,'Appendix A'!H154,'Appendix A'!G154)</f>
        <v>170902.68911614781</v>
      </c>
      <c r="E129" s="322"/>
      <c r="F129" s="322" t="str">
        <f>+F127</f>
        <v>TP</v>
      </c>
      <c r="G129" s="326">
        <f>+TP</f>
        <v>0.97142056580185099</v>
      </c>
      <c r="H129" s="327"/>
      <c r="I129" s="320">
        <f>+D129*G129</f>
        <v>166018.38695826614</v>
      </c>
      <c r="J129" s="404"/>
      <c r="K129" s="320"/>
      <c r="L129" s="1400"/>
      <c r="M129" s="1383">
        <f>+D129</f>
        <v>170902.68911614781</v>
      </c>
      <c r="N129" s="1383"/>
      <c r="O129" s="1383"/>
      <c r="P129" s="1383"/>
      <c r="Q129" s="377"/>
      <c r="R129" s="403"/>
    </row>
    <row r="130" spans="1:18" s="750" customFormat="1" ht="25.95" customHeight="1">
      <c r="A130" s="879">
        <f t="shared" si="5"/>
        <v>5</v>
      </c>
      <c r="B130" s="1051" t="s">
        <v>794</v>
      </c>
      <c r="C130" s="1050" t="str">
        <f>+"Appendix A Sum of Lines "&amp;+'Appendix A'!A135&amp;" to Line "&amp;'Appendix A'!A139&amp;" - Line "&amp;'Appendix A'!A140&amp;" "&amp;$L$6&amp;" Column"</f>
        <v>Appendix A Sum of Lines 83 to Line 87 - Line 88 True-Up Column</v>
      </c>
      <c r="D130" s="743">
        <f>IF($L$10=0,SUM('Appendix A'!H135:H139)-'Appendix A'!H140,SUM('Appendix A'!G135:G139)-'Appendix A'!G140)</f>
        <v>10995247.950000007</v>
      </c>
      <c r="E130" s="771"/>
      <c r="F130" s="771" t="s">
        <v>358</v>
      </c>
      <c r="G130" s="772">
        <f>+WS</f>
        <v>8.6337951827005405E-2</v>
      </c>
      <c r="H130" s="773"/>
      <c r="I130" s="743">
        <f t="shared" si="4"/>
        <v>949307.18783308053</v>
      </c>
      <c r="J130" s="1052"/>
      <c r="K130" s="748"/>
      <c r="L130" s="1401">
        <f>+L128</f>
        <v>8.8878035802894981E-2</v>
      </c>
      <c r="M130" s="1402">
        <f>+L130*D130</f>
        <v>977236.04096180829</v>
      </c>
      <c r="N130" s="1402"/>
      <c r="O130" s="1402"/>
      <c r="P130" s="1402"/>
      <c r="Q130" s="775"/>
      <c r="R130" s="776"/>
    </row>
    <row r="131" spans="1:18" s="750" customFormat="1">
      <c r="A131" s="879" t="s">
        <v>624</v>
      </c>
      <c r="B131" s="777" t="s">
        <v>632</v>
      </c>
      <c r="C131" s="771" t="str">
        <f>+"Appendix A Lines "&amp;+'Appendix A'!A146&amp;" to "&amp;'Appendix A'!A147&amp;" "&amp;$L$6&amp;" Column"</f>
        <v>Appendix A Lines 92 to 93 True-Up Column</v>
      </c>
      <c r="D131" s="743">
        <f>IF($L$10=0,SUM('Appendix A'!H146:H147),SUM('Appendix A'!G146:G147))</f>
        <v>28073</v>
      </c>
      <c r="E131" s="771"/>
      <c r="F131" s="771" t="str">
        <f>+F127</f>
        <v>TP</v>
      </c>
      <c r="G131" s="772">
        <f>+TP</f>
        <v>0.97142056580185099</v>
      </c>
      <c r="H131" s="773"/>
      <c r="I131" s="743">
        <f>+D131*G131</f>
        <v>27270.689543755361</v>
      </c>
      <c r="J131" s="774"/>
      <c r="K131" s="748"/>
      <c r="L131" s="1403"/>
      <c r="M131" s="1402">
        <f>+D131</f>
        <v>28073</v>
      </c>
      <c r="N131" s="1402"/>
      <c r="O131" s="1402"/>
      <c r="P131" s="1402"/>
      <c r="Q131" s="775"/>
      <c r="R131" s="776"/>
    </row>
    <row r="132" spans="1:18" s="412" customFormat="1">
      <c r="A132" s="405" t="s">
        <v>625</v>
      </c>
      <c r="B132" s="752" t="s">
        <v>763</v>
      </c>
      <c r="C132" s="322" t="str">
        <f>+"Appendix A Line "&amp;+'Appendix A'!A134&amp;" "&amp;$L$6&amp;" Column"</f>
        <v>Appendix A Line 82 True-Up Column</v>
      </c>
      <c r="D132" s="320">
        <f>IF($L$10=0,'Appendix A'!H134,'Appendix A'!G134)</f>
        <v>0</v>
      </c>
      <c r="E132" s="322"/>
      <c r="F132" s="322" t="str">
        <f>+F130</f>
        <v>W/S</v>
      </c>
      <c r="G132" s="326">
        <f>+WS</f>
        <v>8.6337951827005405E-2</v>
      </c>
      <c r="H132" s="408"/>
      <c r="I132" s="320">
        <f t="shared" si="4"/>
        <v>0</v>
      </c>
      <c r="J132" s="409"/>
      <c r="K132" s="410"/>
      <c r="L132" s="1389">
        <f>+L130</f>
        <v>8.8878035802894981E-2</v>
      </c>
      <c r="M132" s="1383">
        <f>+L132*D132</f>
        <v>0</v>
      </c>
      <c r="N132" s="1404"/>
      <c r="O132" s="1404"/>
      <c r="P132" s="1383"/>
      <c r="Q132" s="377"/>
      <c r="R132" s="403"/>
    </row>
    <row r="133" spans="1:18">
      <c r="A133" s="405">
        <f>+A130+1</f>
        <v>6</v>
      </c>
      <c r="B133" s="752" t="s">
        <v>819</v>
      </c>
      <c r="C133" s="322"/>
      <c r="D133" s="322"/>
      <c r="E133" s="322"/>
      <c r="F133" s="322"/>
      <c r="G133" s="328"/>
      <c r="H133" s="327"/>
      <c r="I133" s="320"/>
      <c r="J133" s="308"/>
      <c r="L133" s="1387"/>
      <c r="M133" s="1383">
        <f>+D133</f>
        <v>0</v>
      </c>
      <c r="N133" s="1383"/>
      <c r="O133" s="1383"/>
      <c r="P133" s="1384"/>
      <c r="Q133" s="298"/>
    </row>
    <row r="134" spans="1:18">
      <c r="A134" s="405" t="s">
        <v>719</v>
      </c>
      <c r="B134" s="1183" t="s">
        <v>748</v>
      </c>
      <c r="C134" s="322" t="str">
        <f>+"Appendix A Line "&amp;'Appendix A'!A189&amp;" "&amp;$L$6&amp;" Column"</f>
        <v>Appendix A Line 125 True-Up Column</v>
      </c>
      <c r="D134" s="320">
        <f>IF($L$10=0,'Appendix A'!H189,'Appendix A'!G189)</f>
        <v>0</v>
      </c>
      <c r="E134" s="320"/>
      <c r="F134" s="320" t="s">
        <v>357</v>
      </c>
      <c r="G134" s="326">
        <f>+TP</f>
        <v>0.97142056580185099</v>
      </c>
      <c r="H134" s="320"/>
      <c r="I134" s="320">
        <f>+D134*G134</f>
        <v>0</v>
      </c>
      <c r="J134" s="308"/>
      <c r="L134" s="1387"/>
      <c r="M134" s="1383">
        <f>+D134</f>
        <v>0</v>
      </c>
      <c r="N134" s="1383"/>
      <c r="O134" s="1383"/>
      <c r="P134" s="1384"/>
      <c r="Q134" s="298"/>
    </row>
    <row r="135" spans="1:18">
      <c r="A135" s="405" t="s">
        <v>720</v>
      </c>
      <c r="B135" s="1183" t="s">
        <v>749</v>
      </c>
      <c r="C135" s="322" t="str">
        <f>+"Appendix A Line "&amp;'Appendix A'!A192&amp;" "&amp;$L$6&amp;" Column"</f>
        <v>Appendix A Line 128 True-Up Column</v>
      </c>
      <c r="D135" s="383">
        <f>IF($L$10=0,'Appendix A'!H192,'Appendix A'!G192)</f>
        <v>0</v>
      </c>
      <c r="E135" s="383"/>
      <c r="F135" s="383" t="s">
        <v>357</v>
      </c>
      <c r="G135" s="970">
        <f>+TP</f>
        <v>0.97142056580185099</v>
      </c>
      <c r="H135" s="383"/>
      <c r="I135" s="383">
        <f>+D135*G135</f>
        <v>0</v>
      </c>
      <c r="J135" s="308"/>
      <c r="L135" s="1387"/>
      <c r="M135" s="1383"/>
      <c r="N135" s="1383"/>
      <c r="O135" s="1383"/>
      <c r="P135" s="1384"/>
      <c r="Q135" s="298"/>
    </row>
    <row r="136" spans="1:18" ht="13.8" thickBot="1">
      <c r="A136" s="405">
        <f>+A133+1</f>
        <v>7</v>
      </c>
      <c r="B136" s="752" t="s">
        <v>819</v>
      </c>
      <c r="C136" s="322"/>
      <c r="D136" s="378"/>
      <c r="E136" s="1184"/>
      <c r="F136" s="1184"/>
      <c r="G136" s="970"/>
      <c r="H136" s="393"/>
      <c r="I136" s="378"/>
      <c r="J136" s="308"/>
      <c r="L136" s="1387"/>
      <c r="M136" s="1383">
        <f>+D136</f>
        <v>0</v>
      </c>
      <c r="N136" s="1383"/>
      <c r="O136" s="1383"/>
      <c r="P136" s="1384"/>
      <c r="Q136" s="298"/>
    </row>
    <row r="137" spans="1:18">
      <c r="A137" s="405">
        <f t="shared" si="5"/>
        <v>8</v>
      </c>
      <c r="B137" s="1000" t="s">
        <v>373</v>
      </c>
      <c r="C137" s="2014"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20">
        <f>+D125 - D126 - D127 + D128 + D129 - D130 + D131 - D132 + D133 + D134 + D135 + D136</f>
        <v>31828810.709116083</v>
      </c>
      <c r="E137" s="320"/>
      <c r="F137" s="320"/>
      <c r="G137" s="320"/>
      <c r="H137" s="320"/>
      <c r="I137" s="320">
        <f>+I125 - I126 - I127 + I128 + I129 - I130 + I131 - I132 + I133 + I134 + I135 + I136</f>
        <v>6406413.6038072724</v>
      </c>
      <c r="J137" s="308"/>
      <c r="K137" s="299"/>
      <c r="L137" s="1390">
        <f>+I137/M137</f>
        <v>0.97142056580185099</v>
      </c>
      <c r="M137" s="1383">
        <f>+M125-M126-M127+M128+M129-M130+M131-M132+M133+M134+M136</f>
        <v>6594891.8824043544</v>
      </c>
      <c r="N137" s="1383">
        <f>IF($L$10=0,'Appendix A'!H156,'Appendix A'!G156)</f>
        <v>6594891.8824043535</v>
      </c>
      <c r="O137" s="1383">
        <f>+M137-N137</f>
        <v>0</v>
      </c>
      <c r="P137" s="1405" t="s">
        <v>752</v>
      </c>
      <c r="Q137" s="298"/>
    </row>
    <row r="138" spans="1:18">
      <c r="A138" s="405"/>
      <c r="B138" s="333"/>
      <c r="C138" s="2014"/>
      <c r="D138" s="320"/>
      <c r="E138" s="320"/>
      <c r="F138" s="320"/>
      <c r="G138" s="320"/>
      <c r="H138" s="320"/>
      <c r="I138" s="320"/>
      <c r="J138" s="308"/>
      <c r="L138" s="1387"/>
      <c r="M138" s="1384"/>
      <c r="N138" s="1383"/>
      <c r="O138" s="1383"/>
      <c r="P138" s="1384"/>
      <c r="Q138" s="298"/>
    </row>
    <row r="139" spans="1:18">
      <c r="A139" s="405"/>
      <c r="B139" s="321" t="s">
        <v>374</v>
      </c>
      <c r="C139" s="322"/>
      <c r="D139" s="320"/>
      <c r="E139" s="320"/>
      <c r="F139" s="320"/>
      <c r="G139" s="320"/>
      <c r="H139" s="320"/>
      <c r="I139" s="320"/>
      <c r="J139" s="322"/>
      <c r="K139" s="339"/>
      <c r="L139" s="1387"/>
      <c r="M139" s="1383"/>
      <c r="N139" s="1383"/>
      <c r="O139" s="1383"/>
      <c r="P139" s="1384"/>
      <c r="Q139" s="298"/>
    </row>
    <row r="140" spans="1:18">
      <c r="A140" s="405">
        <f>+A137+1</f>
        <v>9</v>
      </c>
      <c r="B140" s="752" t="s">
        <v>580</v>
      </c>
      <c r="C140" s="322" t="str">
        <f>+"Appendix A Line "&amp;'Appendix A'!A161&amp;" "&amp;$L$6&amp;" Column"</f>
        <v>Appendix A Line 103 True-Up Column</v>
      </c>
      <c r="D140" s="320">
        <f>IF($L$10=0,'Appendix A'!H161,'Appendix A'!G161)</f>
        <v>2288023.85</v>
      </c>
      <c r="E140" s="320"/>
      <c r="F140" s="320" t="s">
        <v>357</v>
      </c>
      <c r="G140" s="326">
        <f>+TP</f>
        <v>0.97142056580185099</v>
      </c>
      <c r="H140" s="320"/>
      <c r="I140" s="320">
        <f>+G140*D140</f>
        <v>2222633.4229351296</v>
      </c>
      <c r="J140" s="322"/>
      <c r="K140" s="339"/>
      <c r="L140" s="1388"/>
      <c r="M140" s="1383">
        <f>+D140</f>
        <v>2288023.85</v>
      </c>
      <c r="N140" s="1383"/>
      <c r="O140" s="1383"/>
      <c r="P140" s="1384"/>
      <c r="Q140" s="298"/>
    </row>
    <row r="141" spans="1:18">
      <c r="A141" s="405">
        <f t="shared" ref="A141:A153" si="6">+A140+1</f>
        <v>10</v>
      </c>
      <c r="B141" s="754" t="s">
        <v>581</v>
      </c>
      <c r="C141" s="322" t="str">
        <f>+"Appendix A Line "&amp;+'Appendix A'!A168&amp;" "&amp;$L$6&amp;" Column"</f>
        <v>Appendix A Line 110 True-Up Column</v>
      </c>
      <c r="D141" s="320">
        <f>IF($L$10=0,'Appendix A'!H168,'Appendix A'!G168)</f>
        <v>758438.95251743286</v>
      </c>
      <c r="E141" s="320"/>
      <c r="F141" s="320" t="str">
        <f>+F140</f>
        <v>TP</v>
      </c>
      <c r="G141" s="326">
        <f>+TP</f>
        <v>0.97142056580185099</v>
      </c>
      <c r="H141" s="320"/>
      <c r="I141" s="320">
        <f>+G141*D141</f>
        <v>736763.19638064783</v>
      </c>
      <c r="J141" s="322"/>
      <c r="K141" s="339"/>
      <c r="L141" s="1388"/>
      <c r="M141" s="1383">
        <f>+D141</f>
        <v>758438.95251743286</v>
      </c>
      <c r="N141" s="1383"/>
      <c r="O141" s="1383"/>
      <c r="P141" s="1384"/>
      <c r="Q141" s="298"/>
    </row>
    <row r="142" spans="1:18" ht="13.8" thickBot="1">
      <c r="A142" s="405">
        <f t="shared" si="6"/>
        <v>11</v>
      </c>
      <c r="B142" s="752" t="s">
        <v>819</v>
      </c>
      <c r="C142" s="322"/>
      <c r="D142" s="378"/>
      <c r="E142" s="383"/>
      <c r="F142" s="320"/>
      <c r="G142" s="326"/>
      <c r="H142" s="383"/>
      <c r="I142" s="378"/>
      <c r="J142" s="322"/>
      <c r="K142" s="339"/>
      <c r="L142" s="1388"/>
      <c r="M142" s="1383">
        <f>+D142</f>
        <v>0</v>
      </c>
      <c r="N142" s="1383"/>
      <c r="O142" s="1383"/>
      <c r="P142" s="1384"/>
      <c r="Q142" s="298"/>
    </row>
    <row r="143" spans="1:18">
      <c r="A143" s="405">
        <f>+A142+1</f>
        <v>12</v>
      </c>
      <c r="B143" s="321" t="s">
        <v>375</v>
      </c>
      <c r="C143" s="322" t="str">
        <f>+"(Sum of Lines "&amp;A140&amp;" to Line "&amp;A142&amp;")"</f>
        <v>(Sum of Lines 9 to Line 11)</v>
      </c>
      <c r="D143" s="320">
        <f>SUM(D140:D142)</f>
        <v>3046462.8025174327</v>
      </c>
      <c r="E143" s="320"/>
      <c r="F143" s="320"/>
      <c r="G143" s="326"/>
      <c r="H143" s="320"/>
      <c r="I143" s="320">
        <f>SUM(I140:I142)</f>
        <v>2959396.6193157774</v>
      </c>
      <c r="J143" s="322"/>
      <c r="K143" s="339"/>
      <c r="L143" s="1390">
        <f>+I143/M143</f>
        <v>0.9714205658018511</v>
      </c>
      <c r="M143" s="1383">
        <f>SUM(M140:M142)</f>
        <v>3046462.8025174327</v>
      </c>
      <c r="N143" s="1383">
        <f>IF($L$10=0,'Appendix A'!H170,'Appendix A'!G170)</f>
        <v>3046462.8025174327</v>
      </c>
      <c r="O143" s="1383">
        <f>+M143-N143</f>
        <v>0</v>
      </c>
      <c r="P143" s="1384"/>
      <c r="Q143" s="298"/>
    </row>
    <row r="144" spans="1:18">
      <c r="A144" s="405"/>
      <c r="B144" s="321"/>
      <c r="C144" s="322"/>
      <c r="D144" s="320"/>
      <c r="E144" s="320"/>
      <c r="F144" s="320"/>
      <c r="G144" s="326"/>
      <c r="H144" s="320"/>
      <c r="I144" s="320"/>
      <c r="J144" s="322"/>
      <c r="K144" s="339"/>
      <c r="L144" s="1387"/>
      <c r="M144" s="1383"/>
      <c r="N144" s="1383"/>
      <c r="O144" s="1383"/>
      <c r="P144" s="1384"/>
      <c r="Q144" s="298"/>
    </row>
    <row r="145" spans="1:17">
      <c r="A145" s="405"/>
      <c r="B145" s="321" t="s">
        <v>376</v>
      </c>
      <c r="C145" s="333"/>
      <c r="D145" s="320"/>
      <c r="E145" s="320"/>
      <c r="F145" s="320"/>
      <c r="G145" s="326"/>
      <c r="H145" s="320"/>
      <c r="I145" s="320"/>
      <c r="J145" s="322"/>
      <c r="K145" s="339"/>
      <c r="L145" s="1387"/>
      <c r="M145" s="1383"/>
      <c r="N145" s="1383"/>
      <c r="O145" s="1383"/>
      <c r="P145" s="1384"/>
      <c r="Q145" s="298"/>
    </row>
    <row r="146" spans="1:17">
      <c r="A146" s="405">
        <f>+A143+1</f>
        <v>13</v>
      </c>
      <c r="B146" s="752" t="s">
        <v>377</v>
      </c>
      <c r="C146" s="322" t="str">
        <f>+"Appendix A Line "&amp;+'Appendix A'!A185&amp;" "&amp;$L$6&amp;" Column"</f>
        <v>Appendix A Line 124 True-Up Column</v>
      </c>
      <c r="D146" s="320">
        <f>IF($L$10=0,'Appendix A'!H185,'Appendix A'!G185)</f>
        <v>1860994.4991343122</v>
      </c>
      <c r="E146" s="320"/>
      <c r="F146" s="320" t="s">
        <v>357</v>
      </c>
      <c r="G146" s="379">
        <f>+TP</f>
        <v>0.97142056580185099</v>
      </c>
      <c r="H146" s="320"/>
      <c r="I146" s="320">
        <f>+G146*D146</f>
        <v>1807808.3293031857</v>
      </c>
      <c r="J146" s="322"/>
      <c r="K146" s="339"/>
      <c r="L146" s="1388"/>
      <c r="M146" s="1383">
        <f t="shared" ref="M146:M152" si="7">+D146</f>
        <v>1860994.4991343122</v>
      </c>
      <c r="N146" s="1383"/>
      <c r="O146" s="1383"/>
      <c r="P146" s="1384"/>
      <c r="Q146" s="298"/>
    </row>
    <row r="147" spans="1:17">
      <c r="A147" s="405">
        <f t="shared" si="6"/>
        <v>14</v>
      </c>
      <c r="B147" s="752" t="s">
        <v>819</v>
      </c>
      <c r="C147" s="322"/>
      <c r="D147" s="320"/>
      <c r="E147" s="320"/>
      <c r="F147" s="327"/>
      <c r="G147" s="389"/>
      <c r="H147" s="320"/>
      <c r="I147" s="1185"/>
      <c r="J147" s="322"/>
      <c r="K147" s="339"/>
      <c r="L147" s="1388"/>
      <c r="M147" s="1383">
        <f t="shared" si="7"/>
        <v>0</v>
      </c>
      <c r="N147" s="1383"/>
      <c r="O147" s="1383"/>
      <c r="P147" s="1384"/>
      <c r="Q147" s="298"/>
    </row>
    <row r="148" spans="1:17">
      <c r="A148" s="405">
        <f t="shared" si="6"/>
        <v>15</v>
      </c>
      <c r="B148" s="433" t="s">
        <v>626</v>
      </c>
      <c r="C148" s="322"/>
      <c r="D148" s="320"/>
      <c r="E148" s="320"/>
      <c r="F148" s="320"/>
      <c r="G148" s="326"/>
      <c r="H148" s="320"/>
      <c r="I148" s="320"/>
      <c r="J148" s="322"/>
      <c r="K148" s="339"/>
      <c r="L148" s="1388"/>
      <c r="M148" s="1383">
        <f t="shared" si="7"/>
        <v>0</v>
      </c>
      <c r="N148" s="1383"/>
      <c r="O148" s="1383"/>
      <c r="P148" s="1384"/>
      <c r="Q148" s="298"/>
    </row>
    <row r="149" spans="1:17">
      <c r="A149" s="405">
        <f t="shared" si="6"/>
        <v>16</v>
      </c>
      <c r="B149" s="752" t="s">
        <v>819</v>
      </c>
      <c r="C149" s="322"/>
      <c r="D149" s="320"/>
      <c r="E149" s="320"/>
      <c r="F149" s="327"/>
      <c r="G149" s="389"/>
      <c r="H149" s="320"/>
      <c r="I149" s="320"/>
      <c r="J149" s="322"/>
      <c r="K149" s="339"/>
      <c r="L149" s="1388"/>
      <c r="M149" s="1383">
        <f t="shared" si="7"/>
        <v>0</v>
      </c>
      <c r="N149" s="1383"/>
      <c r="O149" s="1383"/>
      <c r="P149" s="1384"/>
      <c r="Q149" s="298"/>
    </row>
    <row r="150" spans="1:17">
      <c r="A150" s="405">
        <f t="shared" si="6"/>
        <v>17</v>
      </c>
      <c r="B150" s="752" t="s">
        <v>819</v>
      </c>
      <c r="C150" s="322"/>
      <c r="D150" s="320"/>
      <c r="E150" s="320"/>
      <c r="F150" s="327"/>
      <c r="G150" s="389"/>
      <c r="H150" s="320"/>
      <c r="I150" s="320"/>
      <c r="J150" s="322"/>
      <c r="K150" s="339"/>
      <c r="L150" s="1388"/>
      <c r="M150" s="1383">
        <f>+D150</f>
        <v>0</v>
      </c>
      <c r="N150" s="1383"/>
      <c r="O150" s="1383"/>
      <c r="P150" s="1384"/>
      <c r="Q150" s="298"/>
    </row>
    <row r="151" spans="1:17">
      <c r="A151" s="405">
        <f t="shared" si="6"/>
        <v>18</v>
      </c>
      <c r="B151" s="752" t="s">
        <v>819</v>
      </c>
      <c r="C151" s="322"/>
      <c r="D151" s="320"/>
      <c r="E151" s="320"/>
      <c r="F151" s="327"/>
      <c r="G151" s="389"/>
      <c r="H151" s="320"/>
      <c r="I151" s="320"/>
      <c r="J151" s="322"/>
      <c r="K151" s="339"/>
      <c r="L151" s="1388"/>
      <c r="M151" s="1383">
        <f>+D151</f>
        <v>0</v>
      </c>
      <c r="N151" s="1383"/>
      <c r="O151" s="1383"/>
      <c r="P151" s="1384"/>
      <c r="Q151" s="298"/>
    </row>
    <row r="152" spans="1:17" ht="13.8" thickBot="1">
      <c r="A152" s="405">
        <f t="shared" si="6"/>
        <v>19</v>
      </c>
      <c r="B152" s="752" t="s">
        <v>819</v>
      </c>
      <c r="C152" s="322"/>
      <c r="D152" s="378"/>
      <c r="E152" s="320"/>
      <c r="F152" s="327"/>
      <c r="G152" s="389"/>
      <c r="H152" s="320"/>
      <c r="I152" s="378"/>
      <c r="J152" s="322"/>
      <c r="K152" s="339"/>
      <c r="L152" s="1388"/>
      <c r="M152" s="1383">
        <f t="shared" si="7"/>
        <v>0</v>
      </c>
      <c r="N152" s="1383"/>
      <c r="O152" s="1383"/>
      <c r="P152" s="1384"/>
      <c r="Q152" s="298"/>
    </row>
    <row r="153" spans="1:17">
      <c r="A153" s="405">
        <f t="shared" si="6"/>
        <v>20</v>
      </c>
      <c r="B153" s="321" t="s">
        <v>378</v>
      </c>
      <c r="C153" s="322" t="str">
        <f>+"(Sum of Line "&amp;A146&amp;" to Line "&amp;A152&amp;")"</f>
        <v>(Sum of Line 13 to Line 19)</v>
      </c>
      <c r="D153" s="320">
        <f>SUM(D146:D152)</f>
        <v>1860994.4991343122</v>
      </c>
      <c r="E153" s="320"/>
      <c r="F153" s="320"/>
      <c r="G153" s="320"/>
      <c r="H153" s="320"/>
      <c r="I153" s="320">
        <f>SUM(I146:I152)</f>
        <v>1807808.3293031857</v>
      </c>
      <c r="J153" s="322"/>
      <c r="K153" s="339"/>
      <c r="L153" s="1390">
        <f>+I153/M153</f>
        <v>0.97142056580185088</v>
      </c>
      <c r="M153" s="1383">
        <f>SUM(M146:M152)</f>
        <v>1860994.4991343122</v>
      </c>
      <c r="N153" s="1383">
        <f>IF($L$10=0,'Appendix A'!H185,'Appendix A'!G185)</f>
        <v>1860994.4991343122</v>
      </c>
      <c r="O153" s="1383">
        <f>+M153-N153</f>
        <v>0</v>
      </c>
      <c r="P153" s="1384"/>
      <c r="Q153" s="298"/>
    </row>
    <row r="154" spans="1:17">
      <c r="A154" s="405"/>
      <c r="B154" s="321"/>
      <c r="C154" s="322"/>
      <c r="D154" s="320"/>
      <c r="E154" s="320"/>
      <c r="F154" s="320"/>
      <c r="G154" s="320"/>
      <c r="H154" s="320"/>
      <c r="I154" s="320"/>
      <c r="J154" s="322"/>
      <c r="K154" s="339"/>
      <c r="L154" s="1390"/>
      <c r="M154" s="1383"/>
      <c r="N154" s="1383"/>
      <c r="O154" s="1383"/>
      <c r="P154" s="1384"/>
      <c r="Q154" s="298"/>
    </row>
    <row r="155" spans="1:17">
      <c r="A155" s="339"/>
      <c r="B155" s="321" t="s">
        <v>379</v>
      </c>
      <c r="C155" s="322" t="str">
        <f>""</f>
        <v/>
      </c>
      <c r="D155" s="322"/>
      <c r="E155" s="322"/>
      <c r="F155" s="333"/>
      <c r="G155" s="413"/>
      <c r="H155" s="322"/>
      <c r="I155" s="333"/>
      <c r="J155" s="322"/>
      <c r="K155" s="339"/>
      <c r="L155" s="1406"/>
      <c r="M155" s="1383"/>
      <c r="N155" s="1383"/>
      <c r="O155" s="1383"/>
      <c r="P155" s="1384"/>
      <c r="Q155" s="298"/>
    </row>
    <row r="156" spans="1:17">
      <c r="A156" s="405">
        <f>+A153+1</f>
        <v>21</v>
      </c>
      <c r="B156" s="752" t="s">
        <v>120</v>
      </c>
      <c r="C156" s="322" t="str">
        <f>+"Appendix A Line "&amp;+'Appendix A'!A241&amp;" "&amp;$L$6&amp;" Column"</f>
        <v>Appendix A Line 157 True-Up Column</v>
      </c>
      <c r="D156" s="383">
        <f>IF($L$10=0,'Appendix A'!H241,'Appendix A'!G241)</f>
        <v>3148153.2166915173</v>
      </c>
      <c r="E156" s="393"/>
      <c r="F156" s="383" t="s">
        <v>357</v>
      </c>
      <c r="G156" s="970">
        <f>+TP</f>
        <v>0.97142056580185099</v>
      </c>
      <c r="H156" s="393"/>
      <c r="I156" s="971">
        <f>+D156*G156</f>
        <v>3058180.7789893909</v>
      </c>
      <c r="J156" s="322"/>
      <c r="K156" s="339"/>
      <c r="L156" s="1390">
        <f>+I156/M156</f>
        <v>0.97142056580185099</v>
      </c>
      <c r="M156" s="1383">
        <f>+D156</f>
        <v>3148153.2166915173</v>
      </c>
      <c r="N156" s="1383">
        <f>IF($L$10=0,'Appendix A'!H241,'Appendix A'!G241)</f>
        <v>3148153.2166915173</v>
      </c>
      <c r="O156" s="1383"/>
      <c r="P156" s="1384"/>
      <c r="Q156" s="298"/>
    </row>
    <row r="157" spans="1:17">
      <c r="A157" s="405">
        <f>+A156+1</f>
        <v>22</v>
      </c>
      <c r="B157" s="752" t="s">
        <v>819</v>
      </c>
      <c r="C157" s="322"/>
      <c r="D157" s="320"/>
      <c r="E157" s="393"/>
      <c r="F157" s="327"/>
      <c r="G157" s="389"/>
      <c r="H157" s="320"/>
      <c r="I157" s="320"/>
      <c r="J157" s="322"/>
      <c r="K157" s="339"/>
      <c r="L157" s="1390"/>
      <c r="M157" s="1383"/>
      <c r="N157" s="1383"/>
      <c r="O157" s="1383"/>
      <c r="P157" s="1384"/>
      <c r="Q157" s="298"/>
    </row>
    <row r="158" spans="1:17">
      <c r="A158" s="405">
        <f t="shared" ref="A158:A162" si="8">+A157+1</f>
        <v>23</v>
      </c>
      <c r="B158" s="752" t="s">
        <v>819</v>
      </c>
      <c r="C158" s="322"/>
      <c r="D158" s="320"/>
      <c r="E158" s="393"/>
      <c r="F158" s="327"/>
      <c r="G158" s="389"/>
      <c r="H158" s="320"/>
      <c r="I158" s="320"/>
      <c r="J158" s="322"/>
      <c r="K158" s="339"/>
      <c r="L158" s="1390"/>
      <c r="M158" s="1383"/>
      <c r="N158" s="1383"/>
      <c r="O158" s="1383"/>
      <c r="P158" s="1384"/>
      <c r="Q158" s="298"/>
    </row>
    <row r="159" spans="1:17">
      <c r="A159" s="405">
        <f t="shared" si="8"/>
        <v>24</v>
      </c>
      <c r="B159" s="752" t="s">
        <v>819</v>
      </c>
      <c r="C159" s="322"/>
      <c r="D159" s="320"/>
      <c r="E159" s="393"/>
      <c r="F159" s="327"/>
      <c r="G159" s="389"/>
      <c r="H159" s="320"/>
      <c r="I159" s="320"/>
      <c r="J159" s="322"/>
      <c r="K159" s="339"/>
      <c r="L159" s="1390"/>
      <c r="M159" s="1383"/>
      <c r="N159" s="1383"/>
      <c r="O159" s="1383"/>
      <c r="P159" s="1384"/>
      <c r="Q159" s="298"/>
    </row>
    <row r="160" spans="1:17">
      <c r="A160" s="405">
        <f t="shared" si="8"/>
        <v>25</v>
      </c>
      <c r="B160" s="752" t="s">
        <v>819</v>
      </c>
      <c r="C160" s="322"/>
      <c r="D160" s="320"/>
      <c r="E160" s="393"/>
      <c r="F160" s="327"/>
      <c r="G160" s="389"/>
      <c r="H160" s="320"/>
      <c r="I160" s="320"/>
      <c r="J160" s="322"/>
      <c r="K160" s="339"/>
      <c r="L160" s="1390"/>
      <c r="M160" s="1383"/>
      <c r="N160" s="1383"/>
      <c r="O160" s="1383"/>
      <c r="P160" s="1384"/>
      <c r="Q160" s="298"/>
    </row>
    <row r="161" spans="1:17" ht="13.8" thickBot="1">
      <c r="A161" s="405">
        <f t="shared" si="8"/>
        <v>26</v>
      </c>
      <c r="B161" s="752" t="s">
        <v>819</v>
      </c>
      <c r="C161" s="322"/>
      <c r="D161" s="378"/>
      <c r="E161" s="393"/>
      <c r="F161" s="327"/>
      <c r="G161" s="389"/>
      <c r="H161" s="320"/>
      <c r="I161" s="378"/>
      <c r="J161" s="322"/>
      <c r="K161" s="339"/>
      <c r="L161" s="1390"/>
      <c r="M161" s="1383"/>
      <c r="N161" s="1383"/>
      <c r="O161" s="1383"/>
      <c r="P161" s="1384"/>
      <c r="Q161" s="298"/>
    </row>
    <row r="162" spans="1:17">
      <c r="A162" s="405">
        <f t="shared" si="8"/>
        <v>27</v>
      </c>
      <c r="B162" s="752" t="s">
        <v>51</v>
      </c>
      <c r="C162" s="322" t="str">
        <f>+"(Sum of Line "&amp;A156&amp;" to Line "&amp;A161&amp;")"</f>
        <v>(Sum of Line 21 to Line 26)</v>
      </c>
      <c r="D162" s="320">
        <f>SUM(D156:D161)</f>
        <v>3148153.2166915173</v>
      </c>
      <c r="E162" s="339"/>
      <c r="F162" s="339"/>
      <c r="G162" s="339"/>
      <c r="H162" s="339"/>
      <c r="I162" s="320">
        <f>SUM(I156:I161)</f>
        <v>3058180.7789893909</v>
      </c>
      <c r="L162" s="1384"/>
      <c r="M162" s="1384"/>
      <c r="N162" s="1384"/>
      <c r="O162" s="1384"/>
      <c r="P162" s="1384"/>
      <c r="Q162" s="298"/>
    </row>
    <row r="163" spans="1:17">
      <c r="A163" s="405"/>
      <c r="B163" s="333"/>
      <c r="C163" s="414"/>
      <c r="D163" s="320"/>
      <c r="E163" s="322"/>
      <c r="F163" s="322"/>
      <c r="G163" s="334"/>
      <c r="H163" s="322"/>
      <c r="I163" s="320"/>
      <c r="J163" s="322"/>
      <c r="K163" s="339"/>
      <c r="L163" s="1387"/>
      <c r="M163" s="1383"/>
      <c r="N163" s="1383"/>
      <c r="O163" s="1383"/>
      <c r="P163" s="1384"/>
      <c r="Q163" s="298"/>
    </row>
    <row r="164" spans="1:17">
      <c r="A164" s="405"/>
      <c r="B164" s="321" t="s">
        <v>380</v>
      </c>
      <c r="C164" s="339"/>
      <c r="D164" s="339"/>
      <c r="E164" s="339"/>
      <c r="F164" s="339"/>
      <c r="G164" s="339"/>
      <c r="H164" s="339"/>
      <c r="I164" s="1284"/>
      <c r="J164" s="322"/>
      <c r="K164" s="339"/>
      <c r="L164" s="1406"/>
      <c r="M164" s="1383"/>
      <c r="N164" s="1383"/>
      <c r="O164" s="1383"/>
      <c r="P164" s="1384"/>
      <c r="Q164" s="298"/>
    </row>
    <row r="165" spans="1:17">
      <c r="A165" s="405">
        <v>28</v>
      </c>
      <c r="B165" s="753" t="s">
        <v>381</v>
      </c>
      <c r="C165" s="322" t="str">
        <f>+"Appendix A Line "&amp;+'Appendix A'!A217&amp;" "&amp;$L$6&amp;" Column"</f>
        <v>Appendix A Line 146 True-Up Column</v>
      </c>
      <c r="D165" s="320">
        <f>IF($L$10=0,'Appendix A'!H217,'Appendix A'!G217)</f>
        <v>6599351.3363316851</v>
      </c>
      <c r="E165" s="327"/>
      <c r="F165" s="320" t="s">
        <v>357</v>
      </c>
      <c r="G165" s="326">
        <f>+TP</f>
        <v>0.97142056580185099</v>
      </c>
      <c r="H165" s="327"/>
      <c r="I165" s="320">
        <f>+D165*G165</f>
        <v>6410745.6090645269</v>
      </c>
      <c r="J165" s="339"/>
      <c r="K165" s="339"/>
      <c r="L165" s="1390">
        <f>+I165/M165</f>
        <v>0.97142056580185099</v>
      </c>
      <c r="M165" s="1383">
        <f>+D165</f>
        <v>6599351.3363316851</v>
      </c>
      <c r="N165" s="1383">
        <f>IF($L$10=0,'Appendix A'!H217,'Appendix A'!G217)</f>
        <v>6599351.3363316851</v>
      </c>
      <c r="O165" s="1383">
        <f>+M165-N165</f>
        <v>0</v>
      </c>
      <c r="P165" s="1384"/>
      <c r="Q165" s="298"/>
    </row>
    <row r="166" spans="1:17">
      <c r="A166" s="405"/>
      <c r="B166" s="321"/>
      <c r="C166" s="333"/>
      <c r="D166" s="383"/>
      <c r="E166" s="327"/>
      <c r="F166" s="327"/>
      <c r="G166" s="415"/>
      <c r="H166" s="327"/>
      <c r="I166" s="383"/>
      <c r="J166" s="322"/>
      <c r="K166" s="339"/>
      <c r="L166" s="1388"/>
      <c r="M166" s="1383"/>
      <c r="N166" s="1383"/>
      <c r="O166" s="1383"/>
      <c r="P166" s="1384"/>
      <c r="Q166" s="298"/>
    </row>
    <row r="167" spans="1:17" ht="13.8" thickBot="1">
      <c r="A167" s="405">
        <f>A165+1</f>
        <v>29</v>
      </c>
      <c r="B167" s="321" t="s">
        <v>382</v>
      </c>
      <c r="C167" s="322" t="str">
        <f>+"(Line "&amp;A137&amp;" + Line "&amp;A143&amp;" + Line "&amp;A153&amp;" + Line "&amp;A162&amp;" + Line "&amp;A165&amp;")"</f>
        <v>(Line 8 + Line 12 + Line 20 + Line 27 + Line 28)</v>
      </c>
      <c r="D167" s="416">
        <f>+D137+D143+D153+D162+D165</f>
        <v>46483772.563791029</v>
      </c>
      <c r="E167" s="327"/>
      <c r="F167" s="327"/>
      <c r="G167" s="393"/>
      <c r="H167" s="327"/>
      <c r="I167" s="416">
        <f>+I137+I143+I153+I162+I165</f>
        <v>20642544.940480154</v>
      </c>
      <c r="J167" s="312"/>
      <c r="K167" s="339"/>
      <c r="L167" s="1397"/>
      <c r="M167" s="1407">
        <f>+M137+M143+M153+M156+M165</f>
        <v>21249853.7370793</v>
      </c>
      <c r="N167" s="1383">
        <f>IF($L$10=0,'Appendix A'!H259,'Appendix A'!G259)</f>
        <v>21249853.7370793</v>
      </c>
      <c r="O167" s="1383">
        <f>+M167-N167</f>
        <v>0</v>
      </c>
      <c r="P167" s="1384"/>
      <c r="Q167" s="298"/>
    </row>
    <row r="168" spans="1:17" ht="13.8" thickTop="1">
      <c r="A168" s="405"/>
      <c r="B168" s="321"/>
      <c r="C168" s="322"/>
      <c r="D168" s="393"/>
      <c r="E168" s="327"/>
      <c r="F168" s="327"/>
      <c r="G168" s="393"/>
      <c r="H168" s="327"/>
      <c r="I168" s="383"/>
      <c r="J168" s="312"/>
      <c r="K168" s="339"/>
      <c r="L168" s="1397"/>
      <c r="M168" s="1383"/>
      <c r="N168" s="1383"/>
      <c r="O168" s="1383"/>
      <c r="P168" s="1384"/>
      <c r="Q168" s="298"/>
    </row>
    <row r="169" spans="1:17" s="750" customFormat="1">
      <c r="A169" s="880">
        <f>+A167+1</f>
        <v>30</v>
      </c>
      <c r="B169" s="744" t="s">
        <v>735</v>
      </c>
      <c r="C169" s="882"/>
      <c r="D169" s="742"/>
      <c r="E169" s="743"/>
      <c r="F169" s="743"/>
      <c r="G169" s="743"/>
      <c r="H169" s="743"/>
      <c r="I169" s="742"/>
      <c r="J169" s="748"/>
      <c r="K169" s="748"/>
      <c r="L169" s="1408"/>
      <c r="M169" s="1402"/>
      <c r="N169" s="1402"/>
      <c r="O169" s="1402"/>
      <c r="P169" s="1409"/>
    </row>
    <row r="170" spans="1:17" s="750" customFormat="1">
      <c r="A170" s="880"/>
      <c r="B170" s="744" t="s">
        <v>736</v>
      </c>
      <c r="C170" s="771" t="str">
        <f>+"Appendix A Line "&amp;+'Appendix A'!A256&amp;" "&amp;$L$6&amp;" Column"</f>
        <v>Appendix A Line 167 True-Up Column</v>
      </c>
      <c r="D170" s="743">
        <f>IF($L$10=0,'Appendix A'!H256,'Appendix A'!G256)</f>
        <v>0</v>
      </c>
      <c r="E170" s="743"/>
      <c r="F170" s="743" t="s">
        <v>330</v>
      </c>
      <c r="G170" s="1026">
        <v>1</v>
      </c>
      <c r="H170" s="743"/>
      <c r="I170" s="742">
        <f>+D170</f>
        <v>0</v>
      </c>
      <c r="J170" s="748"/>
      <c r="K170" s="1027"/>
      <c r="L170" s="1402"/>
      <c r="M170" s="1402"/>
      <c r="N170" s="1402"/>
      <c r="O170" s="1409"/>
      <c r="P170" s="1409"/>
    </row>
    <row r="171" spans="1:17">
      <c r="A171" s="363"/>
      <c r="B171" s="348"/>
      <c r="C171" s="354"/>
      <c r="D171" s="383"/>
      <c r="E171" s="320"/>
      <c r="F171" s="320"/>
      <c r="G171" s="320"/>
      <c r="H171" s="320"/>
      <c r="I171" s="383"/>
      <c r="J171" s="339"/>
      <c r="K171" s="349"/>
      <c r="L171" s="1383"/>
      <c r="M171" s="1383"/>
      <c r="N171" s="1383"/>
      <c r="O171" s="1384"/>
      <c r="P171" s="1384"/>
      <c r="Q171" s="298"/>
    </row>
    <row r="172" spans="1:17">
      <c r="A172" s="881" t="s">
        <v>627</v>
      </c>
      <c r="B172" s="744" t="s">
        <v>734</v>
      </c>
      <c r="C172" s="745"/>
      <c r="D172" s="746"/>
      <c r="E172" s="747"/>
      <c r="F172" s="747"/>
      <c r="G172" s="747"/>
      <c r="H172" s="747"/>
      <c r="I172" s="746"/>
      <c r="J172" s="339"/>
      <c r="K172" s="349"/>
      <c r="L172" s="1383"/>
      <c r="M172" s="1383"/>
      <c r="N172" s="1383"/>
      <c r="O172" s="1384"/>
      <c r="P172" s="1384"/>
      <c r="Q172" s="298"/>
    </row>
    <row r="173" spans="1:17" s="750" customFormat="1" ht="13.8" thickBot="1">
      <c r="A173" s="880"/>
      <c r="B173" s="744" t="s">
        <v>737</v>
      </c>
      <c r="C173" s="771" t="str">
        <f>+"Appendix A Line "&amp;+'Appendix A'!A257&amp;" "&amp;$L$6&amp;" Column"</f>
        <v>Appendix A Line 168 True-Up Column</v>
      </c>
      <c r="D173" s="1186">
        <f>IF($L$10=0,'Appendix A'!H257,'Appendix A'!G257)</f>
        <v>0</v>
      </c>
      <c r="E173" s="743"/>
      <c r="F173" s="743" t="s">
        <v>330</v>
      </c>
      <c r="G173" s="1026">
        <v>1</v>
      </c>
      <c r="H173" s="743"/>
      <c r="I173" s="742">
        <f>+D173</f>
        <v>0</v>
      </c>
      <c r="J173" s="748"/>
      <c r="K173" s="1027"/>
      <c r="L173" s="1402"/>
      <c r="M173" s="1402"/>
      <c r="N173" s="1402"/>
      <c r="O173" s="1409"/>
      <c r="P173" s="1402"/>
      <c r="Q173" s="749"/>
    </row>
    <row r="174" spans="1:17" ht="13.8" thickBot="1">
      <c r="A174" s="363">
        <f>+A169+1</f>
        <v>31</v>
      </c>
      <c r="B174" s="348" t="s">
        <v>383</v>
      </c>
      <c r="C174" s="348" t="str">
        <f>+"(Line "&amp;A167&amp;" - Line "&amp;A169&amp;" - Line "&amp;A172&amp;")"</f>
        <v>(Line 29 - Line 30 - Line 30a)</v>
      </c>
      <c r="D174" s="417">
        <f>+D167-D170-D173</f>
        <v>46483772.563791029</v>
      </c>
      <c r="E174" s="320"/>
      <c r="F174" s="320"/>
      <c r="G174" s="320"/>
      <c r="H174" s="320"/>
      <c r="I174" s="417">
        <f>+I167-I170-I173</f>
        <v>20642544.940480154</v>
      </c>
      <c r="J174" s="339"/>
      <c r="K174" s="349"/>
      <c r="L174" s="1383">
        <f>+'Appendix A'!H267</f>
        <v>20459729.687485997</v>
      </c>
      <c r="M174" s="1383">
        <f>+L174-I174</f>
        <v>-182815.25299415737</v>
      </c>
      <c r="N174" s="1383"/>
      <c r="O174" s="1383"/>
      <c r="P174" s="1383"/>
    </row>
    <row r="175" spans="1:17" ht="13.8" thickTop="1">
      <c r="L175" s="1383"/>
      <c r="M175" s="1383"/>
      <c r="N175" s="1383"/>
      <c r="O175" s="1384"/>
      <c r="P175" s="1383"/>
    </row>
    <row r="176" spans="1:17">
      <c r="A176" s="405"/>
      <c r="B176" s="321"/>
      <c r="C176" s="322"/>
      <c r="D176" s="393"/>
      <c r="E176" s="327"/>
      <c r="F176" s="327"/>
      <c r="G176" s="393"/>
      <c r="H176" s="327"/>
      <c r="I176" s="383"/>
      <c r="J176" s="312"/>
      <c r="K176" s="312"/>
      <c r="L176" s="1383"/>
      <c r="M176" s="1383"/>
      <c r="N176" s="1383"/>
      <c r="O176" s="1384"/>
      <c r="P176" s="1383"/>
    </row>
    <row r="177" spans="1:19">
      <c r="A177" s="405"/>
      <c r="B177" s="418"/>
      <c r="C177" s="327"/>
      <c r="D177" s="393"/>
      <c r="E177" s="393"/>
      <c r="F177" s="393"/>
      <c r="G177" s="393"/>
      <c r="H177" s="393"/>
      <c r="I177" s="393"/>
      <c r="J177" s="312"/>
      <c r="K177" s="368" t="str">
        <f>+K1</f>
        <v>Attachment O-ENOI</v>
      </c>
      <c r="L177" s="1383"/>
      <c r="M177" s="1383"/>
      <c r="N177" s="1383"/>
      <c r="O177" s="1384"/>
      <c r="P177" s="1383"/>
    </row>
    <row r="178" spans="1:19">
      <c r="A178" s="375"/>
      <c r="B178" s="333"/>
      <c r="C178" s="333"/>
      <c r="D178" s="333"/>
      <c r="E178" s="333"/>
      <c r="F178" s="333"/>
      <c r="G178" s="333"/>
      <c r="H178" s="333"/>
      <c r="I178" s="333"/>
      <c r="J178" s="322"/>
      <c r="K178" s="394" t="s">
        <v>384</v>
      </c>
    </row>
    <row r="179" spans="1:19">
      <c r="A179" s="375"/>
      <c r="B179" s="333"/>
      <c r="C179" s="397" t="str">
        <f>+C$3</f>
        <v>MISO Cover</v>
      </c>
      <c r="D179" s="333"/>
      <c r="E179" s="333"/>
      <c r="F179" s="333"/>
      <c r="G179" s="333"/>
      <c r="H179" s="333"/>
      <c r="I179" s="333"/>
      <c r="J179" s="322"/>
      <c r="K179" s="322"/>
    </row>
    <row r="180" spans="1:19">
      <c r="A180" s="375"/>
      <c r="B180" s="321" t="s">
        <v>316</v>
      </c>
      <c r="C180" s="419" t="s">
        <v>317</v>
      </c>
      <c r="D180" s="339"/>
      <c r="E180" s="333"/>
      <c r="F180" s="333"/>
      <c r="G180" s="333"/>
      <c r="H180" s="333"/>
      <c r="I180" s="396"/>
      <c r="J180" s="322"/>
      <c r="K180" s="420" t="str">
        <f>K4</f>
        <v>For  the 12 Months Ended 12/31/2016</v>
      </c>
    </row>
    <row r="181" spans="1:19">
      <c r="A181" s="375"/>
      <c r="B181" s="321"/>
      <c r="C181" s="419" t="s">
        <v>318</v>
      </c>
      <c r="D181" s="339"/>
      <c r="E181" s="333"/>
      <c r="F181" s="333"/>
      <c r="G181" s="333"/>
      <c r="H181" s="333"/>
      <c r="I181" s="333"/>
      <c r="J181" s="322"/>
      <c r="K181" s="322"/>
    </row>
    <row r="182" spans="1:19">
      <c r="A182" s="375"/>
      <c r="B182" s="333"/>
      <c r="C182" s="419" t="str">
        <f>+C119</f>
        <v>Entergy New Orleans, Inc.</v>
      </c>
      <c r="D182" s="339"/>
      <c r="E182" s="333"/>
      <c r="F182" s="333"/>
      <c r="G182" s="333"/>
      <c r="H182" s="333"/>
      <c r="I182" s="333"/>
      <c r="J182" s="322"/>
      <c r="K182" s="322"/>
    </row>
    <row r="183" spans="1:19">
      <c r="A183" s="999"/>
      <c r="B183" s="999"/>
      <c r="C183" s="419" t="str">
        <f>+C120</f>
        <v>True-Up Rate</v>
      </c>
      <c r="D183" s="999"/>
      <c r="E183" s="999"/>
      <c r="F183" s="999"/>
      <c r="G183" s="999"/>
      <c r="H183" s="999"/>
      <c r="I183" s="999"/>
      <c r="J183" s="999"/>
      <c r="K183" s="999"/>
    </row>
    <row r="184" spans="1:19" s="412" customFormat="1">
      <c r="A184" s="421"/>
      <c r="B184" s="397" t="s">
        <v>171</v>
      </c>
      <c r="C184" s="397" t="s">
        <v>320</v>
      </c>
      <c r="D184" s="397" t="s">
        <v>321</v>
      </c>
      <c r="E184" s="322" t="s">
        <v>66</v>
      </c>
      <c r="F184" s="322"/>
      <c r="G184" s="398" t="s">
        <v>322</v>
      </c>
      <c r="H184" s="322"/>
      <c r="I184" s="398" t="s">
        <v>323</v>
      </c>
      <c r="J184" s="409"/>
      <c r="K184" s="409"/>
      <c r="L184" s="411"/>
      <c r="M184" s="411"/>
      <c r="N184" s="411"/>
      <c r="P184" s="411"/>
      <c r="Q184" s="411"/>
    </row>
    <row r="185" spans="1:19">
      <c r="A185" s="375"/>
      <c r="B185" s="333"/>
      <c r="C185" s="321"/>
      <c r="D185" s="321"/>
      <c r="E185" s="321"/>
      <c r="F185" s="321"/>
      <c r="G185" s="321"/>
      <c r="H185" s="321"/>
      <c r="I185" s="321"/>
      <c r="J185" s="321"/>
      <c r="K185" s="321"/>
    </row>
    <row r="186" spans="1:19">
      <c r="A186" s="2013" t="s">
        <v>385</v>
      </c>
      <c r="B186" s="2013"/>
      <c r="C186" s="2013"/>
      <c r="D186" s="2013"/>
      <c r="E186" s="2013"/>
      <c r="F186" s="2013"/>
      <c r="G186" s="2013"/>
      <c r="H186" s="2013"/>
      <c r="I186" s="2013"/>
      <c r="J186" s="2013"/>
      <c r="K186" s="2013"/>
    </row>
    <row r="187" spans="1:19">
      <c r="A187" s="375" t="s">
        <v>324</v>
      </c>
      <c r="B187" s="422"/>
      <c r="C187" s="312"/>
      <c r="D187" s="312"/>
      <c r="E187" s="312"/>
      <c r="F187" s="312"/>
      <c r="G187" s="312"/>
      <c r="H187" s="312"/>
      <c r="I187" s="312"/>
      <c r="J187" s="322"/>
      <c r="K187" s="322"/>
    </row>
    <row r="188" spans="1:19" ht="13.8" thickBot="1">
      <c r="A188" s="323" t="s">
        <v>326</v>
      </c>
      <c r="B188" s="305" t="s">
        <v>386</v>
      </c>
      <c r="C188" s="312"/>
      <c r="D188" s="312"/>
      <c r="E188" s="312"/>
      <c r="F188" s="312"/>
      <c r="G188" s="312"/>
      <c r="H188" s="333"/>
      <c r="I188" s="333"/>
      <c r="J188" s="322"/>
      <c r="K188" s="322"/>
    </row>
    <row r="189" spans="1:19">
      <c r="A189" s="375">
        <v>1</v>
      </c>
      <c r="B189" s="751" t="s">
        <v>387</v>
      </c>
      <c r="C189" s="322" t="str">
        <f>+"Appendix A Line "&amp;+'Appendix A'!A262&amp;" "&amp;$L$6&amp;" Column"</f>
        <v>Appendix A Line 170 True-Up Column</v>
      </c>
      <c r="D189" s="322"/>
      <c r="E189" s="322"/>
      <c r="F189" s="322"/>
      <c r="G189" s="322"/>
      <c r="H189" s="322"/>
      <c r="I189" s="320">
        <f>IF($L$10=0,'Appendix A'!H262,'Appendix A'!G262)</f>
        <v>146329558.58307692</v>
      </c>
      <c r="J189" s="322"/>
      <c r="K189" s="322"/>
      <c r="N189" s="386"/>
      <c r="O189" s="386"/>
      <c r="P189" s="386"/>
      <c r="Q189" s="386"/>
      <c r="R189" s="386"/>
      <c r="S189" s="386"/>
    </row>
    <row r="190" spans="1:19">
      <c r="A190" s="375">
        <f>+A189+1</f>
        <v>2</v>
      </c>
      <c r="B190" s="751" t="s">
        <v>388</v>
      </c>
      <c r="C190" s="322" t="str">
        <f>+"Appendix A Line "&amp;+'Appendix A'!A263&amp;" "&amp;$L$6&amp;" Column"</f>
        <v>Appendix A Line 171 True-Up Column</v>
      </c>
      <c r="D190" s="333"/>
      <c r="E190" s="333"/>
      <c r="F190" s="333"/>
      <c r="G190" s="333"/>
      <c r="H190" s="333"/>
      <c r="I190" s="320">
        <f>IF($L$10=0,'Appendix A'!H263,'Appendix A'!G263)</f>
        <v>4182015.9907692331</v>
      </c>
      <c r="J190" s="322"/>
      <c r="K190" s="322"/>
      <c r="N190" s="386"/>
      <c r="O190" s="386"/>
      <c r="P190" s="386"/>
      <c r="Q190" s="386"/>
      <c r="R190" s="386"/>
      <c r="S190" s="386"/>
    </row>
    <row r="191" spans="1:19" ht="13.8" thickBot="1">
      <c r="A191" s="375">
        <f t="shared" ref="A191:A215" si="9">+A190+1</f>
        <v>3</v>
      </c>
      <c r="B191" s="752" t="s">
        <v>819</v>
      </c>
      <c r="C191" s="423"/>
      <c r="D191" s="396"/>
      <c r="E191" s="322"/>
      <c r="F191" s="322"/>
      <c r="G191" s="395"/>
      <c r="H191" s="322"/>
      <c r="I191" s="378"/>
      <c r="J191" s="322"/>
      <c r="K191" s="322"/>
      <c r="N191" s="386"/>
      <c r="O191" s="386"/>
      <c r="P191" s="386"/>
      <c r="Q191" s="386"/>
      <c r="R191" s="386"/>
      <c r="S191" s="386"/>
    </row>
    <row r="192" spans="1:19">
      <c r="A192" s="375">
        <f t="shared" si="9"/>
        <v>4</v>
      </c>
      <c r="B192" s="751" t="s">
        <v>389</v>
      </c>
      <c r="C192" s="312" t="str">
        <f>+"(Line "&amp;A189&amp;" - Line "&amp;A190&amp;" - Line "&amp;A191&amp;")"</f>
        <v>(Line 1 - Line 2 - Line 3)</v>
      </c>
      <c r="D192" s="322"/>
      <c r="E192" s="322"/>
      <c r="F192" s="322"/>
      <c r="G192" s="395"/>
      <c r="H192" s="322"/>
      <c r="I192" s="320">
        <f>I189-I190-I191</f>
        <v>142147542.59230769</v>
      </c>
      <c r="J192" s="322"/>
      <c r="K192" s="322"/>
      <c r="N192" s="386"/>
      <c r="O192" s="386"/>
      <c r="P192" s="386"/>
      <c r="Q192" s="386"/>
      <c r="R192" s="386"/>
      <c r="S192" s="386"/>
    </row>
    <row r="193" spans="1:19">
      <c r="A193" s="375"/>
      <c r="B193" s="333"/>
      <c r="C193" s="312"/>
      <c r="D193" s="322"/>
      <c r="E193" s="322"/>
      <c r="F193" s="322"/>
      <c r="G193" s="395"/>
      <c r="H193" s="322"/>
      <c r="I193" s="320"/>
      <c r="J193" s="322"/>
      <c r="K193" s="322"/>
      <c r="N193" s="386"/>
      <c r="O193" s="386"/>
      <c r="P193" s="386"/>
      <c r="Q193" s="386"/>
      <c r="R193" s="386"/>
      <c r="S193" s="386"/>
    </row>
    <row r="194" spans="1:19">
      <c r="A194" s="375">
        <f>+A192+1</f>
        <v>5</v>
      </c>
      <c r="B194" s="751" t="s">
        <v>390</v>
      </c>
      <c r="C194" s="312" t="str">
        <f>+"(Line "&amp;A192&amp;" / Line "&amp;A189&amp;")"</f>
        <v>(Line 4 / Line 1)</v>
      </c>
      <c r="D194" s="424"/>
      <c r="E194" s="424"/>
      <c r="F194" s="424"/>
      <c r="G194" s="1187" t="s">
        <v>810</v>
      </c>
      <c r="H194" s="322" t="s">
        <v>391</v>
      </c>
      <c r="I194" s="389">
        <f>IF(I189&gt;0,I192/I189,0)</f>
        <v>0.97142056580185099</v>
      </c>
      <c r="J194" s="322"/>
      <c r="K194" s="322"/>
      <c r="N194" s="386"/>
      <c r="O194" s="386"/>
      <c r="P194" s="386"/>
      <c r="Q194" s="386"/>
      <c r="R194" s="386"/>
      <c r="S194" s="386"/>
    </row>
    <row r="195" spans="1:19">
      <c r="A195" s="375"/>
      <c r="B195" s="751"/>
      <c r="C195" s="312"/>
      <c r="D195" s="424"/>
      <c r="E195" s="424"/>
      <c r="F195" s="424"/>
      <c r="G195" s="398"/>
      <c r="H195" s="322"/>
      <c r="I195" s="389"/>
      <c r="J195" s="322"/>
      <c r="K195" s="322"/>
      <c r="N195" s="386"/>
      <c r="O195" s="386"/>
      <c r="P195" s="386"/>
      <c r="Q195" s="386"/>
      <c r="R195" s="386"/>
      <c r="S195" s="386"/>
    </row>
    <row r="196" spans="1:19">
      <c r="A196" s="875" t="s">
        <v>633</v>
      </c>
      <c r="B196" s="321" t="s">
        <v>392</v>
      </c>
      <c r="C196" s="333"/>
      <c r="D196" s="333"/>
      <c r="E196" s="333"/>
      <c r="F196" s="333"/>
      <c r="G196" s="333"/>
      <c r="H196" s="333"/>
      <c r="I196" s="333"/>
      <c r="J196" s="333"/>
      <c r="K196" s="333"/>
      <c r="N196" s="386"/>
      <c r="O196" s="386"/>
      <c r="P196" s="386"/>
      <c r="Q196" s="386"/>
      <c r="R196" s="386"/>
      <c r="S196" s="386"/>
    </row>
    <row r="197" spans="1:19" ht="13.8" thickBot="1">
      <c r="B197" s="339"/>
      <c r="C197" s="425" t="s">
        <v>393</v>
      </c>
      <c r="D197" s="426" t="s">
        <v>394</v>
      </c>
      <c r="E197" s="339"/>
      <c r="F197" s="426" t="s">
        <v>357</v>
      </c>
      <c r="G197" s="426" t="s">
        <v>121</v>
      </c>
      <c r="H197" s="322"/>
      <c r="I197" s="322"/>
      <c r="J197" s="322"/>
      <c r="K197" s="322"/>
      <c r="N197" s="386"/>
      <c r="O197" s="386"/>
      <c r="P197" s="386"/>
      <c r="Q197" s="386"/>
      <c r="R197" s="386"/>
      <c r="S197" s="386"/>
    </row>
    <row r="198" spans="1:19">
      <c r="A198" s="375">
        <v>12</v>
      </c>
      <c r="B198" s="752" t="s">
        <v>578</v>
      </c>
      <c r="C198" s="322" t="str">
        <f>+"Appendix A Line "&amp;+'Appendix A'!A11&amp;" "&amp;$L$6&amp;" Column"</f>
        <v>Appendix A Line 1 True-Up Column</v>
      </c>
      <c r="D198" s="320">
        <f>IF($L$10=0,'Appendix A'!H11,'Appendix A'!G11)</f>
        <v>1295458.9200000006</v>
      </c>
      <c r="E198" s="339"/>
      <c r="F198" s="326">
        <f>+TP</f>
        <v>0.97142056580185099</v>
      </c>
      <c r="G198" s="320">
        <f>+D198*F198</f>
        <v>1258435.4370394554</v>
      </c>
      <c r="H198" s="327"/>
      <c r="I198" s="327"/>
      <c r="J198" s="322"/>
      <c r="K198" s="322"/>
      <c r="N198" s="386"/>
      <c r="O198" s="386"/>
      <c r="P198" s="386"/>
      <c r="Q198" s="386"/>
      <c r="R198" s="386"/>
      <c r="S198" s="386"/>
    </row>
    <row r="199" spans="1:19">
      <c r="A199" s="375">
        <f t="shared" si="9"/>
        <v>13</v>
      </c>
      <c r="B199" s="752" t="s">
        <v>579</v>
      </c>
      <c r="C199" s="322" t="str">
        <f>+"Appendix A Line "&amp;+'Appendix A'!A12&amp;" "&amp;$L$6&amp;" Column"</f>
        <v>Appendix A Line 2 True-Up Column</v>
      </c>
      <c r="D199" s="320">
        <f>IF($L$10=0,'Appendix A'!H12,'Appendix A'!G12)</f>
        <v>17804.040000000015</v>
      </c>
      <c r="E199" s="339"/>
      <c r="F199" s="326">
        <f>+TP</f>
        <v>0.97142056580185099</v>
      </c>
      <c r="G199" s="320">
        <f>+D199*F199</f>
        <v>17295.210610358801</v>
      </c>
      <c r="H199" s="327"/>
      <c r="I199" s="327"/>
      <c r="J199" s="322"/>
      <c r="K199" s="322"/>
      <c r="L199" s="299">
        <f>+D199/D202</f>
        <v>1.2049286036028726E-3</v>
      </c>
      <c r="N199" s="386"/>
      <c r="O199" s="386"/>
      <c r="P199" s="386"/>
      <c r="Q199" s="386"/>
      <c r="R199" s="386"/>
      <c r="S199" s="386"/>
    </row>
    <row r="200" spans="1:19">
      <c r="A200" s="375">
        <f t="shared" si="9"/>
        <v>14</v>
      </c>
      <c r="B200" s="752" t="s">
        <v>819</v>
      </c>
      <c r="C200" s="322"/>
      <c r="D200" s="320"/>
      <c r="E200" s="339"/>
      <c r="F200" s="427"/>
      <c r="G200" s="320"/>
      <c r="H200" s="327"/>
      <c r="I200" s="428" t="s">
        <v>395</v>
      </c>
      <c r="J200" s="322"/>
      <c r="K200" s="322"/>
      <c r="L200" s="299">
        <f>+I194</f>
        <v>0.97142056580185099</v>
      </c>
      <c r="N200" s="386"/>
      <c r="O200" s="386"/>
      <c r="P200" s="386"/>
      <c r="Q200" s="386"/>
      <c r="R200" s="386"/>
      <c r="S200" s="386"/>
    </row>
    <row r="201" spans="1:19" ht="13.8" thickBot="1">
      <c r="A201" s="375">
        <f t="shared" si="9"/>
        <v>15</v>
      </c>
      <c r="B201" s="752" t="s">
        <v>819</v>
      </c>
      <c r="C201" s="322"/>
      <c r="D201" s="378"/>
      <c r="E201" s="339"/>
      <c r="F201" s="427"/>
      <c r="G201" s="378"/>
      <c r="H201" s="327"/>
      <c r="I201" s="429" t="s">
        <v>396</v>
      </c>
      <c r="J201" s="322"/>
      <c r="K201" s="322"/>
      <c r="L201" s="299">
        <f>+L199*L200</f>
        <v>1.1704924258627368E-3</v>
      </c>
      <c r="N201" s="386"/>
      <c r="O201" s="386"/>
      <c r="P201" s="386"/>
      <c r="Q201" s="386"/>
      <c r="R201" s="386"/>
      <c r="S201" s="386"/>
    </row>
    <row r="202" spans="1:19">
      <c r="A202" s="375">
        <f t="shared" si="9"/>
        <v>16</v>
      </c>
      <c r="B202" s="752" t="s">
        <v>495</v>
      </c>
      <c r="C202" s="322" t="str">
        <f>+"Appendix A Line "&amp;+'Appendix A'!A23&amp;" "&amp;$L$6&amp;" Column"</f>
        <v>Appendix A Line 10 True-Up Column</v>
      </c>
      <c r="D202" s="320">
        <f>IF($L$10=0,'Appendix A'!H23,'Appendix A'!G23)</f>
        <v>14776012.41</v>
      </c>
      <c r="E202" s="322"/>
      <c r="F202" s="322"/>
      <c r="G202" s="320">
        <f>SUM(G198:G201)</f>
        <v>1275730.6476498141</v>
      </c>
      <c r="H202" s="430" t="s">
        <v>397</v>
      </c>
      <c r="I202" s="431">
        <f>IF(G202&gt;0,G202/D202,0)</f>
        <v>8.6337951827005405E-2</v>
      </c>
      <c r="J202" s="395" t="s">
        <v>397</v>
      </c>
      <c r="K202" s="322" t="s">
        <v>398</v>
      </c>
      <c r="N202" s="386"/>
      <c r="O202" s="386"/>
      <c r="P202" s="386"/>
      <c r="Q202" s="386"/>
      <c r="R202" s="386"/>
      <c r="S202" s="386"/>
    </row>
    <row r="203" spans="1:19">
      <c r="A203" s="375"/>
      <c r="B203" s="321" t="s">
        <v>66</v>
      </c>
      <c r="C203" s="322" t="s">
        <v>66</v>
      </c>
      <c r="D203" s="333"/>
      <c r="E203" s="322"/>
      <c r="F203" s="322"/>
      <c r="G203" s="333"/>
      <c r="H203" s="333"/>
      <c r="I203" s="333"/>
      <c r="J203" s="333"/>
      <c r="K203" s="322"/>
      <c r="N203" s="386"/>
      <c r="O203" s="386"/>
      <c r="P203" s="386"/>
      <c r="Q203" s="386"/>
      <c r="R203" s="386"/>
      <c r="S203" s="386"/>
    </row>
    <row r="204" spans="1:19">
      <c r="A204" s="375"/>
      <c r="B204" s="321" t="s">
        <v>819</v>
      </c>
      <c r="C204" s="339"/>
      <c r="D204" s="399" t="s">
        <v>394</v>
      </c>
      <c r="E204" s="322"/>
      <c r="F204" s="322"/>
      <c r="G204" s="394"/>
      <c r="H204" s="413"/>
      <c r="I204" s="388"/>
      <c r="J204" s="322"/>
      <c r="K204" s="322"/>
      <c r="M204" s="298"/>
      <c r="N204" s="386"/>
      <c r="O204" s="386"/>
      <c r="P204" s="386"/>
      <c r="Q204" s="386"/>
      <c r="R204" s="386"/>
      <c r="S204" s="386"/>
    </row>
    <row r="205" spans="1:19">
      <c r="A205" s="375">
        <f>+A202+1</f>
        <v>17</v>
      </c>
      <c r="B205" s="752" t="s">
        <v>819</v>
      </c>
      <c r="C205" s="322"/>
      <c r="D205" s="320">
        <v>0</v>
      </c>
      <c r="E205" s="322"/>
      <c r="F205" s="333"/>
      <c r="G205" s="877"/>
      <c r="H205" s="432"/>
      <c r="I205" s="375"/>
      <c r="J205" s="322"/>
      <c r="K205" s="433"/>
      <c r="M205" s="298"/>
      <c r="N205" s="298"/>
      <c r="P205" s="298"/>
      <c r="Q205" s="298"/>
    </row>
    <row r="206" spans="1:19">
      <c r="A206" s="375">
        <f t="shared" si="9"/>
        <v>18</v>
      </c>
      <c r="B206" s="752" t="s">
        <v>819</v>
      </c>
      <c r="C206" s="322"/>
      <c r="D206" s="320">
        <v>0</v>
      </c>
      <c r="E206" s="322"/>
      <c r="F206" s="333"/>
      <c r="G206" s="431"/>
      <c r="H206" s="434" t="s">
        <v>267</v>
      </c>
      <c r="I206" s="431"/>
      <c r="J206" s="434"/>
      <c r="K206" s="431"/>
      <c r="L206" s="298"/>
      <c r="M206" s="298"/>
      <c r="N206" s="298"/>
      <c r="P206" s="298"/>
      <c r="Q206" s="298"/>
    </row>
    <row r="207" spans="1:19" ht="13.8" thickBot="1">
      <c r="A207" s="375">
        <f t="shared" si="9"/>
        <v>19</v>
      </c>
      <c r="B207" s="756" t="s">
        <v>819</v>
      </c>
      <c r="C207" s="425"/>
      <c r="D207" s="378">
        <v>0</v>
      </c>
      <c r="E207" s="322"/>
      <c r="F207" s="322"/>
      <c r="G207" s="322" t="s">
        <v>66</v>
      </c>
      <c r="H207" s="322"/>
      <c r="I207" s="322"/>
      <c r="J207" s="322"/>
      <c r="K207" s="322"/>
      <c r="L207" s="298"/>
      <c r="M207" s="298"/>
      <c r="N207" s="298"/>
      <c r="P207" s="298"/>
      <c r="Q207" s="298"/>
    </row>
    <row r="208" spans="1:19">
      <c r="A208" s="375">
        <f t="shared" si="9"/>
        <v>20</v>
      </c>
      <c r="B208" s="321" t="s">
        <v>114</v>
      </c>
      <c r="C208" s="333" t="str">
        <f>+"(Sum of Line "&amp;A205&amp;" to Line "&amp;A207&amp;")"</f>
        <v>(Sum of Line 17 to Line 19)</v>
      </c>
      <c r="D208" s="320">
        <f>D205+D206+D207</f>
        <v>0</v>
      </c>
      <c r="E208" s="322"/>
      <c r="F208" s="322"/>
      <c r="G208" s="322"/>
      <c r="H208" s="322"/>
      <c r="I208" s="322"/>
      <c r="J208" s="322"/>
      <c r="K208" s="322"/>
      <c r="L208" s="298"/>
      <c r="M208" s="298"/>
      <c r="N208" s="298"/>
      <c r="P208" s="298"/>
      <c r="Q208" s="298"/>
    </row>
    <row r="209" spans="1:17">
      <c r="A209" s="375"/>
      <c r="B209" s="321"/>
      <c r="C209" s="322"/>
      <c r="D209" s="333"/>
      <c r="E209" s="322"/>
      <c r="F209" s="322"/>
      <c r="G209" s="322"/>
      <c r="H209" s="322"/>
      <c r="I209" s="322"/>
      <c r="J209" s="322"/>
      <c r="K209" s="322"/>
      <c r="L209" s="298"/>
      <c r="M209" s="298"/>
      <c r="N209" s="298"/>
      <c r="P209" s="298"/>
      <c r="Q209" s="298"/>
    </row>
    <row r="210" spans="1:17">
      <c r="A210" s="876" t="s">
        <v>634</v>
      </c>
      <c r="B210" s="305" t="s">
        <v>399</v>
      </c>
      <c r="C210" s="322"/>
      <c r="D210" s="322"/>
      <c r="E210" s="322"/>
      <c r="F210" s="322"/>
      <c r="G210" s="395" t="s">
        <v>400</v>
      </c>
      <c r="H210" s="322"/>
      <c r="I210" s="322"/>
      <c r="J210" s="322"/>
      <c r="K210" s="322"/>
      <c r="L210" s="298"/>
      <c r="M210" s="298"/>
      <c r="N210" s="298"/>
      <c r="P210" s="298"/>
      <c r="Q210" s="298"/>
    </row>
    <row r="211" spans="1:17" ht="13.8" thickBot="1">
      <c r="A211" s="375"/>
      <c r="B211" s="321"/>
      <c r="C211" s="322"/>
      <c r="D211" s="323" t="s">
        <v>394</v>
      </c>
      <c r="E211" s="339"/>
      <c r="F211" s="323" t="s">
        <v>401</v>
      </c>
      <c r="G211" s="419"/>
      <c r="H211" s="322"/>
      <c r="I211" s="323" t="s">
        <v>402</v>
      </c>
      <c r="J211" s="322"/>
      <c r="K211" s="322"/>
      <c r="L211" s="298"/>
      <c r="M211" s="298"/>
      <c r="N211" s="298"/>
      <c r="P211" s="298"/>
      <c r="Q211" s="298"/>
    </row>
    <row r="212" spans="1:17">
      <c r="A212" s="375">
        <v>27</v>
      </c>
      <c r="B212" s="751" t="s">
        <v>585</v>
      </c>
      <c r="C212" s="322" t="str">
        <f>+"Appendix A Line "&amp;+'Appendix A'!A197&amp;" "&amp;$L$6&amp;" Column"</f>
        <v>Appendix A Line 130 True-Up Column</v>
      </c>
      <c r="D212" s="320">
        <f>IF($L$10=0,'Appendix A'!H197,'Appendix A'!G197)</f>
        <v>324735230.76923078</v>
      </c>
      <c r="E212" s="339"/>
      <c r="F212" s="1375">
        <f>IF(D$215=0,0,+D212/D$215)</f>
        <v>0.43333862506880655</v>
      </c>
      <c r="G212" s="407">
        <f>IF($L$10=0,'Appendix A'!H208,'Appendix A'!G208)</f>
        <v>5.1808971257838073E-2</v>
      </c>
      <c r="H212" s="328"/>
      <c r="I212" s="435">
        <f>F212*G212</f>
        <v>2.2450828371100868E-2</v>
      </c>
      <c r="J212" s="434" t="s">
        <v>397</v>
      </c>
      <c r="K212" s="436" t="s">
        <v>403</v>
      </c>
      <c r="L212" s="298"/>
      <c r="M212" s="298"/>
      <c r="N212" s="298"/>
      <c r="P212" s="298"/>
      <c r="Q212" s="298"/>
    </row>
    <row r="213" spans="1:17">
      <c r="A213" s="375">
        <f t="shared" si="9"/>
        <v>28</v>
      </c>
      <c r="B213" s="751" t="s">
        <v>586</v>
      </c>
      <c r="C213" s="322" t="str">
        <f>+"Appendix A Line "&amp;+'Appendix A'!A200&amp;" "&amp;$L$6&amp;" Column"</f>
        <v>Appendix A Line 133 True-Up Column</v>
      </c>
      <c r="D213" s="320">
        <f>IF($L$10=0,'Appendix A'!H200,'Appendix A'!G200)</f>
        <v>20003721.100000001</v>
      </c>
      <c r="E213" s="339"/>
      <c r="F213" s="1375">
        <f t="shared" ref="F213:F214" si="10">IF(D$215=0,0,+D213/D$215)</f>
        <v>2.6693700517804179E-2</v>
      </c>
      <c r="G213" s="407">
        <f>IF($L$10=0,'Appendix A'!H209,'Appendix A'!G209)</f>
        <v>4.8228052929612172E-2</v>
      </c>
      <c r="H213" s="328"/>
      <c r="I213" s="435">
        <f>F213*G213</f>
        <v>1.2873852014598757E-3</v>
      </c>
      <c r="J213" s="322"/>
      <c r="K213" s="333"/>
      <c r="L213" s="298"/>
      <c r="M213" s="298"/>
      <c r="N213" s="298"/>
      <c r="P213" s="298"/>
      <c r="Q213" s="298"/>
    </row>
    <row r="214" spans="1:17" ht="13.8" thickBot="1">
      <c r="A214" s="375">
        <f t="shared" si="9"/>
        <v>29</v>
      </c>
      <c r="B214" s="751" t="s">
        <v>54</v>
      </c>
      <c r="C214" s="322" t="str">
        <f>+"Appendix A Line "&amp;+'Appendix A'!A202&amp;" "&amp;$L$6&amp;" Column"</f>
        <v>Appendix A Line 135 True-Up Column</v>
      </c>
      <c r="D214" s="378">
        <f>IF($L$10=0,'Appendix A'!H202,'Appendix A'!G202)</f>
        <v>404640891.01384598</v>
      </c>
      <c r="E214" s="339"/>
      <c r="F214" s="1375">
        <f t="shared" si="10"/>
        <v>0.53996767441338922</v>
      </c>
      <c r="G214" s="407">
        <f>IF($L$10=0,'Appendix A'!H210,'Appendix A'!G210)</f>
        <v>0.11975081967213114</v>
      </c>
      <c r="H214" s="333"/>
      <c r="I214" s="437">
        <f>F214*G214</f>
        <v>6.4661571607457793E-2</v>
      </c>
      <c r="J214" s="322"/>
      <c r="K214" s="333"/>
      <c r="L214" s="298"/>
      <c r="M214" s="298"/>
      <c r="N214" s="298"/>
      <c r="P214" s="298"/>
      <c r="Q214" s="298"/>
    </row>
    <row r="215" spans="1:17">
      <c r="A215" s="375">
        <f t="shared" si="9"/>
        <v>30</v>
      </c>
      <c r="B215" s="321" t="s">
        <v>7</v>
      </c>
      <c r="C215" s="333" t="str">
        <f>+"(Sum of Lines "&amp;A212&amp;" to "&amp;A214&amp;")"</f>
        <v>(Sum of Lines 27 to 29)</v>
      </c>
      <c r="D215" s="438">
        <f>SUM(D212:D214)</f>
        <v>749379842.88307679</v>
      </c>
      <c r="E215" s="328" t="s">
        <v>66</v>
      </c>
      <c r="F215" s="328"/>
      <c r="G215" s="322"/>
      <c r="H215" s="322"/>
      <c r="I215" s="435">
        <f>SUM(I212:I214)</f>
        <v>8.8399785180018536E-2</v>
      </c>
      <c r="J215" s="434" t="s">
        <v>397</v>
      </c>
      <c r="K215" s="333" t="s">
        <v>227</v>
      </c>
      <c r="L215" s="1628" t="s">
        <v>1418</v>
      </c>
      <c r="M215" s="298"/>
      <c r="N215" s="298"/>
      <c r="P215" s="298"/>
      <c r="Q215" s="298"/>
    </row>
    <row r="216" spans="1:17">
      <c r="A216" s="375"/>
      <c r="B216" s="333"/>
      <c r="C216" s="333"/>
      <c r="D216" s="333"/>
      <c r="E216" s="322"/>
      <c r="F216" s="322"/>
      <c r="G216" s="322"/>
      <c r="H216" s="322"/>
      <c r="I216" s="333"/>
      <c r="J216" s="333"/>
      <c r="K216" s="333"/>
      <c r="L216" s="298"/>
      <c r="M216" s="298"/>
      <c r="N216" s="298"/>
      <c r="P216" s="298"/>
      <c r="Q216" s="298"/>
    </row>
    <row r="217" spans="1:17">
      <c r="A217" s="375"/>
      <c r="B217" s="305" t="s">
        <v>404</v>
      </c>
      <c r="C217" s="306"/>
      <c r="D217" s="306"/>
      <c r="E217" s="306"/>
      <c r="F217" s="306"/>
      <c r="G217" s="306"/>
      <c r="H217" s="306"/>
      <c r="I217" s="306"/>
      <c r="J217" s="306"/>
      <c r="K217" s="306"/>
      <c r="L217" s="298"/>
      <c r="M217" s="298"/>
      <c r="N217" s="298"/>
      <c r="P217" s="298"/>
      <c r="Q217" s="298"/>
    </row>
    <row r="218" spans="1:17">
      <c r="A218" s="375"/>
      <c r="B218" s="305"/>
      <c r="C218" s="305"/>
      <c r="D218" s="305"/>
      <c r="E218" s="305"/>
      <c r="F218" s="305"/>
      <c r="G218" s="305"/>
      <c r="H218" s="305"/>
      <c r="I218" s="441"/>
      <c r="J218" s="343"/>
      <c r="K218" s="333"/>
      <c r="L218" s="298"/>
      <c r="M218" s="298"/>
      <c r="N218" s="298"/>
      <c r="P218" s="298"/>
      <c r="Q218" s="298"/>
    </row>
    <row r="219" spans="1:17">
      <c r="A219" s="375"/>
      <c r="B219" s="305" t="s">
        <v>405</v>
      </c>
      <c r="C219" s="306"/>
      <c r="D219" s="306"/>
      <c r="E219" s="306"/>
      <c r="F219" s="306"/>
      <c r="G219" s="439" t="s">
        <v>66</v>
      </c>
      <c r="H219" s="440"/>
      <c r="I219" s="441"/>
      <c r="J219" s="441"/>
      <c r="K219" s="333"/>
      <c r="L219" s="298"/>
      <c r="M219" s="298"/>
      <c r="N219" s="298"/>
      <c r="P219" s="298"/>
      <c r="Q219" s="298"/>
    </row>
    <row r="220" spans="1:17">
      <c r="A220" s="375">
        <f>+A215+1</f>
        <v>31</v>
      </c>
      <c r="B220" s="752" t="s">
        <v>819</v>
      </c>
      <c r="C220" s="306"/>
      <c r="D220" s="306"/>
      <c r="E220" s="333"/>
      <c r="F220" s="306"/>
      <c r="G220" s="333"/>
      <c r="H220" s="440"/>
      <c r="I220" s="442"/>
      <c r="J220" s="443"/>
      <c r="K220" s="333"/>
      <c r="L220" s="298"/>
      <c r="M220" s="298"/>
      <c r="N220" s="298"/>
      <c r="P220" s="298"/>
      <c r="Q220" s="298"/>
    </row>
    <row r="221" spans="1:17" ht="13.8" thickBot="1">
      <c r="A221" s="375">
        <f>+A220+1</f>
        <v>32</v>
      </c>
      <c r="B221" s="756" t="s">
        <v>819</v>
      </c>
      <c r="C221" s="425"/>
      <c r="D221" s="1019"/>
      <c r="E221" s="1020"/>
      <c r="F221" s="1020"/>
      <c r="G221" s="1020"/>
      <c r="H221" s="306"/>
      <c r="I221" s="444"/>
      <c r="J221" s="445"/>
      <c r="K221" s="333"/>
      <c r="N221" s="298"/>
      <c r="P221" s="298"/>
      <c r="Q221" s="298"/>
    </row>
    <row r="222" spans="1:17">
      <c r="A222" s="375">
        <f>+A221+1</f>
        <v>33</v>
      </c>
      <c r="B222" s="345" t="s">
        <v>114</v>
      </c>
      <c r="C222" s="333" t="str">
        <f>+"(Sum of Line "&amp;A220&amp;" + Line "&amp;A221&amp;")"</f>
        <v>(Sum of Line 31 + Line 32)</v>
      </c>
      <c r="D222" s="333"/>
      <c r="E222" s="306"/>
      <c r="F222" s="306"/>
      <c r="G222" s="306"/>
      <c r="H222" s="306"/>
      <c r="I222" s="1188">
        <f>I220+I221</f>
        <v>0</v>
      </c>
      <c r="J222" s="443"/>
      <c r="K222" s="333"/>
      <c r="N222" s="298"/>
      <c r="P222" s="298"/>
      <c r="Q222" s="298"/>
    </row>
    <row r="223" spans="1:17">
      <c r="A223" s="375"/>
      <c r="B223" s="345"/>
      <c r="C223" s="312"/>
      <c r="D223" s="333"/>
      <c r="E223" s="306"/>
      <c r="F223" s="306"/>
      <c r="G223" s="306"/>
      <c r="H223" s="306"/>
      <c r="I223" s="446"/>
      <c r="J223" s="441"/>
      <c r="K223" s="333"/>
      <c r="N223" s="298"/>
      <c r="P223" s="298"/>
      <c r="Q223" s="298"/>
    </row>
    <row r="224" spans="1:17">
      <c r="A224" s="375">
        <f>+A222+1</f>
        <v>34</v>
      </c>
      <c r="B224" s="1001" t="s">
        <v>721</v>
      </c>
      <c r="C224" s="312" t="str">
        <f>+"Appendix A Line "&amp;+'Appendix A'!A275&amp;" "&amp;$L$6&amp;" Column"</f>
        <v>Appendix A Line 180 True-Up Column</v>
      </c>
      <c r="D224" s="339"/>
      <c r="E224" s="306"/>
      <c r="F224" s="306"/>
      <c r="G224" s="447"/>
      <c r="H224" s="306"/>
      <c r="I224" s="320">
        <f>IF($L$10=0,'Appendix A'!H275,'Appendix A'!G275)</f>
        <v>1037915.786158758</v>
      </c>
      <c r="J224" s="441"/>
      <c r="K224" s="448"/>
      <c r="N224" s="298"/>
      <c r="P224" s="298"/>
      <c r="Q224" s="298"/>
    </row>
    <row r="225" spans="1:17">
      <c r="A225" s="375"/>
      <c r="B225" s="1001"/>
      <c r="C225" s="312"/>
      <c r="D225" s="339"/>
      <c r="E225" s="306"/>
      <c r="F225" s="306"/>
      <c r="G225" s="447"/>
      <c r="H225" s="306"/>
      <c r="I225" s="320"/>
      <c r="J225" s="441"/>
      <c r="K225" s="448"/>
      <c r="N225" s="298"/>
      <c r="P225" s="298"/>
      <c r="Q225" s="298"/>
    </row>
    <row r="226" spans="1:17">
      <c r="A226" s="375"/>
      <c r="B226" s="1001" t="s">
        <v>758</v>
      </c>
      <c r="C226" s="306"/>
      <c r="D226" s="306"/>
      <c r="E226" s="306"/>
      <c r="F226" s="306"/>
      <c r="G226" s="306"/>
      <c r="H226" s="306"/>
      <c r="I226" s="446"/>
      <c r="J226" s="441"/>
      <c r="K226" s="448"/>
      <c r="N226" s="298"/>
      <c r="P226" s="298"/>
      <c r="Q226" s="298"/>
    </row>
    <row r="227" spans="1:17">
      <c r="A227" s="375">
        <f>+A224+1</f>
        <v>35</v>
      </c>
      <c r="B227" s="751" t="s">
        <v>779</v>
      </c>
      <c r="C227" s="322" t="str">
        <f>+"Appendix A Line "&amp;+'Appendix A'!A284&amp;" "&amp;$L$6&amp;" Column"</f>
        <v>Appendix A Line 187 True-Up Column</v>
      </c>
      <c r="D227" s="339"/>
      <c r="E227" s="322"/>
      <c r="F227" s="322"/>
      <c r="G227" s="322"/>
      <c r="H227" s="322"/>
      <c r="I227" s="320">
        <f>IF($L$10=0,'Appendix A'!H284,'Appendix A'!G284)</f>
        <v>5723551.4400000004</v>
      </c>
      <c r="J227" s="450"/>
      <c r="K227" s="449"/>
      <c r="N227" s="298"/>
      <c r="P227" s="298"/>
      <c r="Q227" s="298"/>
    </row>
    <row r="228" spans="1:17">
      <c r="A228" s="375">
        <f>+A227+1</f>
        <v>36</v>
      </c>
      <c r="B228" s="752" t="s">
        <v>783</v>
      </c>
      <c r="C228" s="322" t="str">
        <f>+"Appendix A Line "&amp;+'Appendix A'!A285&amp;" "&amp;$L$6&amp;" Column"</f>
        <v>Appendix A Line 188 True-Up Column</v>
      </c>
      <c r="D228" s="322"/>
      <c r="E228" s="322"/>
      <c r="F228" s="322"/>
      <c r="G228" s="322"/>
      <c r="H228" s="322"/>
      <c r="I228" s="320">
        <f>IF($L$10=0,'Appendix A'!H285,'Appendix A'!G285)</f>
        <v>5673298.8485156428</v>
      </c>
      <c r="J228" s="450"/>
      <c r="K228" s="449"/>
      <c r="N228" s="298"/>
      <c r="P228" s="298"/>
      <c r="Q228" s="298"/>
    </row>
    <row r="229" spans="1:17">
      <c r="A229" s="375" t="s">
        <v>635</v>
      </c>
      <c r="B229" s="752" t="s">
        <v>722</v>
      </c>
      <c r="C229" s="322" t="str">
        <f>+"Appendix A Line "&amp;+'Appendix A'!A286&amp;" "&amp;$L$6&amp;" Column"</f>
        <v>Appendix A Line 189 True-Up Column</v>
      </c>
      <c r="D229" s="322"/>
      <c r="E229" s="322"/>
      <c r="F229" s="322"/>
      <c r="G229" s="322"/>
      <c r="H229" s="322"/>
      <c r="I229" s="320">
        <f>IF($L$10=0,'Appendix A'!H286,'Appendix A'!G286)</f>
        <v>0</v>
      </c>
      <c r="J229" s="450"/>
      <c r="K229" s="449"/>
      <c r="N229" s="298"/>
      <c r="P229" s="298"/>
      <c r="Q229" s="298"/>
    </row>
    <row r="230" spans="1:17" ht="13.8" thickBot="1">
      <c r="A230" s="375" t="s">
        <v>636</v>
      </c>
      <c r="B230" s="756" t="s">
        <v>723</v>
      </c>
      <c r="C230" s="425" t="str">
        <f>+"Appendix A Line "&amp;+'Appendix A'!A287&amp;" "&amp;$L$6&amp;" Column"</f>
        <v>Appendix A Line 190 True-Up Column</v>
      </c>
      <c r="D230" s="425"/>
      <c r="E230" s="425"/>
      <c r="F230" s="425"/>
      <c r="G230" s="425"/>
      <c r="H230" s="322"/>
      <c r="I230" s="444">
        <f>IF($L$10=0,'Appendix A'!H287,'Appendix A'!G287)</f>
        <v>0</v>
      </c>
      <c r="J230" s="450"/>
      <c r="K230" s="449"/>
      <c r="N230" s="298"/>
      <c r="P230" s="298"/>
      <c r="Q230" s="298"/>
    </row>
    <row r="231" spans="1:17">
      <c r="A231" s="375">
        <f>+A228+1</f>
        <v>37</v>
      </c>
      <c r="B231" s="878" t="s">
        <v>114</v>
      </c>
      <c r="C231" s="322" t="str">
        <f>+"(Line "&amp;A227&amp;" - Line "&amp;A228&amp;" - Line "&amp;A229&amp;" - Line "&amp;A230&amp;")"</f>
        <v>(Line 35 - Line 36 - Line 36a - Line 36b)</v>
      </c>
      <c r="D231" s="322"/>
      <c r="E231" s="322"/>
      <c r="F231" s="322"/>
      <c r="G231" s="322"/>
      <c r="H231" s="306"/>
      <c r="I231" s="451">
        <f>+I227-I228-I229-I230</f>
        <v>50252.591484357603</v>
      </c>
      <c r="J231" s="450"/>
      <c r="K231" s="450"/>
      <c r="N231" s="298"/>
      <c r="P231" s="298"/>
      <c r="Q231" s="298"/>
    </row>
    <row r="232" spans="1:17">
      <c r="A232" s="375"/>
      <c r="B232" s="339"/>
      <c r="C232" s="375"/>
      <c r="D232" s="322"/>
      <c r="E232" s="322"/>
      <c r="F232" s="322"/>
      <c r="G232" s="322"/>
      <c r="H232" s="306"/>
      <c r="I232" s="452"/>
      <c r="J232" s="450"/>
      <c r="K232" s="450"/>
      <c r="N232" s="298"/>
      <c r="P232" s="298"/>
      <c r="Q232" s="298"/>
    </row>
    <row r="233" spans="1:17">
      <c r="A233" s="339"/>
      <c r="B233" s="339" t="s">
        <v>406</v>
      </c>
      <c r="C233" s="339"/>
      <c r="D233" s="339"/>
      <c r="E233" s="339"/>
      <c r="F233" s="339"/>
      <c r="G233" s="339"/>
      <c r="H233" s="339"/>
      <c r="I233" s="339"/>
      <c r="J233" s="339"/>
      <c r="K233" s="339"/>
      <c r="N233" s="298"/>
      <c r="P233" s="298"/>
      <c r="Q233" s="298"/>
    </row>
    <row r="234" spans="1:17" ht="15.6">
      <c r="A234" s="375">
        <f>+A231+1</f>
        <v>38</v>
      </c>
      <c r="B234" s="757" t="s">
        <v>407</v>
      </c>
      <c r="C234" s="322" t="str">
        <f>+"Appendix A Line "&amp;+'Appendix A'!A222&amp;" "&amp;$L$6&amp;" Column"</f>
        <v>Appendix A Line 147 True-Up Column</v>
      </c>
      <c r="D234" s="407">
        <f>IF($L$10=0,'Appendix A'!H222,'Appendix A'!G222)</f>
        <v>0.35</v>
      </c>
      <c r="E234" s="453"/>
      <c r="F234" s="339"/>
      <c r="G234" s="453"/>
      <c r="H234" s="454"/>
      <c r="I234" s="454"/>
      <c r="J234" s="454"/>
      <c r="K234" s="454"/>
      <c r="N234" s="298"/>
      <c r="P234" s="298"/>
      <c r="Q234" s="298"/>
    </row>
    <row r="235" spans="1:17" ht="15.6">
      <c r="A235" s="375">
        <f>+A234+1</f>
        <v>39</v>
      </c>
      <c r="B235" s="757" t="s">
        <v>408</v>
      </c>
      <c r="C235" s="322" t="str">
        <f>+"Appendix A Line "&amp;+'Appendix A'!A223&amp;" "&amp;$L$6&amp;" Column"</f>
        <v>Appendix A Line 148 True-Up Column</v>
      </c>
      <c r="D235" s="407">
        <f>IF($L$10=0,'Appendix A'!H223,'Appendix A'!G223)</f>
        <v>0.08</v>
      </c>
      <c r="E235" s="339"/>
      <c r="F235" s="850" t="s">
        <v>409</v>
      </c>
      <c r="G235" s="453"/>
      <c r="H235" s="453"/>
      <c r="I235" s="453"/>
      <c r="J235" s="453"/>
      <c r="K235" s="453"/>
      <c r="L235" s="455"/>
      <c r="M235" s="455"/>
      <c r="N235" s="298"/>
      <c r="P235" s="298"/>
      <c r="Q235" s="298"/>
    </row>
    <row r="236" spans="1:17" ht="15.6">
      <c r="A236" s="375">
        <f>+A235+1</f>
        <v>40</v>
      </c>
      <c r="B236" s="757" t="s">
        <v>410</v>
      </c>
      <c r="C236" s="322" t="str">
        <f>+"Appendix A Line "&amp;+'Appendix A'!A224&amp;" "&amp;$L$6&amp;" Column"</f>
        <v>Appendix A Line 149 True-Up Column</v>
      </c>
      <c r="D236" s="407">
        <f>IF($L$10=0,'Appendix A'!H224,'Appendix A'!G224)</f>
        <v>1</v>
      </c>
      <c r="E236" s="339"/>
      <c r="F236" s="850" t="s">
        <v>590</v>
      </c>
      <c r="G236" s="453"/>
      <c r="H236" s="453"/>
      <c r="I236" s="453"/>
      <c r="J236" s="453"/>
      <c r="K236" s="453"/>
      <c r="L236" s="456"/>
      <c r="M236" s="456"/>
      <c r="N236" s="298"/>
      <c r="P236" s="298"/>
      <c r="Q236" s="298"/>
    </row>
    <row r="237" spans="1:17" ht="15.6">
      <c r="A237" s="339"/>
      <c r="B237" s="339"/>
      <c r="C237" s="339"/>
      <c r="D237" s="339"/>
      <c r="E237" s="339"/>
      <c r="F237" s="339"/>
      <c r="G237" s="339"/>
      <c r="H237" s="339"/>
      <c r="I237" s="339"/>
      <c r="J237" s="339"/>
      <c r="L237" s="456"/>
      <c r="M237" s="456"/>
    </row>
    <row r="238" spans="1:17">
      <c r="A238" s="339" t="s">
        <v>299</v>
      </c>
      <c r="B238" s="339"/>
      <c r="C238" s="339"/>
      <c r="D238" s="339"/>
      <c r="E238" s="339"/>
      <c r="F238" s="339"/>
      <c r="G238" s="339"/>
      <c r="H238" s="339"/>
      <c r="I238" s="339"/>
      <c r="J238" s="339"/>
    </row>
    <row r="239" spans="1:17">
      <c r="A239" s="1189" t="s">
        <v>171</v>
      </c>
      <c r="B239" s="339" t="s">
        <v>820</v>
      </c>
      <c r="C239" s="339"/>
      <c r="D239" s="339"/>
      <c r="E239" s="339"/>
      <c r="F239" s="339"/>
      <c r="G239" s="339"/>
      <c r="H239" s="339"/>
      <c r="I239" s="339"/>
      <c r="J239" s="339"/>
    </row>
    <row r="240" spans="1:17">
      <c r="A240" s="339"/>
      <c r="B240" s="339"/>
      <c r="C240" s="339"/>
      <c r="D240" s="339"/>
      <c r="E240" s="339"/>
      <c r="F240" s="339"/>
      <c r="G240" s="339"/>
      <c r="H240" s="339"/>
      <c r="I240" s="339"/>
      <c r="J240" s="339"/>
    </row>
  </sheetData>
  <mergeCells count="4">
    <mergeCell ref="A186:K186"/>
    <mergeCell ref="C137:C138"/>
    <mergeCell ref="L4:O5"/>
    <mergeCell ref="F63:G63"/>
  </mergeCells>
  <dataValidations count="1">
    <dataValidation type="list" allowBlank="1" showInputMessage="1" showErrorMessage="1" sqref="L6">
      <formula1>$L$8:$L$9</formula1>
    </dataValidation>
  </dataValidations>
  <pageMargins left="0.5" right="0.5" top="0.7" bottom="0.7" header="0.5" footer="0.5"/>
  <pageSetup scale="61" fitToHeight="6" orientation="landscape" r:id="rId1"/>
  <rowBreaks count="3" manualBreakCount="3">
    <brk id="53" max="10" man="1"/>
    <brk id="113" max="10" man="1"/>
    <brk id="175"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53"/>
  <sheetViews>
    <sheetView workbookViewId="0">
      <selection activeCell="L6" sqref="L6"/>
    </sheetView>
  </sheetViews>
  <sheetFormatPr defaultColWidth="8.88671875" defaultRowHeight="13.2"/>
  <cols>
    <col min="1" max="1" width="7.6640625" style="44" customWidth="1"/>
    <col min="2" max="2" width="39.5546875" style="44" customWidth="1"/>
    <col min="3" max="3" width="11" style="44" customWidth="1"/>
    <col min="4" max="4" width="20.44140625" style="44" customWidth="1"/>
    <col min="5" max="5" width="14.6640625" style="44" customWidth="1"/>
    <col min="6" max="16384" width="8.88671875" style="44"/>
  </cols>
  <sheetData>
    <row r="1" spans="1:12">
      <c r="A1" s="2072" t="str">
        <f>+'MISO Cover'!C6</f>
        <v>Entergy New Orleans, Inc.</v>
      </c>
      <c r="B1" s="2072"/>
      <c r="C1" s="2072"/>
      <c r="D1" s="2072"/>
      <c r="E1" s="2072"/>
    </row>
    <row r="2" spans="1:12">
      <c r="A2" s="2050" t="s">
        <v>1424</v>
      </c>
      <c r="B2" s="2050"/>
      <c r="C2" s="2050"/>
      <c r="D2" s="2050"/>
      <c r="E2" s="2050"/>
    </row>
    <row r="3" spans="1:12">
      <c r="A3" s="2133" t="str">
        <f>+'MISO Cover'!K4</f>
        <v>For  the 12 Months Ended 12/31/2016</v>
      </c>
      <c r="B3" s="2133"/>
      <c r="C3" s="2133"/>
      <c r="D3" s="2133"/>
      <c r="E3" s="2133"/>
      <c r="F3" s="812"/>
      <c r="G3" s="812"/>
      <c r="H3" s="812"/>
      <c r="I3" s="812"/>
      <c r="J3" s="812"/>
      <c r="K3" s="812"/>
      <c r="L3" s="812"/>
    </row>
    <row r="4" spans="1:12">
      <c r="A4" s="43"/>
      <c r="B4" s="560"/>
      <c r="C4" s="1978"/>
      <c r="D4" s="560"/>
      <c r="E4" s="43"/>
    </row>
    <row r="5" spans="1:12">
      <c r="A5" s="1629" t="s">
        <v>281</v>
      </c>
      <c r="B5" s="1650" t="s">
        <v>68</v>
      </c>
      <c r="C5" s="1643"/>
      <c r="D5" s="1650" t="s">
        <v>115</v>
      </c>
      <c r="E5" s="1650" t="s">
        <v>56</v>
      </c>
    </row>
    <row r="6" spans="1:12">
      <c r="A6" s="1629"/>
      <c r="C6" s="43"/>
      <c r="D6" s="2134" t="s">
        <v>96</v>
      </c>
      <c r="E6" s="2134"/>
    </row>
    <row r="7" spans="1:12" ht="13.2" customHeight="1">
      <c r="A7" s="1632">
        <v>1</v>
      </c>
      <c r="B7" s="1765" t="s">
        <v>257</v>
      </c>
      <c r="C7" s="1979"/>
      <c r="D7" s="1765" t="s">
        <v>1426</v>
      </c>
      <c r="E7" s="1765" t="s">
        <v>1351</v>
      </c>
    </row>
    <row r="8" spans="1:12" ht="15">
      <c r="A8" s="1632">
        <f>+A7+1</f>
        <v>2</v>
      </c>
      <c r="B8" s="1766" t="s">
        <v>173</v>
      </c>
      <c r="C8" s="1980"/>
      <c r="D8" s="1756"/>
    </row>
    <row r="9" spans="1:12" ht="13.2" customHeight="1">
      <c r="A9" s="1632">
        <f>+A8+0.01</f>
        <v>2.0099999999999998</v>
      </c>
      <c r="B9" s="44" t="s">
        <v>232</v>
      </c>
      <c r="C9" s="43"/>
      <c r="D9" s="1760"/>
      <c r="E9" s="1758">
        <v>0</v>
      </c>
      <c r="F9" s="43"/>
      <c r="G9" s="179"/>
      <c r="H9" s="179"/>
      <c r="I9" s="43"/>
      <c r="J9" s="43"/>
    </row>
    <row r="10" spans="1:12" ht="13.2" customHeight="1">
      <c r="A10" s="1632">
        <f t="shared" ref="A10:A21" si="0">+A9+0.01</f>
        <v>2.0199999999999996</v>
      </c>
      <c r="B10" s="44" t="s">
        <v>233</v>
      </c>
      <c r="C10" s="43"/>
      <c r="D10" s="1759">
        <v>1.7687473945371599E-2</v>
      </c>
      <c r="E10" s="1824">
        <v>629662.56999999995</v>
      </c>
      <c r="F10" s="43"/>
      <c r="G10" s="699"/>
    </row>
    <row r="11" spans="1:12" ht="13.2" customHeight="1">
      <c r="A11" s="1632">
        <f t="shared" si="0"/>
        <v>2.0299999999999994</v>
      </c>
      <c r="B11" s="44" t="s">
        <v>234</v>
      </c>
      <c r="C11" s="43"/>
      <c r="D11" s="1759">
        <v>6.6698008010035406E-2</v>
      </c>
      <c r="E11" s="1824">
        <v>12291.24</v>
      </c>
      <c r="F11" s="43"/>
      <c r="J11" s="1603"/>
    </row>
    <row r="12" spans="1:12" ht="13.2" customHeight="1">
      <c r="A12" s="1632">
        <f t="shared" si="0"/>
        <v>2.0399999999999991</v>
      </c>
      <c r="B12" s="44" t="s">
        <v>235</v>
      </c>
      <c r="C12" s="43"/>
      <c r="D12" s="1759">
        <v>0.200000071294818</v>
      </c>
      <c r="E12" s="1824">
        <v>301287.78000000003</v>
      </c>
      <c r="F12" s="43"/>
      <c r="J12" s="1603"/>
    </row>
    <row r="13" spans="1:12" ht="13.2" customHeight="1">
      <c r="A13" s="1632">
        <f t="shared" si="0"/>
        <v>2.0499999999999989</v>
      </c>
      <c r="B13" s="44" t="s">
        <v>236</v>
      </c>
      <c r="C13" s="43"/>
      <c r="D13" s="1759">
        <v>6.6700889152927503E-2</v>
      </c>
      <c r="E13" s="1824">
        <v>35982.839999999997</v>
      </c>
      <c r="F13" s="43"/>
      <c r="J13" s="1603"/>
    </row>
    <row r="14" spans="1:12" ht="13.2" customHeight="1">
      <c r="A14" s="1632">
        <f t="shared" si="0"/>
        <v>2.0599999999999987</v>
      </c>
      <c r="B14" s="44" t="s">
        <v>237</v>
      </c>
      <c r="C14" s="43"/>
      <c r="D14" s="1759">
        <v>0.12</v>
      </c>
      <c r="E14" s="1824">
        <v>0</v>
      </c>
      <c r="F14" s="43"/>
      <c r="J14" s="1603"/>
    </row>
    <row r="15" spans="1:12" ht="13.2" customHeight="1">
      <c r="A15" s="1632">
        <f t="shared" si="0"/>
        <v>2.0699999999999985</v>
      </c>
      <c r="B15" s="44" t="s">
        <v>238</v>
      </c>
      <c r="C15" s="43"/>
      <c r="D15" s="1759">
        <v>6.6694184067274204E-2</v>
      </c>
      <c r="E15" s="1824">
        <v>2017.92</v>
      </c>
      <c r="F15" s="43"/>
      <c r="J15" s="1603"/>
    </row>
    <row r="16" spans="1:12" ht="13.2" customHeight="1">
      <c r="A16" s="1632">
        <f t="shared" si="0"/>
        <v>2.0799999999999983</v>
      </c>
      <c r="B16" s="44" t="s">
        <v>239</v>
      </c>
      <c r="C16" s="43"/>
      <c r="D16" s="1759">
        <v>6.6699916570123696E-2</v>
      </c>
      <c r="E16" s="1824">
        <v>209101.34</v>
      </c>
      <c r="F16" s="43"/>
      <c r="J16" s="1603"/>
    </row>
    <row r="17" spans="1:10" ht="13.2" customHeight="1">
      <c r="A17" s="1632">
        <f t="shared" si="0"/>
        <v>2.0899999999999981</v>
      </c>
      <c r="B17" s="44" t="s">
        <v>240</v>
      </c>
      <c r="C17" s="43"/>
      <c r="D17" s="1759">
        <v>0.100001146060739</v>
      </c>
      <c r="E17" s="1824">
        <v>12696.12</v>
      </c>
      <c r="F17" s="43"/>
      <c r="J17" s="1603"/>
    </row>
    <row r="18" spans="1:10" ht="13.2" customHeight="1">
      <c r="A18" s="889">
        <f t="shared" si="0"/>
        <v>2.0999999999999979</v>
      </c>
      <c r="B18" s="44" t="s">
        <v>241</v>
      </c>
      <c r="C18" s="43"/>
      <c r="D18" s="1759">
        <v>6.6700286273739404E-2</v>
      </c>
      <c r="E18" s="1824">
        <v>0</v>
      </c>
      <c r="F18" s="43"/>
      <c r="J18" s="1603"/>
    </row>
    <row r="19" spans="1:10" ht="13.2" customHeight="1">
      <c r="A19" s="1632">
        <f t="shared" si="0"/>
        <v>2.1099999999999977</v>
      </c>
      <c r="B19" s="44" t="s">
        <v>242</v>
      </c>
      <c r="C19" s="43"/>
      <c r="D19" s="1759">
        <v>0.100000245250684</v>
      </c>
      <c r="E19" s="1824">
        <v>308227.15999999997</v>
      </c>
      <c r="F19" s="43"/>
      <c r="J19" s="1603"/>
    </row>
    <row r="20" spans="1:10" ht="13.2" customHeight="1">
      <c r="A20" s="1632">
        <f t="shared" si="0"/>
        <v>2.1199999999999974</v>
      </c>
      <c r="B20" s="44" t="s">
        <v>243</v>
      </c>
      <c r="C20" s="43"/>
      <c r="D20" s="1759">
        <v>6.6700043071107301E-2</v>
      </c>
      <c r="E20" s="1824">
        <v>65144.7</v>
      </c>
      <c r="F20" s="43"/>
      <c r="J20" s="1603"/>
    </row>
    <row r="21" spans="1:10" ht="13.2" customHeight="1">
      <c r="A21" s="1632">
        <f t="shared" si="0"/>
        <v>2.1299999999999972</v>
      </c>
      <c r="B21" s="44" t="s">
        <v>244</v>
      </c>
      <c r="C21" s="43"/>
      <c r="D21" s="1759">
        <v>0.100003489521057</v>
      </c>
      <c r="E21" s="1825">
        <v>14907.6</v>
      </c>
      <c r="F21" s="43"/>
      <c r="J21" s="1603"/>
    </row>
    <row r="22" spans="1:10" ht="13.2" customHeight="1">
      <c r="A22" s="1632">
        <f>+A21+0.01</f>
        <v>2.139999999999997</v>
      </c>
      <c r="B22" s="284" t="str">
        <f>+"Total "&amp;B8</f>
        <v>Total General Plant</v>
      </c>
      <c r="C22" s="574"/>
      <c r="D22" s="1760"/>
      <c r="E22" s="804">
        <f>SUM(E9:E21)</f>
        <v>1591319.27</v>
      </c>
    </row>
    <row r="23" spans="1:10" ht="13.2" customHeight="1">
      <c r="A23" s="1632">
        <f>+A8+1</f>
        <v>3</v>
      </c>
      <c r="C23" s="43"/>
      <c r="D23" s="1760"/>
      <c r="E23" s="804"/>
    </row>
    <row r="24" spans="1:10" ht="15">
      <c r="A24" s="1632">
        <f>+A23+1</f>
        <v>4</v>
      </c>
      <c r="B24" s="1766" t="s">
        <v>489</v>
      </c>
      <c r="C24" s="1980"/>
      <c r="D24" s="1651"/>
      <c r="E24" s="804"/>
    </row>
    <row r="25" spans="1:10" ht="13.2" customHeight="1">
      <c r="A25" s="1632">
        <f>+A24+0.01</f>
        <v>4.01</v>
      </c>
      <c r="B25" s="43" t="s">
        <v>1352</v>
      </c>
      <c r="C25" s="43"/>
      <c r="D25" s="1761">
        <v>6.6699999999999995E-2</v>
      </c>
      <c r="E25" s="1824">
        <v>428217.45</v>
      </c>
      <c r="F25" s="43"/>
    </row>
    <row r="26" spans="1:10" ht="13.2" customHeight="1">
      <c r="A26" s="1632">
        <f t="shared" ref="A26:A33" si="1">+A25+0.01</f>
        <v>4.0199999999999996</v>
      </c>
      <c r="B26" s="43" t="s">
        <v>272</v>
      </c>
      <c r="C26" s="43"/>
      <c r="D26" s="1761"/>
      <c r="E26" s="1824">
        <v>0</v>
      </c>
      <c r="F26" s="43"/>
    </row>
    <row r="27" spans="1:10" ht="13.2" customHeight="1">
      <c r="A27" s="1632">
        <f t="shared" si="1"/>
        <v>4.0299999999999994</v>
      </c>
      <c r="B27" s="43" t="s">
        <v>273</v>
      </c>
      <c r="C27" s="43"/>
      <c r="D27" s="1761"/>
      <c r="E27" s="1824">
        <v>0</v>
      </c>
      <c r="F27" s="43"/>
    </row>
    <row r="28" spans="1:10" ht="13.2" customHeight="1">
      <c r="A28" s="1632">
        <f t="shared" si="1"/>
        <v>4.0399999999999991</v>
      </c>
      <c r="B28" s="43" t="s">
        <v>274</v>
      </c>
      <c r="C28" s="43"/>
      <c r="D28" s="1761"/>
      <c r="E28" s="1824">
        <v>0</v>
      </c>
      <c r="F28" s="43"/>
    </row>
    <row r="29" spans="1:10" s="1604" customFormat="1" ht="13.2" customHeight="1">
      <c r="A29" s="1652">
        <f t="shared" si="1"/>
        <v>4.0499999999999989</v>
      </c>
      <c r="B29" s="1653" t="s">
        <v>1353</v>
      </c>
      <c r="C29" s="1653"/>
      <c r="D29" s="1762">
        <v>0.33329999999999999</v>
      </c>
      <c r="E29" s="1824">
        <v>650723.34</v>
      </c>
      <c r="F29" s="43"/>
    </row>
    <row r="30" spans="1:10" ht="13.2" customHeight="1">
      <c r="A30" s="1632">
        <f t="shared" si="1"/>
        <v>4.0599999999999987</v>
      </c>
      <c r="B30" s="43" t="s">
        <v>275</v>
      </c>
      <c r="C30" s="43"/>
      <c r="D30" s="1761">
        <v>0.2</v>
      </c>
      <c r="E30" s="1824">
        <v>1474045.73</v>
      </c>
      <c r="F30" s="43"/>
    </row>
    <row r="31" spans="1:10" ht="13.2" customHeight="1">
      <c r="A31" s="1632">
        <f t="shared" si="1"/>
        <v>4.0699999999999985</v>
      </c>
      <c r="B31" s="43" t="s">
        <v>276</v>
      </c>
      <c r="C31" s="43"/>
      <c r="D31" s="1761">
        <v>0.1</v>
      </c>
      <c r="E31" s="1824">
        <v>266658.19</v>
      </c>
      <c r="F31" s="43"/>
    </row>
    <row r="32" spans="1:10" s="1604" customFormat="1" ht="13.2" customHeight="1">
      <c r="A32" s="1652">
        <f t="shared" si="1"/>
        <v>4.0799999999999983</v>
      </c>
      <c r="B32" s="1653" t="s">
        <v>1354</v>
      </c>
      <c r="C32" s="1653"/>
      <c r="D32" s="1763">
        <v>6.6699999999999995E-2</v>
      </c>
      <c r="E32" s="1824">
        <v>1619991.76</v>
      </c>
      <c r="F32" s="43"/>
    </row>
    <row r="33" spans="1:9" s="1604" customFormat="1" ht="13.2" customHeight="1">
      <c r="A33" s="1652">
        <f t="shared" si="1"/>
        <v>4.0899999999999981</v>
      </c>
      <c r="B33" s="1653" t="s">
        <v>1355</v>
      </c>
      <c r="C33" s="1653"/>
      <c r="D33" s="1763">
        <v>0.05</v>
      </c>
      <c r="E33" s="1824">
        <v>175993.96</v>
      </c>
      <c r="F33" s="43"/>
    </row>
    <row r="34" spans="1:9" ht="13.2" customHeight="1">
      <c r="A34" s="1632">
        <f>+A32+0.01</f>
        <v>4.0899999999999981</v>
      </c>
      <c r="B34" s="43" t="s">
        <v>277</v>
      </c>
      <c r="C34" s="43"/>
      <c r="D34" s="1761"/>
      <c r="E34" s="1826">
        <v>0</v>
      </c>
      <c r="F34" s="43"/>
    </row>
    <row r="35" spans="1:9" ht="13.2" customHeight="1">
      <c r="A35" s="889">
        <f>+A34+0.01</f>
        <v>4.0999999999999979</v>
      </c>
      <c r="B35" s="574" t="str">
        <f>+"Total "&amp;B24</f>
        <v>Total Intangibles</v>
      </c>
      <c r="C35" s="574"/>
      <c r="D35" s="1761"/>
      <c r="E35" s="859">
        <f>SUM(E25:E34)</f>
        <v>4615630.43</v>
      </c>
    </row>
    <row r="36" spans="1:9" ht="13.2" customHeight="1">
      <c r="A36" s="1632">
        <f>+A24+1</f>
        <v>5</v>
      </c>
      <c r="B36" s="560"/>
      <c r="C36" s="1978"/>
      <c r="D36" s="1764"/>
      <c r="E36" s="256"/>
    </row>
    <row r="37" spans="1:9" ht="15">
      <c r="A37" s="1632">
        <f>+A36+1</f>
        <v>6</v>
      </c>
      <c r="B37" s="1766" t="s">
        <v>137</v>
      </c>
      <c r="C37" s="1980"/>
      <c r="D37" s="1757"/>
      <c r="E37" s="804"/>
    </row>
    <row r="38" spans="1:9" ht="13.2" customHeight="1">
      <c r="A38" s="1632">
        <f>+A37+0.01</f>
        <v>6.01</v>
      </c>
      <c r="B38" s="44" t="s">
        <v>245</v>
      </c>
      <c r="C38" s="43"/>
      <c r="D38" s="1760"/>
      <c r="E38" s="256">
        <v>0</v>
      </c>
    </row>
    <row r="39" spans="1:9" ht="13.2" customHeight="1">
      <c r="A39" s="1632">
        <f t="shared" ref="A39:A49" si="2">+A38+0.01</f>
        <v>6.02</v>
      </c>
      <c r="B39" s="44" t="s">
        <v>246</v>
      </c>
      <c r="C39" s="43"/>
      <c r="D39" s="1759">
        <v>1.00939358120791E-2</v>
      </c>
      <c r="E39" s="1824">
        <v>1805.88</v>
      </c>
      <c r="F39" s="43"/>
      <c r="I39" s="1603"/>
    </row>
    <row r="40" spans="1:9" ht="13.2" customHeight="1">
      <c r="A40" s="1632">
        <f t="shared" si="2"/>
        <v>6.0299999999999994</v>
      </c>
      <c r="B40" s="44" t="s">
        <v>247</v>
      </c>
      <c r="C40" s="43"/>
      <c r="D40" s="1759">
        <v>1.00939358120791E-2</v>
      </c>
      <c r="E40" s="1824">
        <v>3079.08</v>
      </c>
      <c r="F40" s="43"/>
      <c r="I40" s="1603"/>
    </row>
    <row r="41" spans="1:9" ht="13.2" customHeight="1">
      <c r="A41" s="1632">
        <f t="shared" si="2"/>
        <v>6.0399999999999991</v>
      </c>
      <c r="B41" s="44" t="s">
        <v>248</v>
      </c>
      <c r="C41" s="43"/>
      <c r="D41" s="1759">
        <v>9.9701967517218503E-3</v>
      </c>
      <c r="E41" s="1824">
        <v>34292.589999999997</v>
      </c>
      <c r="F41" s="43"/>
      <c r="I41" s="1603"/>
    </row>
    <row r="42" spans="1:9" ht="13.2" customHeight="1">
      <c r="A42" s="1632">
        <f t="shared" si="2"/>
        <v>6.0499999999999989</v>
      </c>
      <c r="B42" s="44" t="s">
        <v>249</v>
      </c>
      <c r="C42" s="43"/>
      <c r="D42" s="1759">
        <v>1.4909492781745999E-2</v>
      </c>
      <c r="E42" s="1824">
        <v>828271.99</v>
      </c>
      <c r="F42" s="43"/>
      <c r="I42" s="1603"/>
    </row>
    <row r="43" spans="1:9" ht="13.2" customHeight="1">
      <c r="A43" s="1632">
        <f t="shared" si="2"/>
        <v>6.0599999999999987</v>
      </c>
      <c r="B43" s="44" t="s">
        <v>250</v>
      </c>
      <c r="C43" s="43"/>
      <c r="D43" s="1759">
        <v>9.7400329241427493E-3</v>
      </c>
      <c r="E43" s="1824">
        <v>105180.96</v>
      </c>
      <c r="F43" s="43"/>
      <c r="I43" s="1603"/>
    </row>
    <row r="44" spans="1:9" ht="13.2" customHeight="1">
      <c r="A44" s="1632">
        <f t="shared" si="2"/>
        <v>6.0699999999999985</v>
      </c>
      <c r="B44" s="44" t="s">
        <v>251</v>
      </c>
      <c r="C44" s="43"/>
      <c r="D44" s="1759">
        <v>1.66003903330082E-2</v>
      </c>
      <c r="E44" s="1824">
        <v>504003.7</v>
      </c>
      <c r="F44" s="43"/>
      <c r="I44" s="1603"/>
    </row>
    <row r="45" spans="1:9" ht="13.2" customHeight="1">
      <c r="A45" s="1632">
        <f t="shared" si="2"/>
        <v>6.0799999999999983</v>
      </c>
      <c r="B45" s="44" t="s">
        <v>252</v>
      </c>
      <c r="C45" s="43"/>
      <c r="D45" s="1759">
        <v>1.7654944510680299E-2</v>
      </c>
      <c r="E45" s="1824">
        <v>678774.15</v>
      </c>
      <c r="F45" s="43"/>
      <c r="I45" s="1603"/>
    </row>
    <row r="46" spans="1:9" ht="13.2" customHeight="1">
      <c r="A46" s="1632">
        <f t="shared" si="2"/>
        <v>6.0899999999999981</v>
      </c>
      <c r="B46" s="44" t="s">
        <v>253</v>
      </c>
      <c r="C46" s="43"/>
      <c r="D46" s="1759">
        <v>1.7654944510680299E-2</v>
      </c>
      <c r="E46" s="1824">
        <v>1263.02</v>
      </c>
      <c r="F46" s="43"/>
      <c r="I46" s="1603"/>
    </row>
    <row r="47" spans="1:9" ht="13.2" customHeight="1">
      <c r="A47" s="889">
        <f t="shared" si="2"/>
        <v>6.0999999999999979</v>
      </c>
      <c r="B47" s="44" t="s">
        <v>254</v>
      </c>
      <c r="C47" s="43"/>
      <c r="D47" s="1759">
        <v>1.7654944510680299E-2</v>
      </c>
      <c r="E47" s="1824">
        <v>13726.8</v>
      </c>
      <c r="F47" s="43"/>
    </row>
    <row r="48" spans="1:9" ht="13.2" customHeight="1">
      <c r="A48" s="1632">
        <f t="shared" si="2"/>
        <v>6.1099999999999977</v>
      </c>
      <c r="B48" s="44" t="s">
        <v>255</v>
      </c>
      <c r="C48" s="43"/>
      <c r="D48" s="1759">
        <v>1.8200000000000001E-2</v>
      </c>
      <c r="E48" s="1824">
        <v>40982.639999999999</v>
      </c>
      <c r="F48" s="43"/>
    </row>
    <row r="49" spans="1:13" ht="13.2" customHeight="1">
      <c r="A49" s="1632">
        <f t="shared" si="2"/>
        <v>6.1199999999999974</v>
      </c>
      <c r="B49" s="44" t="s">
        <v>256</v>
      </c>
      <c r="C49" s="43"/>
      <c r="D49" s="1760">
        <v>0.02</v>
      </c>
      <c r="E49" s="1825">
        <v>76643.039999999994</v>
      </c>
      <c r="F49" s="43"/>
    </row>
    <row r="50" spans="1:13" ht="13.2" customHeight="1">
      <c r="A50" s="1632">
        <f>+A49+0.01</f>
        <v>6.1299999999999972</v>
      </c>
      <c r="B50" s="284" t="str">
        <f>+"Total "&amp;B37</f>
        <v>Total Transmission</v>
      </c>
      <c r="C50" s="574"/>
      <c r="D50" s="1757"/>
      <c r="E50" s="804">
        <f>SUM(E38:E49)</f>
        <v>2288023.85</v>
      </c>
    </row>
    <row r="51" spans="1:13" ht="13.2" customHeight="1">
      <c r="A51" s="1632"/>
      <c r="B51" s="1630"/>
      <c r="C51" s="1953"/>
      <c r="D51" s="1757"/>
      <c r="E51" s="804"/>
    </row>
    <row r="52" spans="1:13">
      <c r="A52" s="43" t="s">
        <v>299</v>
      </c>
      <c r="C52" s="43"/>
      <c r="D52" s="43"/>
      <c r="E52" s="804"/>
    </row>
    <row r="53" spans="1:13" ht="96.6" customHeight="1">
      <c r="A53" s="890" t="s">
        <v>171</v>
      </c>
      <c r="B53" s="2037" t="s">
        <v>1425</v>
      </c>
      <c r="C53" s="2037"/>
      <c r="D53" s="2037"/>
      <c r="E53" s="2037"/>
      <c r="F53" s="2037"/>
      <c r="G53" s="43"/>
      <c r="H53" s="43"/>
      <c r="I53" s="43"/>
      <c r="J53" s="43"/>
      <c r="K53" s="43"/>
      <c r="L53" s="43"/>
      <c r="M53" s="43"/>
    </row>
  </sheetData>
  <mergeCells count="5">
    <mergeCell ref="B53:F53"/>
    <mergeCell ref="A1:E1"/>
    <mergeCell ref="A2:E2"/>
    <mergeCell ref="A3:E3"/>
    <mergeCell ref="D6:E6"/>
  </mergeCells>
  <printOptions horizontalCentered="1"/>
  <pageMargins left="0.7" right="0.7" top="0.7" bottom="0.7" header="0.3" footer="0.5"/>
  <pageSetup scale="90" orientation="portrait" r:id="rId1"/>
  <headerFooter>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workbookViewId="0">
      <selection activeCell="L6" sqref="L6"/>
    </sheetView>
  </sheetViews>
  <sheetFormatPr defaultColWidth="8.88671875" defaultRowHeight="13.2"/>
  <cols>
    <col min="1" max="1" width="7.6640625" style="44" customWidth="1"/>
    <col min="2" max="2" width="47.44140625" style="44" customWidth="1"/>
    <col min="3" max="4" width="12.77734375" style="44" customWidth="1"/>
    <col min="5" max="16384" width="8.88671875" style="44"/>
  </cols>
  <sheetData>
    <row r="1" spans="1:11">
      <c r="A1" s="2072" t="s">
        <v>952</v>
      </c>
      <c r="B1" s="2072"/>
      <c r="C1" s="2072"/>
      <c r="D1" s="2072"/>
    </row>
    <row r="2" spans="1:11" ht="26.4" customHeight="1">
      <c r="A2" s="2051" t="s">
        <v>1636</v>
      </c>
      <c r="B2" s="2050"/>
      <c r="C2" s="2050"/>
      <c r="D2" s="2050"/>
    </row>
    <row r="3" spans="1:11">
      <c r="A3" s="2133" t="s">
        <v>1350</v>
      </c>
      <c r="B3" s="2133"/>
      <c r="C3" s="2133"/>
      <c r="D3" s="2133"/>
      <c r="E3" s="812"/>
      <c r="F3" s="812"/>
      <c r="G3" s="812"/>
      <c r="H3" s="812"/>
      <c r="I3" s="812"/>
      <c r="J3" s="812"/>
      <c r="K3" s="812"/>
    </row>
    <row r="4" spans="1:11">
      <c r="A4" s="43"/>
      <c r="B4" s="560"/>
      <c r="C4" s="560"/>
      <c r="D4" s="43"/>
    </row>
    <row r="5" spans="1:11">
      <c r="A5" s="1796" t="s">
        <v>281</v>
      </c>
      <c r="B5" s="1650" t="s">
        <v>68</v>
      </c>
      <c r="C5" s="1650" t="s">
        <v>115</v>
      </c>
      <c r="D5" s="1650" t="s">
        <v>56</v>
      </c>
    </row>
    <row r="6" spans="1:11">
      <c r="A6" s="1796"/>
      <c r="C6" s="2134" t="s">
        <v>1660</v>
      </c>
      <c r="D6" s="2134"/>
    </row>
    <row r="7" spans="1:11">
      <c r="A7" s="1800">
        <v>1</v>
      </c>
      <c r="B7" s="1823" t="s">
        <v>257</v>
      </c>
      <c r="C7" s="1822" t="s">
        <v>1426</v>
      </c>
      <c r="D7" s="1822" t="s">
        <v>1351</v>
      </c>
    </row>
    <row r="8" spans="1:11" ht="15">
      <c r="A8" s="1800">
        <f>+A7+1</f>
        <v>2</v>
      </c>
      <c r="B8" s="1766" t="s">
        <v>1637</v>
      </c>
      <c r="C8" s="187"/>
    </row>
    <row r="9" spans="1:11">
      <c r="A9" s="1800">
        <f>+A8+0.01</f>
        <v>2.0099999999999998</v>
      </c>
      <c r="B9" t="s">
        <v>1638</v>
      </c>
      <c r="C9" s="1827">
        <v>0</v>
      </c>
      <c r="D9" s="1258">
        <v>0</v>
      </c>
    </row>
    <row r="10" spans="1:11">
      <c r="A10" s="1800">
        <f t="shared" ref="A10:A27" si="0">+A9+0.01</f>
        <v>2.0199999999999996</v>
      </c>
      <c r="B10" t="s">
        <v>1639</v>
      </c>
      <c r="C10" s="1827">
        <v>3.09E-2</v>
      </c>
      <c r="D10" s="1258">
        <v>5433.2400000000007</v>
      </c>
      <c r="I10" s="1603"/>
    </row>
    <row r="11" spans="1:11">
      <c r="A11" s="1800">
        <f t="shared" si="0"/>
        <v>2.0299999999999994</v>
      </c>
      <c r="B11" t="s">
        <v>1640</v>
      </c>
      <c r="C11" s="1827">
        <v>3.09E-2</v>
      </c>
      <c r="D11" s="1258">
        <v>76545.100000000006</v>
      </c>
      <c r="I11" s="1603"/>
    </row>
    <row r="12" spans="1:11">
      <c r="A12" s="1800">
        <f t="shared" si="0"/>
        <v>2.0399999999999991</v>
      </c>
      <c r="B12" t="s">
        <v>1641</v>
      </c>
      <c r="C12" s="1827">
        <v>3.09E-2</v>
      </c>
      <c r="D12" s="1258">
        <v>2046738.0899999999</v>
      </c>
      <c r="I12" s="1603"/>
    </row>
    <row r="13" spans="1:11">
      <c r="A13" s="1800">
        <f t="shared" si="0"/>
        <v>2.0499999999999989</v>
      </c>
      <c r="B13" t="s">
        <v>1642</v>
      </c>
      <c r="C13" s="1827">
        <v>3.09E-2</v>
      </c>
      <c r="D13" s="1258">
        <v>2302226.9899999993</v>
      </c>
      <c r="I13" s="1603"/>
    </row>
    <row r="14" spans="1:11">
      <c r="A14" s="1800">
        <f t="shared" si="0"/>
        <v>2.0599999999999987</v>
      </c>
      <c r="B14" t="s">
        <v>1643</v>
      </c>
      <c r="C14" s="1827">
        <v>3.09E-2</v>
      </c>
      <c r="D14" s="1258">
        <v>1890632.1999999997</v>
      </c>
      <c r="I14" s="1603"/>
    </row>
    <row r="15" spans="1:11">
      <c r="A15" s="1800">
        <f t="shared" si="0"/>
        <v>2.0699999999999985</v>
      </c>
      <c r="B15" t="s">
        <v>1644</v>
      </c>
      <c r="C15" s="1827">
        <v>3.09E-2</v>
      </c>
      <c r="D15" s="1258">
        <v>892.75</v>
      </c>
      <c r="I15" s="1603"/>
    </row>
    <row r="16" spans="1:11">
      <c r="A16" s="1800">
        <f t="shared" si="0"/>
        <v>2.0799999999999983</v>
      </c>
      <c r="B16" t="s">
        <v>1645</v>
      </c>
      <c r="C16" s="1827">
        <v>3.09E-2</v>
      </c>
      <c r="D16" s="1258">
        <v>112174.29</v>
      </c>
      <c r="I16" s="1603"/>
    </row>
    <row r="17" spans="1:9">
      <c r="A17" s="1800">
        <f t="shared" si="0"/>
        <v>2.0899999999999981</v>
      </c>
      <c r="B17" t="s">
        <v>1646</v>
      </c>
      <c r="C17" s="1827">
        <v>3.09E-2</v>
      </c>
      <c r="D17" s="1258">
        <v>1220129.8599999999</v>
      </c>
      <c r="I17" s="1603"/>
    </row>
    <row r="18" spans="1:9">
      <c r="A18" s="889">
        <f t="shared" si="0"/>
        <v>2.0999999999999979</v>
      </c>
      <c r="B18" t="s">
        <v>1647</v>
      </c>
      <c r="C18" s="1827">
        <v>3.09E-2</v>
      </c>
      <c r="D18" s="1258">
        <v>2381131.9200000004</v>
      </c>
      <c r="I18" s="1603"/>
    </row>
    <row r="19" spans="1:9">
      <c r="A19" s="1800">
        <f t="shared" si="0"/>
        <v>2.1099999999999977</v>
      </c>
      <c r="B19" t="s">
        <v>1648</v>
      </c>
      <c r="C19" s="1827">
        <v>3.09E-2</v>
      </c>
      <c r="D19" s="1258">
        <v>3868207.9900000007</v>
      </c>
      <c r="I19" s="1603"/>
    </row>
    <row r="20" spans="1:9">
      <c r="A20" s="1800">
        <f t="shared" si="0"/>
        <v>2.1199999999999974</v>
      </c>
      <c r="B20" t="s">
        <v>1649</v>
      </c>
      <c r="C20" s="1827">
        <v>3.09E-2</v>
      </c>
      <c r="D20" s="1258">
        <v>2083756.12</v>
      </c>
      <c r="I20" s="1603"/>
    </row>
    <row r="21" spans="1:9">
      <c r="A21" s="1800">
        <f t="shared" si="0"/>
        <v>2.1299999999999972</v>
      </c>
      <c r="B21" t="s">
        <v>1650</v>
      </c>
      <c r="C21" s="1827">
        <v>3.09E-2</v>
      </c>
      <c r="D21" s="1258">
        <v>1665344.19</v>
      </c>
      <c r="I21" s="1603"/>
    </row>
    <row r="22" spans="1:9">
      <c r="A22" s="1800">
        <f t="shared" si="0"/>
        <v>2.139999999999997</v>
      </c>
      <c r="B22" t="s">
        <v>1651</v>
      </c>
      <c r="C22" s="1827">
        <v>3.09E-2</v>
      </c>
      <c r="D22" s="1258">
        <v>1148539.2599999998</v>
      </c>
      <c r="I22" s="1603"/>
    </row>
    <row r="23" spans="1:9">
      <c r="A23" s="1800">
        <f t="shared" si="0"/>
        <v>2.1499999999999968</v>
      </c>
      <c r="B23" t="s">
        <v>1652</v>
      </c>
      <c r="C23" s="1827">
        <v>3.09E-2</v>
      </c>
      <c r="D23" s="1258">
        <v>51966.48</v>
      </c>
      <c r="I23" s="1603"/>
    </row>
    <row r="24" spans="1:9">
      <c r="A24" s="1800">
        <f t="shared" si="0"/>
        <v>2.1599999999999966</v>
      </c>
      <c r="B24" t="s">
        <v>1653</v>
      </c>
      <c r="C24" s="1827">
        <v>3.09E-2</v>
      </c>
      <c r="D24" s="1258">
        <v>449990.06999999989</v>
      </c>
      <c r="I24" s="1603"/>
    </row>
    <row r="25" spans="1:9">
      <c r="A25" s="1800">
        <f t="shared" si="0"/>
        <v>2.1699999999999964</v>
      </c>
      <c r="B25" t="s">
        <v>1654</v>
      </c>
      <c r="C25" s="1827">
        <v>3.09E-2</v>
      </c>
      <c r="D25" s="1258">
        <v>155780.31</v>
      </c>
      <c r="I25" s="1603"/>
    </row>
    <row r="26" spans="1:9">
      <c r="A26" s="1800">
        <f t="shared" si="0"/>
        <v>2.1799999999999962</v>
      </c>
      <c r="B26" t="s">
        <v>1655</v>
      </c>
      <c r="C26" s="1827">
        <v>3.09E-2</v>
      </c>
      <c r="D26" s="1625">
        <v>438.97</v>
      </c>
      <c r="H26" s="44" t="s">
        <v>1656</v>
      </c>
      <c r="I26" s="1603"/>
    </row>
    <row r="27" spans="1:9">
      <c r="A27" s="1800">
        <f t="shared" si="0"/>
        <v>2.1899999999999959</v>
      </c>
      <c r="B27" s="1812" t="str">
        <f>+"Total "&amp;B8</f>
        <v>Total Distribution Plant</v>
      </c>
      <c r="C27" s="1760"/>
      <c r="D27" s="804">
        <f>SUM(D9:D26)</f>
        <v>19459927.829999998</v>
      </c>
      <c r="H27" s="804">
        <f>D27-'WP04 Support'!D11</f>
        <v>3.3527612686157227E-8</v>
      </c>
    </row>
    <row r="28" spans="1:9">
      <c r="A28" s="1800">
        <f>+A8+1</f>
        <v>3</v>
      </c>
      <c r="C28" s="1760"/>
      <c r="D28" s="804"/>
    </row>
    <row r="29" spans="1:9" ht="15">
      <c r="A29" s="1800"/>
      <c r="B29" s="1766"/>
      <c r="C29" s="1651"/>
      <c r="D29" s="804"/>
    </row>
    <row r="30" spans="1:9">
      <c r="A30" s="1800"/>
      <c r="B30" s="43"/>
      <c r="C30" s="1813"/>
      <c r="D30" s="78"/>
    </row>
    <row r="31" spans="1:9">
      <c r="A31" s="1800"/>
      <c r="B31" s="43"/>
      <c r="C31" s="1813"/>
      <c r="D31" s="78"/>
    </row>
    <row r="32" spans="1:9">
      <c r="A32" s="1800"/>
      <c r="B32" s="43"/>
      <c r="C32" s="1813"/>
      <c r="D32" s="78"/>
    </row>
    <row r="33" spans="1:8">
      <c r="A33" s="1800"/>
      <c r="B33" s="43"/>
      <c r="C33" s="1813"/>
      <c r="D33" s="78"/>
    </row>
    <row r="34" spans="1:8" s="1604" customFormat="1" ht="16.95" customHeight="1">
      <c r="A34" s="1652"/>
      <c r="B34" s="1653"/>
      <c r="C34" s="1814"/>
      <c r="D34" s="78"/>
    </row>
    <row r="35" spans="1:8">
      <c r="A35" s="1800"/>
      <c r="B35" s="43"/>
      <c r="C35" s="1815"/>
      <c r="D35" s="78"/>
    </row>
    <row r="36" spans="1:8">
      <c r="A36" s="1800"/>
      <c r="B36" s="43"/>
      <c r="C36" s="1815"/>
      <c r="D36" s="78"/>
    </row>
    <row r="37" spans="1:8" s="1604" customFormat="1" ht="16.95" customHeight="1">
      <c r="A37" s="1652"/>
      <c r="B37" s="1653"/>
      <c r="C37" s="1816"/>
      <c r="D37" s="78"/>
    </row>
    <row r="38" spans="1:8" s="1604" customFormat="1" ht="16.95" customHeight="1">
      <c r="A38" s="1652"/>
      <c r="B38" s="1653"/>
      <c r="C38" s="1816"/>
      <c r="D38" s="78"/>
    </row>
    <row r="39" spans="1:8">
      <c r="A39" s="1800"/>
      <c r="B39" s="43"/>
      <c r="C39" s="1813"/>
      <c r="D39" s="1605"/>
    </row>
    <row r="40" spans="1:8" ht="15">
      <c r="A40" s="889"/>
      <c r="B40" s="1817"/>
      <c r="C40" s="1813"/>
      <c r="D40" s="859"/>
    </row>
    <row r="41" spans="1:8">
      <c r="A41" s="1800"/>
      <c r="B41" s="560"/>
      <c r="C41" s="1818"/>
      <c r="D41" s="256"/>
    </row>
    <row r="42" spans="1:8">
      <c r="A42" s="1800"/>
      <c r="B42" s="1819"/>
      <c r="C42" s="179"/>
      <c r="D42" s="804"/>
    </row>
    <row r="43" spans="1:8">
      <c r="A43" s="1800"/>
      <c r="C43" s="498"/>
      <c r="D43" s="256"/>
    </row>
    <row r="44" spans="1:8">
      <c r="A44" s="1800"/>
      <c r="C44" s="1820"/>
      <c r="D44" s="256"/>
      <c r="H44" s="1603"/>
    </row>
    <row r="45" spans="1:8">
      <c r="A45" s="1800"/>
      <c r="C45" s="1820"/>
      <c r="D45" s="256"/>
      <c r="H45" s="1603"/>
    </row>
    <row r="46" spans="1:8">
      <c r="A46" s="1800"/>
      <c r="C46" s="1820"/>
      <c r="D46" s="256"/>
      <c r="H46" s="1603"/>
    </row>
    <row r="47" spans="1:8">
      <c r="A47" s="1800"/>
      <c r="C47" s="1820"/>
      <c r="D47" s="256"/>
      <c r="H47" s="1603"/>
    </row>
    <row r="48" spans="1:8">
      <c r="A48" s="1800"/>
      <c r="C48" s="1820"/>
      <c r="D48" s="256"/>
      <c r="H48" s="1603"/>
    </row>
    <row r="49" spans="1:12">
      <c r="A49" s="1800"/>
      <c r="C49" s="1820"/>
      <c r="D49" s="256"/>
      <c r="H49" s="1603"/>
    </row>
    <row r="50" spans="1:12">
      <c r="A50" s="1800"/>
      <c r="C50" s="1820"/>
      <c r="D50" s="256"/>
      <c r="H50" s="1603"/>
    </row>
    <row r="51" spans="1:12">
      <c r="A51" s="1800"/>
      <c r="C51" s="1820"/>
      <c r="D51" s="256"/>
      <c r="H51" s="1603"/>
    </row>
    <row r="52" spans="1:12">
      <c r="A52" s="889"/>
      <c r="C52" s="1820"/>
      <c r="D52" s="256"/>
    </row>
    <row r="53" spans="1:12">
      <c r="A53" s="1800"/>
      <c r="C53" s="1820"/>
      <c r="D53" s="256"/>
    </row>
    <row r="54" spans="1:12">
      <c r="A54" s="1800"/>
      <c r="C54" s="1821"/>
      <c r="D54" s="565"/>
    </row>
    <row r="55" spans="1:12" ht="15">
      <c r="A55" s="1800"/>
      <c r="B55" s="1817"/>
      <c r="C55" s="43"/>
      <c r="D55" s="804"/>
    </row>
    <row r="56" spans="1:12">
      <c r="A56" s="1800"/>
      <c r="B56" s="1795"/>
      <c r="C56" s="43"/>
      <c r="D56" s="804"/>
    </row>
    <row r="57" spans="1:12">
      <c r="A57" s="43"/>
      <c r="C57" s="43"/>
      <c r="D57" s="804"/>
    </row>
    <row r="58" spans="1:12" ht="108" customHeight="1">
      <c r="A58" s="890"/>
      <c r="B58" s="2037"/>
      <c r="C58" s="2037"/>
      <c r="D58" s="2037"/>
      <c r="E58" s="2037"/>
      <c r="F58" s="43"/>
      <c r="G58" s="43"/>
      <c r="H58" s="43"/>
      <c r="I58" s="43"/>
      <c r="J58" s="43"/>
      <c r="K58" s="43"/>
      <c r="L58" s="43"/>
    </row>
  </sheetData>
  <mergeCells count="5">
    <mergeCell ref="A1:D1"/>
    <mergeCell ref="A2:D2"/>
    <mergeCell ref="A3:D3"/>
    <mergeCell ref="C6:D6"/>
    <mergeCell ref="B58:E58"/>
  </mergeCells>
  <printOptions horizontalCentered="1"/>
  <pageMargins left="0.7" right="0.7" top="0.7" bottom="0.7" header="0.3" footer="0.5"/>
  <pageSetup orientation="portrait" r:id="rId1"/>
  <headerFooter>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52"/>
  <sheetViews>
    <sheetView zoomScale="80" zoomScaleNormal="80" workbookViewId="0">
      <selection activeCell="L6" sqref="L6"/>
    </sheetView>
  </sheetViews>
  <sheetFormatPr defaultColWidth="9.109375" defaultRowHeight="13.2"/>
  <cols>
    <col min="1" max="1" width="7" style="814" bestFit="1" customWidth="1"/>
    <col min="2" max="2" width="30.88671875" style="522" customWidth="1"/>
    <col min="3" max="7" width="10" style="522" bestFit="1" customWidth="1"/>
    <col min="8" max="9" width="10.44140625" style="522" bestFit="1" customWidth="1"/>
    <col min="10" max="14" width="11" style="522" bestFit="1" customWidth="1"/>
    <col min="15" max="15" width="9.6640625" style="522" bestFit="1" customWidth="1"/>
    <col min="16" max="16" width="9.33203125" style="522" bestFit="1" customWidth="1"/>
    <col min="17" max="17" width="13" style="522" bestFit="1" customWidth="1"/>
    <col min="18" max="16384" width="9.109375" style="522"/>
  </cols>
  <sheetData>
    <row r="1" spans="1:17">
      <c r="A1" s="2072" t="str">
        <f>+'MISO Cover'!C6</f>
        <v>Entergy New Orleans, Inc.</v>
      </c>
      <c r="B1" s="2072"/>
      <c r="C1" s="2072"/>
      <c r="D1" s="2072"/>
      <c r="E1" s="2072"/>
      <c r="F1" s="2072"/>
      <c r="G1" s="2072"/>
      <c r="H1" s="2072"/>
      <c r="I1" s="2072"/>
      <c r="J1" s="2072"/>
      <c r="K1" s="2072"/>
      <c r="L1" s="2072"/>
      <c r="M1" s="2072"/>
      <c r="N1" s="2072"/>
      <c r="O1" s="2072"/>
    </row>
    <row r="2" spans="1:17">
      <c r="A2" s="2076" t="s">
        <v>857</v>
      </c>
      <c r="B2" s="2076"/>
      <c r="C2" s="2076"/>
      <c r="D2" s="2076"/>
      <c r="E2" s="2076"/>
      <c r="F2" s="2076"/>
      <c r="G2" s="2076"/>
      <c r="H2" s="2076"/>
      <c r="I2" s="2076"/>
      <c r="J2" s="2076"/>
      <c r="K2" s="2076"/>
      <c r="L2" s="2076"/>
      <c r="M2" s="2076"/>
      <c r="N2" s="2076"/>
      <c r="O2" s="2076"/>
    </row>
    <row r="3" spans="1:17">
      <c r="A3" s="2133" t="str">
        <f>+'MISO Cover'!K4</f>
        <v>For  the 12 Months Ended 12/31/2016</v>
      </c>
      <c r="B3" s="2133"/>
      <c r="C3" s="2133"/>
      <c r="D3" s="2133"/>
      <c r="E3" s="2133"/>
      <c r="F3" s="2133"/>
      <c r="G3" s="2133"/>
      <c r="H3" s="2133"/>
      <c r="I3" s="2133"/>
      <c r="J3" s="2133"/>
      <c r="K3" s="2133"/>
      <c r="L3" s="2133"/>
      <c r="M3" s="2133"/>
      <c r="N3" s="2133"/>
      <c r="O3" s="2133"/>
      <c r="P3" s="178"/>
      <c r="Q3" s="178"/>
    </row>
    <row r="4" spans="1:17">
      <c r="B4" s="1571"/>
      <c r="C4" s="1571"/>
      <c r="D4" s="1571"/>
      <c r="E4" s="1571"/>
      <c r="F4" s="1571"/>
      <c r="G4" s="1571"/>
      <c r="H4" s="1571"/>
      <c r="I4" s="1571"/>
      <c r="J4" s="1571"/>
      <c r="K4" s="1571"/>
      <c r="L4" s="1571"/>
      <c r="M4" s="1571"/>
      <c r="N4" s="1571"/>
      <c r="O4" s="1571"/>
      <c r="P4" s="178"/>
      <c r="Q4" s="178"/>
    </row>
    <row r="5" spans="1:17">
      <c r="A5" s="814" t="s">
        <v>281</v>
      </c>
      <c r="B5" s="1571" t="s">
        <v>68</v>
      </c>
      <c r="C5" s="1571" t="s">
        <v>115</v>
      </c>
      <c r="D5" s="1571" t="s">
        <v>56</v>
      </c>
      <c r="E5" s="1571" t="s">
        <v>69</v>
      </c>
      <c r="F5" s="1571" t="s">
        <v>67</v>
      </c>
      <c r="G5" s="1571" t="s">
        <v>157</v>
      </c>
      <c r="H5" s="1571" t="s">
        <v>70</v>
      </c>
      <c r="I5" s="1571" t="s">
        <v>170</v>
      </c>
      <c r="J5" s="1571" t="s">
        <v>1282</v>
      </c>
      <c r="K5" s="1571" t="s">
        <v>437</v>
      </c>
      <c r="L5" s="1571" t="s">
        <v>1283</v>
      </c>
      <c r="M5" s="1571" t="s">
        <v>1284</v>
      </c>
      <c r="N5" s="1571" t="s">
        <v>1285</v>
      </c>
      <c r="O5" s="1571" t="s">
        <v>438</v>
      </c>
      <c r="P5" s="178"/>
    </row>
    <row r="6" spans="1:17">
      <c r="A6" s="1573"/>
      <c r="P6" s="178"/>
    </row>
    <row r="7" spans="1:17" ht="13.2" customHeight="1">
      <c r="A7" s="1573">
        <v>1</v>
      </c>
      <c r="B7" s="44" t="s">
        <v>1286</v>
      </c>
      <c r="C7" s="1574" t="s">
        <v>1287</v>
      </c>
      <c r="D7" s="44"/>
      <c r="E7" s="44"/>
      <c r="F7" s="44"/>
      <c r="G7" s="44"/>
      <c r="H7" s="44"/>
      <c r="I7" s="44"/>
      <c r="J7" s="44"/>
      <c r="K7" s="44"/>
      <c r="L7" s="44"/>
      <c r="M7" s="44"/>
      <c r="N7" s="44"/>
      <c r="O7" s="44"/>
    </row>
    <row r="8" spans="1:17" ht="13.2" customHeight="1">
      <c r="A8" s="1573">
        <f>+A7+1</f>
        <v>2</v>
      </c>
      <c r="B8" s="44" t="s">
        <v>1288</v>
      </c>
      <c r="C8" s="1572" t="s">
        <v>1289</v>
      </c>
      <c r="D8" s="43"/>
      <c r="E8" s="43"/>
      <c r="F8" s="43"/>
      <c r="G8" s="43"/>
      <c r="H8" s="43"/>
      <c r="I8" s="43"/>
      <c r="J8" s="43"/>
      <c r="K8" s="43"/>
      <c r="L8" s="43"/>
      <c r="M8" s="43"/>
      <c r="N8" s="43"/>
      <c r="O8" s="43"/>
    </row>
    <row r="9" spans="1:17">
      <c r="A9" s="1573">
        <f t="shared" ref="A9:A41" si="0">+A8+1</f>
        <v>3</v>
      </c>
      <c r="B9" s="44"/>
      <c r="C9" s="2135"/>
      <c r="D9" s="2135"/>
      <c r="E9" s="2135"/>
      <c r="F9" s="2135"/>
      <c r="G9" s="2135"/>
      <c r="H9" s="2135"/>
      <c r="I9" s="2135"/>
      <c r="J9" s="2135"/>
      <c r="K9" s="2135"/>
      <c r="L9" s="2135"/>
      <c r="M9" s="2135"/>
      <c r="N9" s="2135"/>
      <c r="O9" s="44"/>
    </row>
    <row r="10" spans="1:17">
      <c r="A10" s="1573">
        <f t="shared" si="0"/>
        <v>4</v>
      </c>
      <c r="B10" s="1575"/>
      <c r="C10" s="1576" t="s">
        <v>28</v>
      </c>
      <c r="D10" s="1576" t="s">
        <v>29</v>
      </c>
      <c r="E10" s="1576" t="s">
        <v>30</v>
      </c>
      <c r="F10" s="1576" t="s">
        <v>31</v>
      </c>
      <c r="G10" s="1576" t="s">
        <v>27</v>
      </c>
      <c r="H10" s="1576" t="s">
        <v>32</v>
      </c>
      <c r="I10" s="1576" t="s">
        <v>33</v>
      </c>
      <c r="J10" s="1576" t="s">
        <v>34</v>
      </c>
      <c r="K10" s="1576" t="s">
        <v>35</v>
      </c>
      <c r="L10" s="1576" t="s">
        <v>36</v>
      </c>
      <c r="M10" s="1576" t="s">
        <v>37</v>
      </c>
      <c r="N10" s="1576" t="s">
        <v>38</v>
      </c>
      <c r="O10" s="1576" t="s">
        <v>1290</v>
      </c>
    </row>
    <row r="11" spans="1:17">
      <c r="A11" s="1573">
        <f t="shared" si="0"/>
        <v>5</v>
      </c>
      <c r="B11" s="1575" t="s">
        <v>1291</v>
      </c>
      <c r="C11" s="1577">
        <v>11</v>
      </c>
      <c r="D11" s="1577">
        <v>5</v>
      </c>
      <c r="E11" s="1577">
        <v>15</v>
      </c>
      <c r="F11" s="1577">
        <v>26</v>
      </c>
      <c r="G11" s="1577">
        <v>25</v>
      </c>
      <c r="H11" s="1577">
        <v>17</v>
      </c>
      <c r="I11" s="1577">
        <v>20</v>
      </c>
      <c r="J11" s="1577">
        <v>6</v>
      </c>
      <c r="K11" s="1577">
        <v>1</v>
      </c>
      <c r="L11" s="1577">
        <v>6</v>
      </c>
      <c r="M11" s="1577">
        <v>4</v>
      </c>
      <c r="N11" s="1577">
        <v>19</v>
      </c>
      <c r="O11" s="1578"/>
    </row>
    <row r="12" spans="1:17">
      <c r="A12" s="1573">
        <f t="shared" si="0"/>
        <v>6</v>
      </c>
      <c r="B12" s="1575" t="s">
        <v>1292</v>
      </c>
      <c r="C12" s="1577">
        <v>800</v>
      </c>
      <c r="D12" s="1577">
        <v>800</v>
      </c>
      <c r="E12" s="1577">
        <v>1700</v>
      </c>
      <c r="F12" s="1577">
        <v>1700</v>
      </c>
      <c r="G12" s="1577">
        <v>1600</v>
      </c>
      <c r="H12" s="1577">
        <v>1700</v>
      </c>
      <c r="I12" s="1577">
        <v>1600</v>
      </c>
      <c r="J12" s="1577">
        <v>1600</v>
      </c>
      <c r="K12" s="1577">
        <v>1700</v>
      </c>
      <c r="L12" s="1577">
        <v>1700</v>
      </c>
      <c r="M12" s="1577">
        <v>1700</v>
      </c>
      <c r="N12" s="1577">
        <v>1100</v>
      </c>
      <c r="O12" s="1578"/>
    </row>
    <row r="13" spans="1:17">
      <c r="A13" s="1573">
        <f t="shared" si="0"/>
        <v>7</v>
      </c>
      <c r="B13" s="1575"/>
      <c r="C13" s="1578"/>
      <c r="D13" s="1578"/>
      <c r="E13" s="1578"/>
      <c r="F13" s="1578"/>
      <c r="G13" s="1578"/>
      <c r="H13" s="1578"/>
      <c r="I13" s="1578"/>
      <c r="J13" s="1578"/>
      <c r="K13" s="1578"/>
      <c r="L13" s="1578"/>
      <c r="M13" s="1578"/>
      <c r="N13" s="1578"/>
      <c r="O13" s="1578"/>
    </row>
    <row r="14" spans="1:17">
      <c r="A14" s="1573">
        <f t="shared" si="0"/>
        <v>8</v>
      </c>
      <c r="B14" s="1575" t="s">
        <v>1293</v>
      </c>
      <c r="C14" s="1578"/>
      <c r="D14" s="1578"/>
      <c r="E14" s="1578"/>
      <c r="F14" s="1578"/>
      <c r="G14" s="1578"/>
      <c r="H14" s="1578"/>
      <c r="I14" s="1578"/>
      <c r="J14" s="1578"/>
      <c r="K14" s="1578"/>
      <c r="L14" s="1578"/>
      <c r="M14" s="1578"/>
      <c r="N14" s="1578"/>
      <c r="O14" s="1578"/>
    </row>
    <row r="15" spans="1:17">
      <c r="A15" s="1579">
        <f>+A14+0.01</f>
        <v>8.01</v>
      </c>
      <c r="B15" s="1577" t="s">
        <v>1493</v>
      </c>
      <c r="C15" s="1580">
        <v>0</v>
      </c>
      <c r="D15" s="1581">
        <v>0</v>
      </c>
      <c r="E15" s="1581">
        <v>0</v>
      </c>
      <c r="F15" s="1581">
        <v>0</v>
      </c>
      <c r="G15" s="1581">
        <v>0</v>
      </c>
      <c r="H15" s="1581">
        <v>0</v>
      </c>
      <c r="I15" s="1581">
        <v>0</v>
      </c>
      <c r="J15" s="1581">
        <v>0</v>
      </c>
      <c r="K15" s="1580">
        <v>11.167</v>
      </c>
      <c r="L15" s="1581">
        <v>17.303999999999998</v>
      </c>
      <c r="M15" s="1581">
        <v>8.3840000000000003</v>
      </c>
      <c r="N15" s="1581">
        <v>7.3630000000000004</v>
      </c>
      <c r="O15" s="1582">
        <f t="shared" ref="O15:O18" si="1">+SUM(C15:N15)/12</f>
        <v>3.6848333333333332</v>
      </c>
    </row>
    <row r="16" spans="1:17">
      <c r="A16" s="1579">
        <f>+A15+0.01</f>
        <v>8.02</v>
      </c>
      <c r="B16" s="1577" t="s">
        <v>905</v>
      </c>
      <c r="C16" s="1580">
        <v>0</v>
      </c>
      <c r="D16" s="1581">
        <v>0</v>
      </c>
      <c r="E16" s="1581">
        <v>0</v>
      </c>
      <c r="F16" s="1581">
        <v>0</v>
      </c>
      <c r="G16" s="1581">
        <v>0</v>
      </c>
      <c r="H16" s="1581">
        <v>0</v>
      </c>
      <c r="I16" s="1581">
        <v>0</v>
      </c>
      <c r="J16" s="1581">
        <v>0</v>
      </c>
      <c r="K16" s="1580">
        <v>0</v>
      </c>
      <c r="L16" s="1581">
        <v>0</v>
      </c>
      <c r="M16" s="1581">
        <v>0</v>
      </c>
      <c r="N16" s="1581">
        <v>0</v>
      </c>
      <c r="O16" s="1582">
        <f t="shared" ref="O16" si="2">+SUM(C16:N16)/12</f>
        <v>0</v>
      </c>
    </row>
    <row r="17" spans="1:20">
      <c r="A17" s="1579" t="s">
        <v>899</v>
      </c>
      <c r="B17" s="1577" t="s">
        <v>905</v>
      </c>
      <c r="C17" s="1583">
        <v>0</v>
      </c>
      <c r="D17" s="1583">
        <v>0</v>
      </c>
      <c r="E17" s="1583">
        <v>0</v>
      </c>
      <c r="F17" s="1583">
        <v>0</v>
      </c>
      <c r="G17" s="1583">
        <v>0</v>
      </c>
      <c r="H17" s="1583">
        <v>0</v>
      </c>
      <c r="I17" s="1583">
        <v>0</v>
      </c>
      <c r="J17" s="1583">
        <v>0</v>
      </c>
      <c r="K17" s="1583">
        <v>0</v>
      </c>
      <c r="L17" s="1583">
        <v>0</v>
      </c>
      <c r="M17" s="1583">
        <v>0</v>
      </c>
      <c r="N17" s="1583">
        <v>0</v>
      </c>
      <c r="O17" s="1582">
        <f t="shared" si="1"/>
        <v>0</v>
      </c>
    </row>
    <row r="18" spans="1:20" ht="13.8" thickBot="1">
      <c r="A18" s="1579" t="s">
        <v>1294</v>
      </c>
      <c r="B18" s="1584" t="s">
        <v>905</v>
      </c>
      <c r="C18" s="1585">
        <v>0</v>
      </c>
      <c r="D18" s="1586">
        <v>0</v>
      </c>
      <c r="E18" s="1586">
        <v>0</v>
      </c>
      <c r="F18" s="1586">
        <v>0</v>
      </c>
      <c r="G18" s="1586">
        <v>0</v>
      </c>
      <c r="H18" s="1586">
        <v>0</v>
      </c>
      <c r="I18" s="1586">
        <v>0</v>
      </c>
      <c r="J18" s="1586">
        <v>0</v>
      </c>
      <c r="K18" s="1585">
        <v>0</v>
      </c>
      <c r="L18" s="1586">
        <v>0</v>
      </c>
      <c r="M18" s="1586">
        <v>0</v>
      </c>
      <c r="N18" s="1586">
        <v>0</v>
      </c>
      <c r="O18" s="1587">
        <f t="shared" si="1"/>
        <v>0</v>
      </c>
    </row>
    <row r="19" spans="1:20" ht="13.8" thickTop="1">
      <c r="A19" s="1573">
        <f>+A14+1</f>
        <v>9</v>
      </c>
      <c r="B19" s="1588" t="str">
        <f>+"Total "&amp;B14&amp;"  "&amp;A45</f>
        <v>Total Network Customers  (1)</v>
      </c>
      <c r="C19" s="1589">
        <f t="shared" ref="C19:O19" si="3">SUM(C15:C18)</f>
        <v>0</v>
      </c>
      <c r="D19" s="1589">
        <f t="shared" si="3"/>
        <v>0</v>
      </c>
      <c r="E19" s="1589">
        <f t="shared" si="3"/>
        <v>0</v>
      </c>
      <c r="F19" s="1589">
        <f t="shared" si="3"/>
        <v>0</v>
      </c>
      <c r="G19" s="1589">
        <f t="shared" si="3"/>
        <v>0</v>
      </c>
      <c r="H19" s="1589">
        <f t="shared" si="3"/>
        <v>0</v>
      </c>
      <c r="I19" s="1589">
        <f t="shared" si="3"/>
        <v>0</v>
      </c>
      <c r="J19" s="1589">
        <f t="shared" si="3"/>
        <v>0</v>
      </c>
      <c r="K19" s="1589">
        <f t="shared" si="3"/>
        <v>11.167</v>
      </c>
      <c r="L19" s="1589">
        <f t="shared" si="3"/>
        <v>17.303999999999998</v>
      </c>
      <c r="M19" s="1589">
        <f t="shared" si="3"/>
        <v>8.3840000000000003</v>
      </c>
      <c r="N19" s="1589">
        <f t="shared" si="3"/>
        <v>7.3630000000000004</v>
      </c>
      <c r="O19" s="1589">
        <f t="shared" si="3"/>
        <v>3.6848333333333332</v>
      </c>
    </row>
    <row r="20" spans="1:20">
      <c r="A20" s="1573">
        <f t="shared" si="0"/>
        <v>10</v>
      </c>
      <c r="B20" s="1590"/>
      <c r="C20" s="1589"/>
      <c r="D20" s="1589"/>
      <c r="E20" s="1589"/>
      <c r="F20" s="1589"/>
      <c r="G20" s="1589"/>
      <c r="H20" s="1589"/>
      <c r="I20" s="1589"/>
      <c r="J20" s="1589"/>
      <c r="K20" s="1589"/>
      <c r="L20" s="1589"/>
      <c r="M20" s="1589"/>
      <c r="N20" s="1589"/>
      <c r="O20" s="1589"/>
    </row>
    <row r="21" spans="1:20">
      <c r="A21" s="1573">
        <f t="shared" si="0"/>
        <v>11</v>
      </c>
      <c r="B21" s="1578" t="str">
        <f>+"Grandfathered Contracts "&amp;A46</f>
        <v>Grandfathered Contracts (2)</v>
      </c>
      <c r="C21" s="1591"/>
      <c r="D21" s="1582"/>
      <c r="E21" s="1582"/>
      <c r="F21" s="1582"/>
      <c r="G21" s="1582"/>
      <c r="H21" s="1582"/>
      <c r="I21" s="1582"/>
      <c r="J21" s="1582"/>
      <c r="K21" s="1591"/>
      <c r="L21" s="1582"/>
      <c r="M21" s="1582"/>
      <c r="N21" s="1582"/>
      <c r="O21" s="1582"/>
      <c r="Q21" s="178"/>
      <c r="R21" s="178"/>
      <c r="S21" s="178"/>
      <c r="T21" s="178"/>
    </row>
    <row r="22" spans="1:20">
      <c r="A22" s="1579">
        <f>+A21+0.01</f>
        <v>11.01</v>
      </c>
      <c r="B22" s="1577" t="s">
        <v>905</v>
      </c>
      <c r="C22" s="1580">
        <v>0</v>
      </c>
      <c r="D22" s="1581">
        <v>0</v>
      </c>
      <c r="E22" s="1581">
        <v>0</v>
      </c>
      <c r="F22" s="1581">
        <v>0</v>
      </c>
      <c r="G22" s="1581">
        <v>0</v>
      </c>
      <c r="H22" s="1581">
        <v>0</v>
      </c>
      <c r="I22" s="1581">
        <v>0</v>
      </c>
      <c r="J22" s="1581">
        <v>0</v>
      </c>
      <c r="K22" s="1580">
        <v>0</v>
      </c>
      <c r="L22" s="1581">
        <v>0</v>
      </c>
      <c r="M22" s="1581">
        <v>0</v>
      </c>
      <c r="N22" s="1581">
        <v>0</v>
      </c>
      <c r="O22" s="1582">
        <f>+SUM(C22:N22)/12</f>
        <v>0</v>
      </c>
      <c r="Q22" s="178"/>
      <c r="R22" s="178"/>
      <c r="S22" s="178"/>
      <c r="T22" s="178"/>
    </row>
    <row r="23" spans="1:20">
      <c r="A23" s="1579" t="s">
        <v>898</v>
      </c>
      <c r="B23" s="1577" t="s">
        <v>905</v>
      </c>
      <c r="C23" s="1580">
        <v>0</v>
      </c>
      <c r="D23" s="1581">
        <v>0</v>
      </c>
      <c r="E23" s="1581">
        <v>0</v>
      </c>
      <c r="F23" s="1581">
        <v>0</v>
      </c>
      <c r="G23" s="1581">
        <v>0</v>
      </c>
      <c r="H23" s="1581">
        <v>0</v>
      </c>
      <c r="I23" s="1581">
        <v>0</v>
      </c>
      <c r="J23" s="1581">
        <v>0</v>
      </c>
      <c r="K23" s="1580">
        <v>0</v>
      </c>
      <c r="L23" s="1581">
        <v>0</v>
      </c>
      <c r="M23" s="1581">
        <v>0</v>
      </c>
      <c r="N23" s="1581">
        <v>0</v>
      </c>
      <c r="O23" s="1582">
        <f>+SUM(C23:N23)/12</f>
        <v>0</v>
      </c>
      <c r="Q23" s="178"/>
      <c r="R23" s="178"/>
      <c r="S23" s="178"/>
      <c r="T23" s="178"/>
    </row>
    <row r="24" spans="1:20" ht="13.8" thickBot="1">
      <c r="A24" s="1579" t="s">
        <v>1295</v>
      </c>
      <c r="B24" s="1584" t="s">
        <v>905</v>
      </c>
      <c r="C24" s="1585">
        <v>0</v>
      </c>
      <c r="D24" s="1586">
        <v>0</v>
      </c>
      <c r="E24" s="1586">
        <v>0</v>
      </c>
      <c r="F24" s="1586">
        <v>0</v>
      </c>
      <c r="G24" s="1586">
        <v>0</v>
      </c>
      <c r="H24" s="1586">
        <v>0</v>
      </c>
      <c r="I24" s="1586">
        <v>0</v>
      </c>
      <c r="J24" s="1586">
        <v>0</v>
      </c>
      <c r="K24" s="1585">
        <v>0</v>
      </c>
      <c r="L24" s="1586">
        <v>0</v>
      </c>
      <c r="M24" s="1586">
        <v>0</v>
      </c>
      <c r="N24" s="1586">
        <v>0</v>
      </c>
      <c r="O24" s="1587">
        <f>+SUM(C24:N24)/12</f>
        <v>0</v>
      </c>
      <c r="Q24" s="178"/>
      <c r="R24" s="178"/>
      <c r="S24" s="178"/>
      <c r="T24" s="178"/>
    </row>
    <row r="25" spans="1:20" ht="13.8" thickTop="1">
      <c r="A25" s="1573">
        <f>+A21+1</f>
        <v>12</v>
      </c>
      <c r="B25" s="1588" t="str">
        <f>+"Total Grandfathered Contracts"&amp;"  "&amp;A47</f>
        <v>Total Grandfathered Contracts  (3)</v>
      </c>
      <c r="C25" s="1589">
        <f t="shared" ref="C25:O25" si="4">SUM(C22:C24)</f>
        <v>0</v>
      </c>
      <c r="D25" s="1589">
        <f t="shared" si="4"/>
        <v>0</v>
      </c>
      <c r="E25" s="1589">
        <f t="shared" si="4"/>
        <v>0</v>
      </c>
      <c r="F25" s="1589">
        <f t="shared" si="4"/>
        <v>0</v>
      </c>
      <c r="G25" s="1589">
        <f t="shared" si="4"/>
        <v>0</v>
      </c>
      <c r="H25" s="1589">
        <f t="shared" si="4"/>
        <v>0</v>
      </c>
      <c r="I25" s="1589">
        <f t="shared" si="4"/>
        <v>0</v>
      </c>
      <c r="J25" s="1589">
        <f t="shared" si="4"/>
        <v>0</v>
      </c>
      <c r="K25" s="1589">
        <f t="shared" si="4"/>
        <v>0</v>
      </c>
      <c r="L25" s="1589">
        <f t="shared" si="4"/>
        <v>0</v>
      </c>
      <c r="M25" s="1589">
        <f t="shared" si="4"/>
        <v>0</v>
      </c>
      <c r="N25" s="1589">
        <f t="shared" si="4"/>
        <v>0</v>
      </c>
      <c r="O25" s="1589">
        <f t="shared" si="4"/>
        <v>0</v>
      </c>
      <c r="Q25" s="178"/>
      <c r="R25" s="178"/>
      <c r="S25" s="178"/>
      <c r="T25" s="178"/>
    </row>
    <row r="26" spans="1:20">
      <c r="A26" s="1573">
        <f t="shared" si="0"/>
        <v>13</v>
      </c>
      <c r="B26" s="1590"/>
      <c r="C26" s="1589"/>
      <c r="D26" s="1589"/>
      <c r="E26" s="1589"/>
      <c r="F26" s="1589"/>
      <c r="G26" s="1589"/>
      <c r="H26" s="1589"/>
      <c r="I26" s="1589"/>
      <c r="J26" s="1589"/>
      <c r="K26" s="1589"/>
      <c r="L26" s="1589"/>
      <c r="M26" s="1589"/>
      <c r="N26" s="1589"/>
      <c r="O26" s="1589"/>
    </row>
    <row r="27" spans="1:20">
      <c r="A27" s="1573">
        <f t="shared" si="0"/>
        <v>14</v>
      </c>
      <c r="B27" s="1575" t="s">
        <v>1296</v>
      </c>
      <c r="C27" s="1591"/>
      <c r="D27" s="1582"/>
      <c r="E27" s="1582"/>
      <c r="F27" s="1582"/>
      <c r="G27" s="1582"/>
      <c r="H27" s="1582"/>
      <c r="I27" s="1582"/>
      <c r="J27" s="1582"/>
      <c r="K27" s="1591"/>
      <c r="L27" s="1582"/>
      <c r="M27" s="1582"/>
      <c r="N27" s="1582"/>
      <c r="O27" s="1582"/>
    </row>
    <row r="28" spans="1:20">
      <c r="A28" s="1592">
        <f>+A27+0.01</f>
        <v>14.01</v>
      </c>
      <c r="B28" s="1577" t="s">
        <v>905</v>
      </c>
      <c r="C28" s="1580">
        <v>0</v>
      </c>
      <c r="D28" s="1581">
        <v>0</v>
      </c>
      <c r="E28" s="1581">
        <v>0</v>
      </c>
      <c r="F28" s="1581">
        <v>0</v>
      </c>
      <c r="G28" s="1581">
        <v>0</v>
      </c>
      <c r="H28" s="1581">
        <v>0</v>
      </c>
      <c r="I28" s="1581">
        <v>0</v>
      </c>
      <c r="J28" s="1581">
        <v>0</v>
      </c>
      <c r="K28" s="1580">
        <v>0</v>
      </c>
      <c r="L28" s="1581">
        <v>0</v>
      </c>
      <c r="M28" s="1581">
        <v>0</v>
      </c>
      <c r="N28" s="1581">
        <v>0</v>
      </c>
      <c r="O28" s="1582">
        <f>+SUM(C28:N28)/12</f>
        <v>0</v>
      </c>
    </row>
    <row r="29" spans="1:20">
      <c r="A29" s="1592" t="s">
        <v>898</v>
      </c>
      <c r="B29" s="1577" t="s">
        <v>905</v>
      </c>
      <c r="C29" s="1580">
        <v>0</v>
      </c>
      <c r="D29" s="1581">
        <v>0</v>
      </c>
      <c r="E29" s="1581">
        <v>0</v>
      </c>
      <c r="F29" s="1581">
        <v>0</v>
      </c>
      <c r="G29" s="1581">
        <v>0</v>
      </c>
      <c r="H29" s="1581">
        <v>0</v>
      </c>
      <c r="I29" s="1581">
        <v>0</v>
      </c>
      <c r="J29" s="1581">
        <v>0</v>
      </c>
      <c r="K29" s="1580">
        <v>0</v>
      </c>
      <c r="L29" s="1581">
        <v>0</v>
      </c>
      <c r="M29" s="1581">
        <v>0</v>
      </c>
      <c r="N29" s="1581">
        <v>0</v>
      </c>
      <c r="O29" s="1582">
        <f>+SUM(C29:N29)/12</f>
        <v>0</v>
      </c>
    </row>
    <row r="30" spans="1:20" ht="13.8" thickBot="1">
      <c r="A30" s="1592" t="s">
        <v>1297</v>
      </c>
      <c r="B30" s="1584" t="s">
        <v>905</v>
      </c>
      <c r="C30" s="1585">
        <v>0</v>
      </c>
      <c r="D30" s="1586">
        <v>0</v>
      </c>
      <c r="E30" s="1586">
        <v>0</v>
      </c>
      <c r="F30" s="1586">
        <v>0</v>
      </c>
      <c r="G30" s="1586">
        <v>0</v>
      </c>
      <c r="H30" s="1586">
        <v>0</v>
      </c>
      <c r="I30" s="1586">
        <v>0</v>
      </c>
      <c r="J30" s="1586">
        <v>0</v>
      </c>
      <c r="K30" s="1585">
        <v>0</v>
      </c>
      <c r="L30" s="1586">
        <v>0</v>
      </c>
      <c r="M30" s="1586">
        <v>0</v>
      </c>
      <c r="N30" s="1586">
        <v>0</v>
      </c>
      <c r="O30" s="1587">
        <f>+SUM(C30:N30)/12</f>
        <v>0</v>
      </c>
    </row>
    <row r="31" spans="1:20" ht="13.8" thickTop="1">
      <c r="A31" s="1573">
        <f>+A27+1</f>
        <v>15</v>
      </c>
      <c r="B31" s="1588" t="str">
        <f>+"Total "&amp;B27&amp;"  "&amp;A48</f>
        <v>Total Long Term Firm PTP  (4)</v>
      </c>
      <c r="C31" s="1593">
        <f t="shared" ref="C31:O31" si="5">SUM(C28:C30)</f>
        <v>0</v>
      </c>
      <c r="D31" s="1593">
        <f t="shared" si="5"/>
        <v>0</v>
      </c>
      <c r="E31" s="1593">
        <f t="shared" si="5"/>
        <v>0</v>
      </c>
      <c r="F31" s="1593">
        <f t="shared" si="5"/>
        <v>0</v>
      </c>
      <c r="G31" s="1593">
        <f t="shared" si="5"/>
        <v>0</v>
      </c>
      <c r="H31" s="1593">
        <f t="shared" si="5"/>
        <v>0</v>
      </c>
      <c r="I31" s="1593">
        <f t="shared" si="5"/>
        <v>0</v>
      </c>
      <c r="J31" s="1593">
        <f t="shared" si="5"/>
        <v>0</v>
      </c>
      <c r="K31" s="1593">
        <f t="shared" si="5"/>
        <v>0</v>
      </c>
      <c r="L31" s="1593">
        <f t="shared" si="5"/>
        <v>0</v>
      </c>
      <c r="M31" s="1593">
        <f t="shared" si="5"/>
        <v>0</v>
      </c>
      <c r="N31" s="1593">
        <f t="shared" si="5"/>
        <v>0</v>
      </c>
      <c r="O31" s="1593">
        <f t="shared" si="5"/>
        <v>0</v>
      </c>
    </row>
    <row r="32" spans="1:20">
      <c r="A32" s="1573">
        <f t="shared" si="0"/>
        <v>16</v>
      </c>
      <c r="B32" s="1590"/>
      <c r="C32" s="1589"/>
      <c r="D32" s="1589"/>
      <c r="E32" s="1589"/>
      <c r="F32" s="1589"/>
      <c r="G32" s="1589"/>
      <c r="H32" s="1589"/>
      <c r="I32" s="1594"/>
      <c r="J32" s="1594"/>
      <c r="K32" s="1589"/>
      <c r="L32" s="1594"/>
      <c r="M32" s="1594"/>
      <c r="N32" s="1594"/>
      <c r="O32" s="1594"/>
    </row>
    <row r="33" spans="1:17">
      <c r="A33" s="1573">
        <f t="shared" si="0"/>
        <v>17</v>
      </c>
      <c r="B33" s="1575" t="s">
        <v>1298</v>
      </c>
      <c r="C33" s="1591"/>
      <c r="D33" s="1582"/>
      <c r="E33" s="1582"/>
      <c r="F33" s="1582"/>
      <c r="G33" s="1582"/>
      <c r="H33" s="1582"/>
      <c r="I33" s="1582"/>
      <c r="J33" s="1582"/>
      <c r="K33" s="1591"/>
      <c r="L33" s="1582"/>
      <c r="M33" s="1582"/>
      <c r="N33" s="1582"/>
      <c r="O33" s="1582"/>
    </row>
    <row r="34" spans="1:17">
      <c r="A34" s="1573">
        <f t="shared" si="0"/>
        <v>18</v>
      </c>
      <c r="B34" s="1575" t="s">
        <v>1299</v>
      </c>
      <c r="C34" s="1580">
        <v>901.10400000000004</v>
      </c>
      <c r="D34" s="1580">
        <v>853.101</v>
      </c>
      <c r="E34" s="1580">
        <v>816.78</v>
      </c>
      <c r="F34" s="1580">
        <v>836.67399999999998</v>
      </c>
      <c r="G34" s="1580">
        <v>941.78599999999994</v>
      </c>
      <c r="H34" s="1580">
        <v>1133.258</v>
      </c>
      <c r="I34" s="1580">
        <v>1141.8510000000001</v>
      </c>
      <c r="J34" s="1580">
        <v>1116.663</v>
      </c>
      <c r="K34" s="1580">
        <v>1128.8330000000001</v>
      </c>
      <c r="L34" s="1580">
        <v>943.69600000000003</v>
      </c>
      <c r="M34" s="1580">
        <v>821.61599999999999</v>
      </c>
      <c r="N34" s="1580">
        <v>913.63699999999994</v>
      </c>
      <c r="O34" s="1582">
        <f>+SUM(C34:N34)/12</f>
        <v>962.41658333333351</v>
      </c>
    </row>
    <row r="35" spans="1:17">
      <c r="A35" s="1573">
        <f t="shared" si="0"/>
        <v>19</v>
      </c>
      <c r="B35" s="1575"/>
      <c r="C35" s="1595"/>
      <c r="D35" s="1596"/>
      <c r="E35" s="1582"/>
      <c r="F35" s="1582"/>
      <c r="G35" s="1582"/>
      <c r="H35" s="1582"/>
      <c r="I35" s="1582"/>
      <c r="J35" s="1582"/>
      <c r="K35" s="1591"/>
      <c r="L35" s="1582"/>
      <c r="M35" s="1582"/>
      <c r="N35" s="1582"/>
      <c r="O35" s="1582"/>
    </row>
    <row r="36" spans="1:17">
      <c r="A36" s="1573">
        <f t="shared" si="0"/>
        <v>20</v>
      </c>
      <c r="B36" s="1575" t="s">
        <v>1300</v>
      </c>
      <c r="C36" s="1595"/>
      <c r="D36" s="1595"/>
      <c r="E36" s="1595"/>
      <c r="F36" s="1595"/>
      <c r="G36" s="1595"/>
      <c r="H36" s="1595"/>
      <c r="I36" s="1595"/>
      <c r="J36" s="1595"/>
      <c r="K36" s="1595"/>
      <c r="L36" s="1595"/>
      <c r="M36" s="1595"/>
      <c r="N36" s="1595"/>
      <c r="O36" s="1591"/>
    </row>
    <row r="37" spans="1:17">
      <c r="A37" s="1573">
        <f t="shared" si="0"/>
        <v>21</v>
      </c>
      <c r="B37" s="1578" t="str">
        <f>+"ENTO  "&amp;A49</f>
        <v>ENTO  (5)</v>
      </c>
      <c r="C37" s="1591">
        <f>C19+C25+C31+C34</f>
        <v>901.10400000000004</v>
      </c>
      <c r="D37" s="1591">
        <f t="shared" ref="D37:N37" si="6">D19+D25+D31+D34</f>
        <v>853.101</v>
      </c>
      <c r="E37" s="1591">
        <f t="shared" si="6"/>
        <v>816.78</v>
      </c>
      <c r="F37" s="1591">
        <f t="shared" si="6"/>
        <v>836.67399999999998</v>
      </c>
      <c r="G37" s="1591">
        <f t="shared" si="6"/>
        <v>941.78599999999994</v>
      </c>
      <c r="H37" s="1591">
        <f t="shared" si="6"/>
        <v>1133.258</v>
      </c>
      <c r="I37" s="1591">
        <f t="shared" si="6"/>
        <v>1141.8510000000001</v>
      </c>
      <c r="J37" s="1591">
        <f t="shared" si="6"/>
        <v>1116.663</v>
      </c>
      <c r="K37" s="1591">
        <f t="shared" si="6"/>
        <v>1140</v>
      </c>
      <c r="L37" s="1591">
        <f t="shared" si="6"/>
        <v>961</v>
      </c>
      <c r="M37" s="1591">
        <f t="shared" si="6"/>
        <v>830</v>
      </c>
      <c r="N37" s="1591">
        <f t="shared" si="6"/>
        <v>921</v>
      </c>
      <c r="O37" s="1591">
        <f>+SUM(C37:N37)/12</f>
        <v>966.10141666666675</v>
      </c>
    </row>
    <row r="38" spans="1:17">
      <c r="A38" s="1573">
        <f t="shared" si="0"/>
        <v>22</v>
      </c>
      <c r="B38" s="1590" t="str">
        <f>+"Reference  "&amp;A50</f>
        <v>Reference  (6)</v>
      </c>
      <c r="C38" s="1589" t="s">
        <v>1301</v>
      </c>
      <c r="D38" s="1589" t="s">
        <v>1302</v>
      </c>
      <c r="E38" s="1589" t="s">
        <v>1303</v>
      </c>
      <c r="F38" s="1589" t="s">
        <v>1304</v>
      </c>
      <c r="G38" s="1589" t="s">
        <v>1305</v>
      </c>
      <c r="H38" s="1589" t="s">
        <v>1306</v>
      </c>
      <c r="I38" s="1594" t="s">
        <v>1307</v>
      </c>
      <c r="J38" s="1594" t="s">
        <v>1308</v>
      </c>
      <c r="K38" s="1589" t="s">
        <v>1309</v>
      </c>
      <c r="L38" s="1594" t="s">
        <v>1310</v>
      </c>
      <c r="M38" s="1594" t="s">
        <v>1311</v>
      </c>
      <c r="N38" s="1594" t="s">
        <v>1312</v>
      </c>
      <c r="O38" s="1594"/>
    </row>
    <row r="39" spans="1:17">
      <c r="A39" s="1573">
        <f t="shared" si="0"/>
        <v>23</v>
      </c>
      <c r="B39" s="1588" t="s">
        <v>1313</v>
      </c>
      <c r="C39" s="1583">
        <v>0</v>
      </c>
      <c r="D39" s="1583">
        <v>0</v>
      </c>
      <c r="E39" s="1583">
        <v>0</v>
      </c>
      <c r="F39" s="1583">
        <v>0</v>
      </c>
      <c r="G39" s="1583">
        <v>0</v>
      </c>
      <c r="H39" s="1583">
        <v>0</v>
      </c>
      <c r="I39" s="1583">
        <v>0</v>
      </c>
      <c r="J39" s="1583">
        <v>0</v>
      </c>
      <c r="K39" s="1583">
        <v>0</v>
      </c>
      <c r="L39" s="1583">
        <v>0</v>
      </c>
      <c r="M39" s="1583">
        <v>0</v>
      </c>
      <c r="N39" s="1583">
        <v>0</v>
      </c>
      <c r="O39" s="1582">
        <f>+SUM(C39:N39)/12</f>
        <v>0</v>
      </c>
      <c r="P39" s="178"/>
    </row>
    <row r="40" spans="1:17">
      <c r="A40" s="1573">
        <f t="shared" si="0"/>
        <v>24</v>
      </c>
      <c r="B40" s="1590"/>
      <c r="C40" s="1589">
        <v>0</v>
      </c>
      <c r="D40" s="1589"/>
      <c r="E40" s="1589"/>
      <c r="F40" s="1589"/>
      <c r="G40" s="1589"/>
      <c r="H40" s="1589"/>
      <c r="I40" s="1594"/>
      <c r="J40" s="1594"/>
      <c r="K40" s="1589"/>
      <c r="L40" s="1594"/>
      <c r="M40" s="1594"/>
      <c r="N40" s="1594"/>
      <c r="O40" s="1594"/>
      <c r="P40" s="178"/>
    </row>
    <row r="41" spans="1:17">
      <c r="A41" s="1573">
        <f t="shared" si="0"/>
        <v>25</v>
      </c>
      <c r="B41" s="1578" t="str">
        <f>+"Load For Rate Development (8) "</f>
        <v xml:space="preserve">Load For Rate Development (8) </v>
      </c>
      <c r="C41" s="1591">
        <f>+C37+C39</f>
        <v>901.10400000000004</v>
      </c>
      <c r="D41" s="1591">
        <f t="shared" ref="D41:N41" si="7">+D37+D39</f>
        <v>853.101</v>
      </c>
      <c r="E41" s="1591">
        <f t="shared" si="7"/>
        <v>816.78</v>
      </c>
      <c r="F41" s="1591">
        <f t="shared" si="7"/>
        <v>836.67399999999998</v>
      </c>
      <c r="G41" s="1591">
        <f t="shared" si="7"/>
        <v>941.78599999999994</v>
      </c>
      <c r="H41" s="1591">
        <f t="shared" si="7"/>
        <v>1133.258</v>
      </c>
      <c r="I41" s="1591">
        <f t="shared" si="7"/>
        <v>1141.8510000000001</v>
      </c>
      <c r="J41" s="1591">
        <f t="shared" si="7"/>
        <v>1116.663</v>
      </c>
      <c r="K41" s="1591">
        <f t="shared" si="7"/>
        <v>1140</v>
      </c>
      <c r="L41" s="1591">
        <f t="shared" si="7"/>
        <v>961</v>
      </c>
      <c r="M41" s="1591">
        <f t="shared" si="7"/>
        <v>830</v>
      </c>
      <c r="N41" s="1591">
        <f t="shared" si="7"/>
        <v>921</v>
      </c>
      <c r="O41" s="1591">
        <f>+SUM(C41:N41)/12</f>
        <v>966.10141666666675</v>
      </c>
      <c r="Q41" s="1981"/>
    </row>
    <row r="42" spans="1:17">
      <c r="A42" s="1573"/>
      <c r="B42" s="43"/>
      <c r="C42" s="43"/>
      <c r="D42" s="43"/>
      <c r="E42" s="43"/>
      <c r="F42" s="43"/>
      <c r="G42" s="43"/>
      <c r="H42" s="43"/>
      <c r="I42" s="43"/>
      <c r="J42" s="43"/>
      <c r="K42" s="43"/>
      <c r="L42" s="43"/>
      <c r="M42" s="43"/>
      <c r="N42" s="43"/>
      <c r="O42" s="43"/>
    </row>
    <row r="43" spans="1:17">
      <c r="A43" s="1573"/>
      <c r="B43" s="43"/>
      <c r="C43" s="43"/>
      <c r="D43" s="43"/>
      <c r="E43" s="43"/>
      <c r="F43" s="43"/>
      <c r="G43" s="43"/>
      <c r="H43" s="43"/>
      <c r="I43" s="43"/>
      <c r="J43" s="43"/>
      <c r="K43" s="43"/>
      <c r="L43" s="43"/>
      <c r="M43" s="43"/>
      <c r="N43" s="43"/>
      <c r="O43" s="43"/>
    </row>
    <row r="44" spans="1:17">
      <c r="A44" s="1572" t="s">
        <v>299</v>
      </c>
      <c r="B44" s="178"/>
      <c r="C44" s="43"/>
      <c r="D44" s="43"/>
      <c r="E44" s="43"/>
      <c r="F44" s="43"/>
      <c r="G44" s="43"/>
      <c r="H44" s="43"/>
      <c r="I44" s="43"/>
      <c r="J44" s="43"/>
      <c r="K44" s="43"/>
      <c r="L44" s="43"/>
      <c r="M44" s="43"/>
      <c r="N44" s="43"/>
      <c r="O44" s="43"/>
    </row>
    <row r="45" spans="1:17">
      <c r="A45" s="855" t="s">
        <v>171</v>
      </c>
      <c r="B45" s="1597" t="str">
        <f>+"Sum (Ln "&amp;A14&amp;" Subparts)"</f>
        <v>Sum (Ln 8 Subparts)</v>
      </c>
      <c r="C45" s="43"/>
      <c r="D45" s="43"/>
      <c r="E45" s="43"/>
      <c r="F45" s="43"/>
      <c r="G45" s="43"/>
      <c r="H45" s="43"/>
      <c r="I45" s="43"/>
      <c r="J45" s="43"/>
      <c r="K45" s="43"/>
      <c r="L45" s="43"/>
      <c r="M45" s="43"/>
      <c r="N45" s="43"/>
      <c r="O45" s="43"/>
    </row>
    <row r="46" spans="1:17">
      <c r="A46" s="855" t="s">
        <v>320</v>
      </c>
      <c r="B46" s="2037" t="s">
        <v>1314</v>
      </c>
      <c r="C46" s="2037"/>
      <c r="D46" s="2037"/>
      <c r="E46" s="2037"/>
      <c r="F46" s="2037"/>
      <c r="G46" s="2037"/>
      <c r="H46" s="2037"/>
      <c r="I46" s="2037"/>
      <c r="J46" s="2037"/>
      <c r="K46" s="2037"/>
      <c r="L46" s="2037"/>
      <c r="M46" s="2037"/>
      <c r="N46" s="2037"/>
      <c r="O46" s="2037"/>
    </row>
    <row r="47" spans="1:17">
      <c r="A47" s="855" t="s">
        <v>321</v>
      </c>
      <c r="B47" s="1597" t="str">
        <f>+"Sum (Ln "&amp;A21&amp;" Subparts)"</f>
        <v>Sum (Ln 11 Subparts)</v>
      </c>
      <c r="C47" s="43"/>
      <c r="D47" s="43"/>
      <c r="E47" s="43"/>
      <c r="F47" s="43"/>
      <c r="G47" s="43"/>
      <c r="H47" s="43"/>
      <c r="I47" s="43"/>
      <c r="J47" s="43"/>
      <c r="K47" s="43"/>
      <c r="L47" s="43"/>
      <c r="M47" s="43"/>
      <c r="N47" s="43"/>
      <c r="O47" s="43"/>
    </row>
    <row r="48" spans="1:17">
      <c r="A48" s="855" t="s">
        <v>322</v>
      </c>
      <c r="B48" s="1597" t="str">
        <f>+"Sum (Ln "&amp;A27&amp;" Subparts)"</f>
        <v>Sum (Ln 14 Subparts)</v>
      </c>
      <c r="C48" s="43"/>
      <c r="D48" s="43"/>
      <c r="E48" s="43"/>
      <c r="F48" s="43"/>
      <c r="G48" s="43"/>
      <c r="H48" s="43"/>
      <c r="I48" s="43"/>
      <c r="J48" s="43"/>
      <c r="K48" s="43"/>
      <c r="L48" s="43"/>
      <c r="M48" s="43"/>
      <c r="N48" s="43"/>
      <c r="O48" s="43"/>
    </row>
    <row r="49" spans="1:15">
      <c r="A49" s="855" t="s">
        <v>323</v>
      </c>
      <c r="B49" s="813" t="str">
        <f>+"Sum (Ln "&amp;A19&amp;" + "&amp;A25&amp;" + "&amp;A31&amp;" + "&amp;A34&amp;")"</f>
        <v>Sum (Ln 9 + 12 + 15 + 18)</v>
      </c>
      <c r="C49" s="43"/>
      <c r="D49" s="43"/>
      <c r="E49" s="43"/>
      <c r="F49" s="43"/>
      <c r="G49" s="43"/>
      <c r="H49" s="43"/>
      <c r="I49" s="43"/>
      <c r="J49" s="43"/>
      <c r="K49" s="43"/>
      <c r="L49" s="43"/>
      <c r="M49" s="43"/>
      <c r="N49" s="43"/>
      <c r="O49" s="43"/>
    </row>
    <row r="50" spans="1:15">
      <c r="A50" s="855" t="s">
        <v>696</v>
      </c>
      <c r="B50" s="43" t="s">
        <v>1315</v>
      </c>
      <c r="C50" s="43"/>
      <c r="D50" s="43"/>
      <c r="E50" s="43"/>
      <c r="F50" s="43"/>
      <c r="G50" s="43"/>
      <c r="H50" s="43"/>
      <c r="I50" s="43"/>
      <c r="J50" s="43"/>
      <c r="K50" s="43"/>
      <c r="L50" s="43"/>
      <c r="M50" s="43"/>
      <c r="N50" s="43"/>
      <c r="O50" s="43"/>
    </row>
    <row r="51" spans="1:15">
      <c r="A51" s="855" t="s">
        <v>698</v>
      </c>
      <c r="B51" s="43" t="s">
        <v>1316</v>
      </c>
      <c r="C51" s="43"/>
      <c r="D51" s="43"/>
      <c r="E51" s="43"/>
      <c r="F51" s="43"/>
      <c r="G51" s="43"/>
      <c r="H51" s="43"/>
      <c r="I51" s="43"/>
      <c r="J51" s="43"/>
      <c r="K51" s="43"/>
      <c r="L51" s="43"/>
      <c r="M51" s="43"/>
      <c r="N51" s="43"/>
      <c r="O51" s="43"/>
    </row>
    <row r="52" spans="1:15">
      <c r="A52" s="855" t="s">
        <v>1317</v>
      </c>
      <c r="B52" s="813" t="str">
        <f>+"Sum (Ln "&amp;A37&amp;" + "&amp;A39&amp;")"</f>
        <v>Sum (Ln 21 + 23)</v>
      </c>
    </row>
  </sheetData>
  <mergeCells count="5">
    <mergeCell ref="C9:N9"/>
    <mergeCell ref="B46:O46"/>
    <mergeCell ref="A1:O1"/>
    <mergeCell ref="A2:O2"/>
    <mergeCell ref="A3:O3"/>
  </mergeCells>
  <printOptions horizontalCentered="1"/>
  <pageMargins left="0.5" right="0.5" top="0.5" bottom="0.75" header="0.3" footer="0.5"/>
  <pageSetup scale="74" orientation="landscape" r:id="rId1"/>
  <headerFoot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30"/>
  <sheetViews>
    <sheetView topLeftCell="A3" zoomScale="90" zoomScaleNormal="90" workbookViewId="0">
      <selection activeCell="L6" sqref="L6"/>
    </sheetView>
  </sheetViews>
  <sheetFormatPr defaultColWidth="9.109375" defaultRowHeight="13.2"/>
  <cols>
    <col min="1" max="1" width="5.88671875" style="823" customWidth="1"/>
    <col min="2" max="2" width="7.6640625" style="816" bestFit="1" customWidth="1"/>
    <col min="3" max="3" width="29.44140625" style="816" bestFit="1" customWidth="1"/>
    <col min="4" max="16" width="12.6640625" style="816" customWidth="1"/>
    <col min="17" max="17" width="12.88671875" style="816" bestFit="1" customWidth="1"/>
    <col min="18" max="19" width="6.88671875" style="816" customWidth="1"/>
    <col min="20" max="20" width="23.33203125" style="816" bestFit="1" customWidth="1"/>
    <col min="21" max="21" width="27.44140625" style="816" bestFit="1" customWidth="1"/>
    <col min="22" max="22" width="23.33203125" style="816" bestFit="1" customWidth="1"/>
    <col min="23" max="23" width="27.44140625" style="816" bestFit="1" customWidth="1"/>
    <col min="24" max="24" width="23.33203125" style="816" bestFit="1" customWidth="1"/>
    <col min="25" max="25" width="27.44140625" style="816" bestFit="1" customWidth="1"/>
    <col min="26" max="26" width="23.33203125" style="816" bestFit="1" customWidth="1"/>
    <col min="27" max="27" width="32.6640625" style="816" bestFit="1" customWidth="1"/>
    <col min="28" max="28" width="28.5546875" style="816" bestFit="1" customWidth="1"/>
    <col min="29" max="29" width="32.6640625" style="816" bestFit="1" customWidth="1"/>
    <col min="30" max="30" width="28.5546875" style="816" bestFit="1" customWidth="1"/>
    <col min="31" max="16384" width="9.109375" style="816"/>
  </cols>
  <sheetData>
    <row r="1" spans="1:20" s="44" customFormat="1">
      <c r="A1" s="2038" t="str">
        <f>+'MISO Cover'!C6</f>
        <v>Entergy New Orleans, Inc.</v>
      </c>
      <c r="B1" s="2038"/>
      <c r="C1" s="2038"/>
      <c r="D1" s="2038"/>
      <c r="E1" s="2038"/>
      <c r="F1" s="2038"/>
      <c r="G1" s="2038"/>
      <c r="H1" s="2038"/>
      <c r="I1" s="2038"/>
      <c r="J1" s="2038"/>
      <c r="K1" s="2038"/>
      <c r="L1" s="2038"/>
      <c r="M1" s="2038"/>
      <c r="N1" s="2038"/>
      <c r="O1" s="2038"/>
      <c r="P1" s="2038"/>
      <c r="Q1" s="2038"/>
    </row>
    <row r="2" spans="1:20" s="44" customFormat="1">
      <c r="A2" s="2039" t="s">
        <v>840</v>
      </c>
      <c r="B2" s="2039"/>
      <c r="C2" s="2039"/>
      <c r="D2" s="2039"/>
      <c r="E2" s="2039"/>
      <c r="F2" s="2039"/>
      <c r="G2" s="2039"/>
      <c r="H2" s="2039"/>
      <c r="I2" s="2039"/>
      <c r="J2" s="2039"/>
      <c r="K2" s="2039"/>
      <c r="L2" s="2039"/>
      <c r="M2" s="2039"/>
      <c r="N2" s="2039"/>
      <c r="O2" s="2039"/>
      <c r="P2" s="2039"/>
      <c r="Q2" s="2039"/>
    </row>
    <row r="3" spans="1:20" s="44" customFormat="1">
      <c r="A3" s="2038" t="str">
        <f>+'MISO Cover'!K4</f>
        <v>For  the 12 Months Ended 12/31/2016</v>
      </c>
      <c r="B3" s="2038"/>
      <c r="C3" s="2038"/>
      <c r="D3" s="2038"/>
      <c r="E3" s="2038"/>
      <c r="F3" s="2038"/>
      <c r="G3" s="2038"/>
      <c r="H3" s="2038"/>
      <c r="I3" s="2038"/>
      <c r="J3" s="2038"/>
      <c r="K3" s="2038"/>
      <c r="L3" s="2038"/>
      <c r="M3" s="2038"/>
      <c r="N3" s="2038"/>
      <c r="O3" s="2038"/>
      <c r="P3" s="2038"/>
      <c r="Q3" s="2038"/>
    </row>
    <row r="4" spans="1:20" s="44" customFormat="1">
      <c r="A4" s="763"/>
      <c r="B4" s="763"/>
      <c r="C4" s="763"/>
      <c r="D4" s="763"/>
      <c r="E4" s="763"/>
      <c r="F4" s="763"/>
      <c r="G4" s="763"/>
      <c r="H4" s="763"/>
      <c r="I4" s="763"/>
      <c r="J4" s="763"/>
      <c r="K4" s="763"/>
      <c r="L4" s="763"/>
      <c r="M4" s="763"/>
      <c r="N4" s="763"/>
      <c r="O4" s="763"/>
      <c r="P4" s="763"/>
      <c r="Q4" s="763"/>
    </row>
    <row r="5" spans="1:20" s="763" customFormat="1">
      <c r="A5" s="763" t="s">
        <v>281</v>
      </c>
      <c r="B5" s="763" t="s">
        <v>68</v>
      </c>
      <c r="C5" s="763" t="s">
        <v>115</v>
      </c>
      <c r="D5" s="763" t="s">
        <v>56</v>
      </c>
      <c r="E5" s="763" t="s">
        <v>69</v>
      </c>
      <c r="F5" s="763" t="s">
        <v>67</v>
      </c>
      <c r="G5" s="763" t="s">
        <v>157</v>
      </c>
      <c r="H5" s="763" t="s">
        <v>70</v>
      </c>
      <c r="I5" s="763" t="s">
        <v>170</v>
      </c>
      <c r="J5" s="763" t="s">
        <v>60</v>
      </c>
      <c r="K5" s="763" t="s">
        <v>437</v>
      </c>
      <c r="L5" s="763" t="s">
        <v>72</v>
      </c>
      <c r="M5" s="763" t="s">
        <v>99</v>
      </c>
      <c r="N5" s="763" t="s">
        <v>100</v>
      </c>
      <c r="O5" s="763" t="s">
        <v>158</v>
      </c>
      <c r="P5" s="763" t="s">
        <v>224</v>
      </c>
      <c r="Q5" s="763" t="s">
        <v>225</v>
      </c>
    </row>
    <row r="6" spans="1:20" s="44" customFormat="1">
      <c r="A6" s="891">
        <v>1</v>
      </c>
      <c r="B6" s="187"/>
      <c r="C6" s="187"/>
      <c r="D6" s="187"/>
      <c r="E6" s="187"/>
      <c r="F6" s="187"/>
      <c r="G6" s="187"/>
      <c r="H6" s="187"/>
      <c r="I6" s="187"/>
      <c r="J6" s="187"/>
      <c r="K6" s="187"/>
      <c r="L6" s="187"/>
      <c r="M6" s="187"/>
      <c r="N6" s="187"/>
      <c r="O6" s="187"/>
      <c r="P6" s="187"/>
      <c r="Q6" s="2136" t="s">
        <v>598</v>
      </c>
    </row>
    <row r="7" spans="1:20">
      <c r="A7" s="892">
        <f>1+A6</f>
        <v>2</v>
      </c>
      <c r="B7" s="1471" t="s">
        <v>174</v>
      </c>
      <c r="C7" s="1514" t="s">
        <v>270</v>
      </c>
      <c r="D7" s="1472" t="s">
        <v>38</v>
      </c>
      <c r="E7" s="1472" t="s">
        <v>28</v>
      </c>
      <c r="F7" s="1472" t="s">
        <v>29</v>
      </c>
      <c r="G7" s="1472" t="s">
        <v>30</v>
      </c>
      <c r="H7" s="1472" t="s">
        <v>31</v>
      </c>
      <c r="I7" s="1472" t="s">
        <v>27</v>
      </c>
      <c r="J7" s="1472" t="s">
        <v>32</v>
      </c>
      <c r="K7" s="1472" t="s">
        <v>33</v>
      </c>
      <c r="L7" s="1472" t="s">
        <v>34</v>
      </c>
      <c r="M7" s="1472" t="s">
        <v>35</v>
      </c>
      <c r="N7" s="1472" t="s">
        <v>36</v>
      </c>
      <c r="O7" s="1472" t="s">
        <v>37</v>
      </c>
      <c r="P7" s="1472" t="s">
        <v>38</v>
      </c>
      <c r="Q7" s="2137"/>
      <c r="T7" s="1753" t="s">
        <v>1562</v>
      </c>
    </row>
    <row r="8" spans="1:20">
      <c r="A8" s="893">
        <f>+A7+0.01</f>
        <v>2.0099999999999998</v>
      </c>
      <c r="B8" s="187" t="s">
        <v>1209</v>
      </c>
      <c r="C8" s="179"/>
      <c r="D8" s="1569">
        <v>39115.719999771063</v>
      </c>
      <c r="E8" s="1569">
        <v>39877.189999769871</v>
      </c>
      <c r="F8" s="1569">
        <v>45277.629999776786</v>
      </c>
      <c r="G8" s="1569">
        <v>74714.249999771404</v>
      </c>
      <c r="H8" s="1569">
        <v>114551.63999978545</v>
      </c>
      <c r="I8" s="1569">
        <v>142583.06999978799</v>
      </c>
      <c r="J8" s="1569">
        <v>158230.98999979036</v>
      </c>
      <c r="K8" s="1569">
        <v>170592.78999978924</v>
      </c>
      <c r="L8" s="1569">
        <v>177541.09999977113</v>
      </c>
      <c r="M8" s="1569">
        <v>180822.73999978663</v>
      </c>
      <c r="N8" s="1569">
        <v>180822.73999978663</v>
      </c>
      <c r="O8" s="1569">
        <v>210906.2299997943</v>
      </c>
      <c r="P8" s="1569">
        <v>210906.2299997943</v>
      </c>
      <c r="Q8" s="817">
        <f t="shared" ref="Q8:Q24" si="0">SUM(D8:P8)/13</f>
        <v>134303.2553843981</v>
      </c>
      <c r="R8" s="818"/>
      <c r="T8" s="1754"/>
    </row>
    <row r="9" spans="1:20">
      <c r="A9" s="893">
        <f>+A8+0.01</f>
        <v>2.0199999999999996</v>
      </c>
      <c r="B9" s="187" t="s">
        <v>1210</v>
      </c>
      <c r="C9" s="179"/>
      <c r="D9" s="1347">
        <v>0</v>
      </c>
      <c r="E9" s="1347">
        <v>0</v>
      </c>
      <c r="F9" s="1347">
        <v>0</v>
      </c>
      <c r="G9" s="1347">
        <v>0</v>
      </c>
      <c r="H9" s="1347">
        <v>0</v>
      </c>
      <c r="I9" s="1347">
        <v>0</v>
      </c>
      <c r="J9" s="1347">
        <v>0</v>
      </c>
      <c r="K9" s="1347">
        <v>0</v>
      </c>
      <c r="L9" s="1347">
        <v>0</v>
      </c>
      <c r="M9" s="1347">
        <v>0</v>
      </c>
      <c r="N9" s="1347">
        <v>0</v>
      </c>
      <c r="O9" s="1347">
        <v>0</v>
      </c>
      <c r="P9" s="1347">
        <v>0</v>
      </c>
      <c r="Q9" s="817">
        <f t="shared" si="0"/>
        <v>0</v>
      </c>
      <c r="R9" s="818"/>
      <c r="T9" s="1754"/>
    </row>
    <row r="10" spans="1:20">
      <c r="A10" s="1477">
        <f>+A9+0.01</f>
        <v>2.0299999999999994</v>
      </c>
      <c r="B10" s="1567" t="s">
        <v>1211</v>
      </c>
      <c r="C10" s="179"/>
      <c r="D10" s="1347">
        <v>0</v>
      </c>
      <c r="E10" s="1347">
        <v>0</v>
      </c>
      <c r="F10" s="1347">
        <v>0</v>
      </c>
      <c r="G10" s="1347">
        <v>0</v>
      </c>
      <c r="H10" s="1347">
        <v>0</v>
      </c>
      <c r="I10" s="1347">
        <v>0</v>
      </c>
      <c r="J10" s="1347">
        <v>0</v>
      </c>
      <c r="K10" s="1347">
        <v>0</v>
      </c>
      <c r="L10" s="1347">
        <v>0</v>
      </c>
      <c r="M10" s="1347">
        <v>0</v>
      </c>
      <c r="N10" s="1347">
        <v>0</v>
      </c>
      <c r="O10" s="1347">
        <v>0</v>
      </c>
      <c r="P10" s="1347">
        <v>0</v>
      </c>
      <c r="Q10" s="817">
        <f t="shared" si="0"/>
        <v>0</v>
      </c>
      <c r="R10" s="818"/>
      <c r="T10" s="1754"/>
    </row>
    <row r="11" spans="1:20">
      <c r="A11" s="1477">
        <f t="shared" ref="A11:A22" si="1">+A10+0.01</f>
        <v>2.0399999999999991</v>
      </c>
      <c r="B11" s="1567" t="s">
        <v>1212</v>
      </c>
      <c r="C11" s="179"/>
      <c r="D11" s="1347">
        <v>0</v>
      </c>
      <c r="E11" s="1347">
        <v>0</v>
      </c>
      <c r="F11" s="1347">
        <v>0</v>
      </c>
      <c r="G11" s="1347">
        <v>0</v>
      </c>
      <c r="H11" s="1347">
        <v>0</v>
      </c>
      <c r="I11" s="1347">
        <v>0</v>
      </c>
      <c r="J11" s="1347">
        <v>0</v>
      </c>
      <c r="K11" s="1347">
        <v>0</v>
      </c>
      <c r="L11" s="1347">
        <v>0</v>
      </c>
      <c r="M11" s="1347">
        <v>0</v>
      </c>
      <c r="N11" s="1347">
        <v>0</v>
      </c>
      <c r="O11" s="1347">
        <v>0</v>
      </c>
      <c r="P11" s="1347">
        <v>0</v>
      </c>
      <c r="Q11" s="817">
        <f t="shared" si="0"/>
        <v>0</v>
      </c>
      <c r="R11" s="818"/>
      <c r="T11" s="1754"/>
    </row>
    <row r="12" spans="1:20">
      <c r="A12" s="1477">
        <f t="shared" si="1"/>
        <v>2.0499999999999989</v>
      </c>
      <c r="B12" s="187" t="s">
        <v>1213</v>
      </c>
      <c r="C12" s="179"/>
      <c r="D12" s="1347">
        <v>-39115.72</v>
      </c>
      <c r="E12" s="1347">
        <v>-39877.19</v>
      </c>
      <c r="F12" s="1347">
        <v>-45277.63</v>
      </c>
      <c r="G12" s="1347">
        <v>-74714.25</v>
      </c>
      <c r="H12" s="1347">
        <v>-114551.64</v>
      </c>
      <c r="I12" s="1347">
        <v>-142583.07</v>
      </c>
      <c r="J12" s="1347">
        <v>-158230.99</v>
      </c>
      <c r="K12" s="1347">
        <v>-170592.79</v>
      </c>
      <c r="L12" s="1347">
        <v>-177541.1</v>
      </c>
      <c r="M12" s="1347">
        <v>-180822.74</v>
      </c>
      <c r="N12" s="1347">
        <v>-180822.74</v>
      </c>
      <c r="O12" s="1347">
        <v>-210906.23</v>
      </c>
      <c r="P12" s="1347">
        <v>-210906.23</v>
      </c>
      <c r="Q12" s="817">
        <f t="shared" si="0"/>
        <v>-134303.25538461539</v>
      </c>
      <c r="R12" s="818"/>
      <c r="T12" s="1754"/>
    </row>
    <row r="13" spans="1:20">
      <c r="A13" s="1477">
        <f t="shared" si="1"/>
        <v>2.0599999999999987</v>
      </c>
      <c r="B13" s="1568" t="s">
        <v>1214</v>
      </c>
      <c r="C13" s="179"/>
      <c r="D13" s="1347">
        <v>-80851839.829999998</v>
      </c>
      <c r="E13" s="1347">
        <v>-80865717.810000002</v>
      </c>
      <c r="F13" s="1347">
        <v>-80891099.079999998</v>
      </c>
      <c r="G13" s="1347">
        <v>-80917757.200000003</v>
      </c>
      <c r="H13" s="1347">
        <v>-80946786.700000003</v>
      </c>
      <c r="I13" s="1347">
        <v>-80975497.609999999</v>
      </c>
      <c r="J13" s="1347">
        <v>-81004824.540000007</v>
      </c>
      <c r="K13" s="1347">
        <v>-81033015.319999993</v>
      </c>
      <c r="L13" s="1347">
        <v>-81057593.170000002</v>
      </c>
      <c r="M13" s="1347">
        <v>-81077029.219999984</v>
      </c>
      <c r="N13" s="1347">
        <v>-81096748.039999992</v>
      </c>
      <c r="O13" s="1347">
        <v>-81117372.920000002</v>
      </c>
      <c r="P13" s="1347">
        <v>-81137702.329999998</v>
      </c>
      <c r="Q13" s="817">
        <f t="shared" si="0"/>
        <v>-80997921.828461528</v>
      </c>
      <c r="R13" s="818"/>
      <c r="T13" s="1755" t="s">
        <v>1563</v>
      </c>
    </row>
    <row r="14" spans="1:20">
      <c r="A14" s="1477">
        <f t="shared" si="1"/>
        <v>2.0699999999999985</v>
      </c>
      <c r="B14" s="187" t="s">
        <v>1215</v>
      </c>
      <c r="C14" s="179"/>
      <c r="D14" s="1347">
        <v>-2307623.8299999996</v>
      </c>
      <c r="E14" s="1347">
        <v>-2310371.4300000002</v>
      </c>
      <c r="F14" s="1347">
        <v>-2319870.77</v>
      </c>
      <c r="G14" s="1347">
        <v>-1709980.3499999989</v>
      </c>
      <c r="H14" s="1347">
        <v>-1624289.8399999992</v>
      </c>
      <c r="I14" s="1347">
        <v>-1624753.55</v>
      </c>
      <c r="J14" s="1347">
        <v>-2785221.3700000006</v>
      </c>
      <c r="K14" s="1347">
        <v>-2792944.3000000003</v>
      </c>
      <c r="L14" s="1347">
        <v>-2788240.18</v>
      </c>
      <c r="M14" s="1347">
        <v>-2750190.5700000008</v>
      </c>
      <c r="N14" s="1347">
        <v>-3810951.3099999991</v>
      </c>
      <c r="O14" s="1347">
        <v>-3719932.149999998</v>
      </c>
      <c r="P14" s="1347">
        <v>-3612574.5499999984</v>
      </c>
      <c r="Q14" s="817">
        <f t="shared" si="0"/>
        <v>-2627457.2461538459</v>
      </c>
      <c r="R14" s="818"/>
      <c r="T14" s="1755"/>
    </row>
    <row r="15" spans="1:20">
      <c r="A15" s="1477">
        <f t="shared" si="1"/>
        <v>2.0799999999999983</v>
      </c>
      <c r="B15" s="187" t="s">
        <v>1216</v>
      </c>
      <c r="C15" s="179"/>
      <c r="D15" s="1347">
        <v>-926624.88999999734</v>
      </c>
      <c r="E15" s="1347">
        <v>-926624.88999999734</v>
      </c>
      <c r="F15" s="1347">
        <v>-926624.88999999734</v>
      </c>
      <c r="G15" s="1347">
        <v>-926624.88999999873</v>
      </c>
      <c r="H15" s="1347">
        <v>-851624.88999999873</v>
      </c>
      <c r="I15" s="1347">
        <v>-851624.88999999873</v>
      </c>
      <c r="J15" s="1347">
        <v>-2100075.8899999983</v>
      </c>
      <c r="K15" s="1347">
        <v>-1861624.5499999984</v>
      </c>
      <c r="L15" s="1347">
        <v>-1861624.5499999984</v>
      </c>
      <c r="M15" s="1347">
        <v>-936624.54999999655</v>
      </c>
      <c r="N15" s="1347">
        <v>-886624.54999999842</v>
      </c>
      <c r="O15" s="1347">
        <v>-786624.54999999842</v>
      </c>
      <c r="P15" s="1347">
        <v>-3661624.5500000017</v>
      </c>
      <c r="Q15" s="817">
        <f t="shared" si="0"/>
        <v>-1346505.5792307679</v>
      </c>
      <c r="R15" s="818"/>
      <c r="T15" s="1755" t="s">
        <v>1563</v>
      </c>
    </row>
    <row r="16" spans="1:20">
      <c r="A16" s="1477">
        <f t="shared" si="1"/>
        <v>2.0899999999999981</v>
      </c>
      <c r="B16" s="187" t="s">
        <v>1217</v>
      </c>
      <c r="C16" s="179"/>
      <c r="D16" s="1347">
        <v>-1441743.14</v>
      </c>
      <c r="E16" s="1347">
        <v>-1441743.14</v>
      </c>
      <c r="F16" s="1347">
        <v>-1441743.14</v>
      </c>
      <c r="G16" s="1347">
        <v>-1441743.14</v>
      </c>
      <c r="H16" s="1347">
        <v>-1441743.14</v>
      </c>
      <c r="I16" s="1347">
        <v>-1441743.14</v>
      </c>
      <c r="J16" s="1347">
        <v>-1441743.14</v>
      </c>
      <c r="K16" s="1347">
        <v>-1441743.14</v>
      </c>
      <c r="L16" s="1347">
        <v>-1441743.14</v>
      </c>
      <c r="M16" s="1347">
        <v>-1441743.14</v>
      </c>
      <c r="N16" s="1347">
        <v>-1441743.14</v>
      </c>
      <c r="O16" s="1347">
        <v>-1441743.14</v>
      </c>
      <c r="P16" s="1347">
        <v>-1239060.1400000001</v>
      </c>
      <c r="Q16" s="817">
        <f t="shared" si="0"/>
        <v>-1426152.1400000004</v>
      </c>
      <c r="R16" s="818"/>
      <c r="T16" s="1755" t="s">
        <v>1563</v>
      </c>
    </row>
    <row r="17" spans="1:20">
      <c r="A17" s="1477">
        <f t="shared" si="1"/>
        <v>2.0999999999999979</v>
      </c>
      <c r="B17" s="187" t="s">
        <v>1218</v>
      </c>
      <c r="C17" s="179"/>
      <c r="D17" s="1347">
        <v>17929999.53999998</v>
      </c>
      <c r="E17" s="1347">
        <v>18375807.569999982</v>
      </c>
      <c r="F17" s="1347">
        <v>18744924.78999998</v>
      </c>
      <c r="G17" s="1347">
        <v>19382129.379999977</v>
      </c>
      <c r="H17" s="1347">
        <v>19937881.77999999</v>
      </c>
      <c r="I17" s="1347">
        <v>20330636.879999977</v>
      </c>
      <c r="J17" s="1347">
        <v>21069972.629999984</v>
      </c>
      <c r="K17" s="1347">
        <v>21459010.109999973</v>
      </c>
      <c r="L17" s="1347">
        <v>21923786.09999999</v>
      </c>
      <c r="M17" s="1347">
        <v>22512488.969999991</v>
      </c>
      <c r="N17" s="1347">
        <v>23288534.379999988</v>
      </c>
      <c r="O17" s="1347">
        <v>23881549.359999992</v>
      </c>
      <c r="P17" s="1347">
        <v>18721000.180000003</v>
      </c>
      <c r="Q17" s="817">
        <f t="shared" si="0"/>
        <v>20581363.205384605</v>
      </c>
      <c r="R17" s="818"/>
      <c r="T17" s="1755" t="s">
        <v>1563</v>
      </c>
    </row>
    <row r="18" spans="1:20">
      <c r="A18" s="1477">
        <f t="shared" si="1"/>
        <v>2.1099999999999977</v>
      </c>
      <c r="B18" s="187" t="s">
        <v>1219</v>
      </c>
      <c r="C18" s="179"/>
      <c r="D18" s="1347">
        <v>-100999.48000000113</v>
      </c>
      <c r="E18" s="1347">
        <v>-114504.08000000169</v>
      </c>
      <c r="F18" s="1347">
        <v>-69023.170000003403</v>
      </c>
      <c r="G18" s="1347">
        <v>-100982.90000000199</v>
      </c>
      <c r="H18" s="1347">
        <v>-113214.7000000018</v>
      </c>
      <c r="I18" s="1347">
        <v>-108300.72000000135</v>
      </c>
      <c r="J18" s="1347">
        <v>-100979.51000000093</v>
      </c>
      <c r="K18" s="1347">
        <v>-115002.09000000426</v>
      </c>
      <c r="L18" s="1347">
        <v>-123772.14999999919</v>
      </c>
      <c r="M18" s="1347">
        <v>-101001.81000000214</v>
      </c>
      <c r="N18" s="1347">
        <v>-88728.210000001578</v>
      </c>
      <c r="O18" s="1347">
        <v>-100162.32000000005</v>
      </c>
      <c r="P18" s="1347">
        <v>-101001.96000000018</v>
      </c>
      <c r="Q18" s="817">
        <f t="shared" si="0"/>
        <v>-102897.93076923228</v>
      </c>
      <c r="R18" s="818"/>
      <c r="T18" s="1755" t="s">
        <v>1563</v>
      </c>
    </row>
    <row r="19" spans="1:20">
      <c r="A19" s="1477">
        <f t="shared" si="1"/>
        <v>2.1199999999999974</v>
      </c>
      <c r="B19" s="1568" t="s">
        <v>1220</v>
      </c>
      <c r="C19" s="179"/>
      <c r="D19" s="1347">
        <v>0</v>
      </c>
      <c r="E19" s="1347">
        <v>0</v>
      </c>
      <c r="F19" s="1347">
        <v>0</v>
      </c>
      <c r="G19" s="1347">
        <v>0</v>
      </c>
      <c r="H19" s="1347">
        <v>0</v>
      </c>
      <c r="I19" s="1347">
        <v>0</v>
      </c>
      <c r="J19" s="1347">
        <v>0</v>
      </c>
      <c r="K19" s="1347">
        <v>0</v>
      </c>
      <c r="L19" s="1347">
        <v>0</v>
      </c>
      <c r="M19" s="1347">
        <v>0</v>
      </c>
      <c r="N19" s="1347">
        <v>0</v>
      </c>
      <c r="O19" s="1347">
        <v>0</v>
      </c>
      <c r="P19" s="1347">
        <v>0</v>
      </c>
      <c r="Q19" s="817">
        <f t="shared" si="0"/>
        <v>0</v>
      </c>
      <c r="R19" s="818"/>
      <c r="T19" s="1755" t="s">
        <v>1563</v>
      </c>
    </row>
    <row r="20" spans="1:20">
      <c r="A20" s="1477">
        <f t="shared" si="1"/>
        <v>2.1299999999999972</v>
      </c>
      <c r="B20" s="187" t="s">
        <v>1221</v>
      </c>
      <c r="C20" s="179"/>
      <c r="D20" s="1347">
        <v>0</v>
      </c>
      <c r="E20" s="1347">
        <v>0</v>
      </c>
      <c r="F20" s="1347">
        <v>0</v>
      </c>
      <c r="G20" s="1347">
        <v>0</v>
      </c>
      <c r="H20" s="1347">
        <v>0</v>
      </c>
      <c r="I20" s="1347">
        <v>0</v>
      </c>
      <c r="J20" s="1347">
        <v>0</v>
      </c>
      <c r="K20" s="1347">
        <v>0</v>
      </c>
      <c r="L20" s="1347">
        <v>0</v>
      </c>
      <c r="M20" s="1347">
        <v>0</v>
      </c>
      <c r="N20" s="1347">
        <v>0</v>
      </c>
      <c r="O20" s="1347">
        <v>0</v>
      </c>
      <c r="P20" s="1347">
        <v>0</v>
      </c>
      <c r="Q20" s="817">
        <f t="shared" si="0"/>
        <v>0</v>
      </c>
      <c r="R20" s="818"/>
    </row>
    <row r="21" spans="1:20">
      <c r="A21" s="1477">
        <f t="shared" si="1"/>
        <v>2.139999999999997</v>
      </c>
      <c r="B21" s="1568" t="s">
        <v>1222</v>
      </c>
      <c r="C21" s="179"/>
      <c r="D21" s="1347">
        <v>0</v>
      </c>
      <c r="E21" s="1347">
        <v>0</v>
      </c>
      <c r="F21" s="1347">
        <v>0</v>
      </c>
      <c r="G21" s="1347">
        <v>0</v>
      </c>
      <c r="H21" s="1347">
        <v>0</v>
      </c>
      <c r="I21" s="1347">
        <v>0</v>
      </c>
      <c r="J21" s="1347">
        <v>0</v>
      </c>
      <c r="K21" s="1347">
        <v>0</v>
      </c>
      <c r="L21" s="1347">
        <v>0</v>
      </c>
      <c r="M21" s="1347">
        <v>0</v>
      </c>
      <c r="N21" s="1347">
        <v>0</v>
      </c>
      <c r="O21" s="1347">
        <v>0</v>
      </c>
      <c r="P21" s="1347">
        <v>0</v>
      </c>
      <c r="Q21" s="817">
        <f t="shared" si="0"/>
        <v>0</v>
      </c>
      <c r="R21" s="818"/>
    </row>
    <row r="22" spans="1:20">
      <c r="A22" s="1478">
        <f t="shared" si="1"/>
        <v>2.1499999999999968</v>
      </c>
      <c r="B22" s="1346" t="s">
        <v>905</v>
      </c>
      <c r="C22" s="190"/>
      <c r="D22" s="1347">
        <v>0</v>
      </c>
      <c r="E22" s="1347">
        <v>0</v>
      </c>
      <c r="F22" s="1347">
        <v>0</v>
      </c>
      <c r="G22" s="1347">
        <v>0</v>
      </c>
      <c r="H22" s="1347">
        <v>0</v>
      </c>
      <c r="I22" s="1347">
        <v>0</v>
      </c>
      <c r="J22" s="1347">
        <v>0</v>
      </c>
      <c r="K22" s="1347">
        <v>0</v>
      </c>
      <c r="L22" s="1347">
        <v>0</v>
      </c>
      <c r="M22" s="1347">
        <v>0</v>
      </c>
      <c r="N22" s="1347">
        <v>0</v>
      </c>
      <c r="O22" s="1347">
        <v>0</v>
      </c>
      <c r="P22" s="1347">
        <v>0</v>
      </c>
      <c r="Q22" s="817">
        <f t="shared" si="0"/>
        <v>0</v>
      </c>
      <c r="R22" s="818"/>
    </row>
    <row r="23" spans="1:20">
      <c r="A23" s="1317" t="s">
        <v>898</v>
      </c>
      <c r="B23" s="1346" t="s">
        <v>905</v>
      </c>
      <c r="C23" s="190"/>
      <c r="D23" s="1347">
        <v>0</v>
      </c>
      <c r="E23" s="1347">
        <v>0</v>
      </c>
      <c r="F23" s="1347">
        <v>0</v>
      </c>
      <c r="G23" s="1347">
        <v>0</v>
      </c>
      <c r="H23" s="1347">
        <v>0</v>
      </c>
      <c r="I23" s="1347">
        <v>0</v>
      </c>
      <c r="J23" s="1347">
        <v>0</v>
      </c>
      <c r="K23" s="1347">
        <v>0</v>
      </c>
      <c r="L23" s="1347">
        <v>0</v>
      </c>
      <c r="M23" s="1347">
        <v>0</v>
      </c>
      <c r="N23" s="1347">
        <v>0</v>
      </c>
      <c r="O23" s="1347">
        <v>0</v>
      </c>
      <c r="P23" s="1347">
        <v>0</v>
      </c>
      <c r="Q23" s="817">
        <f t="shared" si="0"/>
        <v>0</v>
      </c>
      <c r="R23" s="818"/>
    </row>
    <row r="24" spans="1:20">
      <c r="A24" s="1317" t="s">
        <v>901</v>
      </c>
      <c r="B24" s="1346" t="s">
        <v>905</v>
      </c>
      <c r="C24" s="190"/>
      <c r="D24" s="1348">
        <v>0</v>
      </c>
      <c r="E24" s="1348">
        <v>0</v>
      </c>
      <c r="F24" s="1348">
        <v>0</v>
      </c>
      <c r="G24" s="1348">
        <v>0</v>
      </c>
      <c r="H24" s="1348">
        <v>0</v>
      </c>
      <c r="I24" s="1348">
        <v>0</v>
      </c>
      <c r="J24" s="1348">
        <v>0</v>
      </c>
      <c r="K24" s="1348">
        <v>0</v>
      </c>
      <c r="L24" s="1348">
        <v>0</v>
      </c>
      <c r="M24" s="1348">
        <v>0</v>
      </c>
      <c r="N24" s="1348">
        <v>0</v>
      </c>
      <c r="O24" s="1348">
        <v>0</v>
      </c>
      <c r="P24" s="1348">
        <v>0</v>
      </c>
      <c r="Q24" s="1276">
        <f t="shared" si="0"/>
        <v>0</v>
      </c>
      <c r="R24" s="818"/>
    </row>
    <row r="25" spans="1:20" s="822" customFormat="1">
      <c r="A25" s="892">
        <f>+A7+1</f>
        <v>3</v>
      </c>
      <c r="B25" s="819"/>
      <c r="C25" s="819" t="str">
        <f>+"Total   Sum (Ln "&amp;A7&amp;" Subparts)"</f>
        <v>Total   Sum (Ln 2 Subparts)</v>
      </c>
      <c r="D25" s="820">
        <f>SUM(D8:D24)</f>
        <v>-67698831.630000249</v>
      </c>
      <c r="E25" s="820">
        <f t="shared" ref="E25:P25" si="2">SUM(E8:E24)</f>
        <v>-67283153.780000255</v>
      </c>
      <c r="F25" s="820">
        <f t="shared" si="2"/>
        <v>-66903436.260000244</v>
      </c>
      <c r="G25" s="820">
        <f t="shared" si="2"/>
        <v>-65714959.10000024</v>
      </c>
      <c r="H25" s="820">
        <f t="shared" si="2"/>
        <v>-65039777.490000233</v>
      </c>
      <c r="I25" s="820">
        <f t="shared" si="2"/>
        <v>-64671283.030000225</v>
      </c>
      <c r="J25" s="820">
        <f t="shared" si="2"/>
        <v>-66362871.820000239</v>
      </c>
      <c r="K25" s="820">
        <f t="shared" si="2"/>
        <v>-65785319.29000023</v>
      </c>
      <c r="L25" s="820">
        <f t="shared" si="2"/>
        <v>-65349187.090000235</v>
      </c>
      <c r="M25" s="820">
        <f t="shared" si="2"/>
        <v>-63794100.320000209</v>
      </c>
      <c r="N25" s="820">
        <f t="shared" si="2"/>
        <v>-64036260.870000213</v>
      </c>
      <c r="O25" s="820">
        <f t="shared" si="2"/>
        <v>-63284285.720000207</v>
      </c>
      <c r="P25" s="820">
        <f t="shared" si="2"/>
        <v>-71030963.350000188</v>
      </c>
      <c r="Q25" s="820">
        <f>SUM(Q8:Q24)</f>
        <v>-65919571.519230999</v>
      </c>
      <c r="R25" s="821"/>
    </row>
    <row r="26" spans="1:20" s="822" customFormat="1">
      <c r="A26" s="1151"/>
      <c r="D26" s="1046" t="s">
        <v>320</v>
      </c>
      <c r="P26" s="1046" t="s">
        <v>320</v>
      </c>
    </row>
    <row r="27" spans="1:20">
      <c r="A27" s="823" t="s">
        <v>299</v>
      </c>
    </row>
    <row r="28" spans="1:20">
      <c r="A28" s="824" t="s">
        <v>171</v>
      </c>
      <c r="B28" s="2037" t="s">
        <v>918</v>
      </c>
      <c r="C28" s="2037"/>
      <c r="D28" s="2037"/>
      <c r="E28" s="2037"/>
      <c r="F28" s="2037"/>
      <c r="G28" s="2037"/>
      <c r="H28" s="2037"/>
      <c r="I28" s="2037"/>
      <c r="J28" s="2037"/>
      <c r="K28" s="2037"/>
      <c r="L28" s="2037"/>
      <c r="M28" s="2037"/>
      <c r="N28" s="2037"/>
      <c r="O28" s="2037"/>
      <c r="P28" s="2037"/>
      <c r="Q28" s="2037"/>
    </row>
    <row r="29" spans="1:20">
      <c r="A29" s="1046" t="s">
        <v>320</v>
      </c>
      <c r="B29" s="822" t="s">
        <v>652</v>
      </c>
      <c r="C29" s="822"/>
    </row>
    <row r="30" spans="1:20">
      <c r="A30" s="1046" t="s">
        <v>321</v>
      </c>
      <c r="B30" s="2054" t="s">
        <v>839</v>
      </c>
      <c r="C30" s="2054"/>
      <c r="D30" s="2054"/>
      <c r="E30" s="2054"/>
      <c r="F30" s="2054"/>
      <c r="G30" s="2054"/>
      <c r="H30" s="2054"/>
      <c r="I30" s="2054"/>
      <c r="J30" s="2054"/>
      <c r="K30" s="2054"/>
      <c r="L30" s="2054"/>
      <c r="M30" s="2054"/>
      <c r="N30" s="2054"/>
      <c r="O30" s="2054"/>
      <c r="P30" s="2054"/>
      <c r="Q30" s="2054"/>
    </row>
  </sheetData>
  <mergeCells count="6">
    <mergeCell ref="B30:Q30"/>
    <mergeCell ref="B28:Q28"/>
    <mergeCell ref="Q6:Q7"/>
    <mergeCell ref="A1:Q1"/>
    <mergeCell ref="A2:Q2"/>
    <mergeCell ref="A3:Q3"/>
  </mergeCells>
  <printOptions horizontalCentered="1"/>
  <pageMargins left="0.5" right="0.5" top="0.7" bottom="0.7" header="0.3" footer="0.5"/>
  <pageSetup scale="58" orientation="landscape" r:id="rId1"/>
  <headerFoot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L6" sqref="L6"/>
    </sheetView>
  </sheetViews>
  <sheetFormatPr defaultColWidth="8.88671875" defaultRowHeight="13.2"/>
  <cols>
    <col min="1" max="1" width="3.44140625" style="522" customWidth="1"/>
    <col min="2" max="2" width="7.33203125" style="522" customWidth="1"/>
    <col min="3" max="3" width="13.33203125" style="522" customWidth="1"/>
    <col min="4" max="5" width="15.6640625" style="522" customWidth="1"/>
    <col min="6" max="6" width="14.6640625" style="522" customWidth="1"/>
    <col min="7" max="7" width="13.6640625" style="522" customWidth="1"/>
    <col min="8" max="8" width="12.109375" style="522" customWidth="1"/>
    <col min="9" max="9" width="16" style="522" bestFit="1" customWidth="1"/>
    <col min="10" max="10" width="16" style="522" customWidth="1"/>
    <col min="11" max="11" width="14.88671875" style="522" customWidth="1"/>
    <col min="12" max="12" width="8.88671875" style="522"/>
    <col min="13" max="13" width="18.44140625" style="522" bestFit="1" customWidth="1"/>
    <col min="14" max="16384" width="8.88671875" style="522"/>
  </cols>
  <sheetData>
    <row r="1" spans="1:20" s="178" customFormat="1">
      <c r="A1" s="2139" t="str">
        <f>+'MISO Cover'!C6</f>
        <v>Entergy New Orleans, Inc.</v>
      </c>
      <c r="B1" s="2140"/>
      <c r="C1" s="2140"/>
      <c r="D1" s="2140"/>
      <c r="E1" s="2140"/>
      <c r="F1" s="2140"/>
      <c r="G1" s="2140"/>
      <c r="H1" s="2140"/>
      <c r="I1" s="2140"/>
      <c r="J1" s="2140"/>
      <c r="K1" s="2140"/>
      <c r="L1" s="1424"/>
      <c r="M1" s="1424"/>
      <c r="N1" s="1424"/>
      <c r="O1" s="1424"/>
      <c r="P1" s="1424"/>
      <c r="Q1" s="1424"/>
      <c r="R1" s="1424"/>
      <c r="S1" s="1424"/>
      <c r="T1" s="1424"/>
    </row>
    <row r="2" spans="1:20" s="178" customFormat="1">
      <c r="A2" s="2076" t="s">
        <v>1455</v>
      </c>
      <c r="B2" s="2076"/>
      <c r="C2" s="2076"/>
      <c r="D2" s="2076"/>
      <c r="E2" s="2076"/>
      <c r="F2" s="2076"/>
      <c r="G2" s="2076"/>
      <c r="H2" s="2076"/>
      <c r="I2" s="2076"/>
      <c r="J2" s="2076"/>
      <c r="K2" s="2076"/>
      <c r="L2" s="1681"/>
      <c r="M2" s="1681"/>
      <c r="N2" s="1681"/>
      <c r="O2" s="1681"/>
      <c r="P2" s="1681"/>
      <c r="Q2" s="1681"/>
      <c r="R2" s="1681"/>
      <c r="S2" s="1681"/>
      <c r="T2" s="1681"/>
    </row>
    <row r="3" spans="1:20">
      <c r="A3" s="2139" t="str">
        <f>+'MISO Cover'!K4</f>
        <v>For  the 12 Months Ended 12/31/2016</v>
      </c>
      <c r="B3" s="2140"/>
      <c r="C3" s="2140"/>
      <c r="D3" s="2140"/>
      <c r="E3" s="2140"/>
      <c r="F3" s="2140"/>
      <c r="G3" s="2140"/>
      <c r="H3" s="2140"/>
      <c r="I3" s="2140"/>
      <c r="J3" s="2140"/>
      <c r="K3" s="2140"/>
      <c r="L3" s="1424"/>
      <c r="M3" s="1424"/>
      <c r="N3" s="1424"/>
      <c r="O3" s="1424"/>
      <c r="P3" s="1424"/>
      <c r="Q3" s="1424"/>
    </row>
    <row r="4" spans="1:20">
      <c r="A4" s="1682"/>
      <c r="B4" s="1682"/>
      <c r="C4" s="1682"/>
      <c r="D4" s="1682"/>
      <c r="E4" s="1682"/>
      <c r="F4" s="1682"/>
      <c r="G4" s="1682"/>
      <c r="H4" s="1682"/>
      <c r="I4" s="1682"/>
      <c r="J4" s="1682"/>
      <c r="K4" s="1682"/>
      <c r="L4" s="1424"/>
      <c r="M4" s="1424"/>
      <c r="N4" s="1424"/>
      <c r="O4" s="1424"/>
      <c r="P4" s="1424"/>
      <c r="Q4" s="1424"/>
    </row>
    <row r="5" spans="1:20" s="44" customFormat="1">
      <c r="A5" s="1667" t="s">
        <v>68</v>
      </c>
      <c r="B5" s="1667" t="s">
        <v>115</v>
      </c>
      <c r="C5" s="1667" t="s">
        <v>56</v>
      </c>
      <c r="D5" s="1667" t="s">
        <v>69</v>
      </c>
      <c r="E5" s="1667" t="s">
        <v>67</v>
      </c>
      <c r="F5" s="1667" t="s">
        <v>1456</v>
      </c>
      <c r="G5" s="1667" t="s">
        <v>70</v>
      </c>
      <c r="H5" s="1667" t="s">
        <v>170</v>
      </c>
      <c r="I5" s="1667" t="s">
        <v>60</v>
      </c>
      <c r="J5" s="1667" t="s">
        <v>61</v>
      </c>
      <c r="K5" s="1667" t="s">
        <v>1457</v>
      </c>
      <c r="L5" s="187"/>
      <c r="M5" s="187"/>
      <c r="N5" s="187"/>
      <c r="O5" s="187"/>
      <c r="P5" s="187"/>
      <c r="Q5" s="187"/>
    </row>
    <row r="6" spans="1:20" s="178" customFormat="1">
      <c r="A6" s="1683"/>
      <c r="B6" s="1683"/>
      <c r="F6" s="1684"/>
      <c r="G6" s="1683"/>
      <c r="H6" s="1685"/>
      <c r="I6" s="1685"/>
      <c r="J6" s="1685"/>
      <c r="K6" s="1685"/>
      <c r="L6" s="1685"/>
      <c r="M6" s="1685"/>
    </row>
    <row r="7" spans="1:20">
      <c r="A7" s="522">
        <v>1</v>
      </c>
      <c r="B7" s="522" t="s">
        <v>454</v>
      </c>
      <c r="C7" s="2141" t="s">
        <v>1458</v>
      </c>
      <c r="D7" s="2142"/>
      <c r="E7" s="2142"/>
      <c r="F7" s="2143"/>
      <c r="G7" s="2141" t="s">
        <v>1459</v>
      </c>
      <c r="H7" s="2142"/>
      <c r="I7" s="2142"/>
      <c r="J7" s="2142"/>
      <c r="K7" s="2143"/>
    </row>
    <row r="8" spans="1:20" ht="92.4">
      <c r="A8" s="522">
        <f>+A7+1</f>
        <v>2</v>
      </c>
      <c r="C8" s="1890" t="s">
        <v>1460</v>
      </c>
      <c r="D8" s="1890" t="s">
        <v>1740</v>
      </c>
      <c r="E8" s="1890" t="s">
        <v>1741</v>
      </c>
      <c r="F8" s="1890" t="s">
        <v>1461</v>
      </c>
      <c r="G8" s="1890" t="s">
        <v>1462</v>
      </c>
      <c r="H8" s="1890" t="s">
        <v>1463</v>
      </c>
      <c r="I8" s="1890" t="s">
        <v>1742</v>
      </c>
      <c r="J8" s="1890" t="s">
        <v>1743</v>
      </c>
      <c r="K8" s="1890" t="s">
        <v>1464</v>
      </c>
    </row>
    <row r="9" spans="1:20">
      <c r="A9" s="522">
        <f t="shared" ref="A9:A23" si="0">+A8+1</f>
        <v>3</v>
      </c>
      <c r="B9" s="1686"/>
      <c r="C9" s="1687" t="s">
        <v>171</v>
      </c>
      <c r="D9" s="1688"/>
      <c r="E9" s="1688"/>
      <c r="F9" s="1689"/>
      <c r="G9" s="1688"/>
      <c r="H9" s="1687" t="s">
        <v>320</v>
      </c>
      <c r="I9" s="1689"/>
      <c r="J9" s="1689"/>
    </row>
    <row r="10" spans="1:20">
      <c r="A10" s="522">
        <f t="shared" si="0"/>
        <v>4</v>
      </c>
      <c r="B10" s="1951" t="s">
        <v>38</v>
      </c>
      <c r="C10" s="208">
        <v>-61088838.719999999</v>
      </c>
      <c r="D10" s="208">
        <v>95941443.040000007</v>
      </c>
      <c r="E10" s="208">
        <v>0</v>
      </c>
      <c r="F10" s="527">
        <f t="shared" ref="F10" si="1">C10+D10+E10</f>
        <v>34852604.320000008</v>
      </c>
      <c r="G10" s="208">
        <v>-18929</v>
      </c>
      <c r="H10" s="208">
        <v>-449282.57000000007</v>
      </c>
      <c r="I10" s="208">
        <v>-135860.32999999999</v>
      </c>
      <c r="J10" s="208">
        <v>0</v>
      </c>
      <c r="K10" s="78">
        <f>G10+H10+I10+J10</f>
        <v>-604071.9</v>
      </c>
      <c r="M10" s="2138" t="s">
        <v>1564</v>
      </c>
      <c r="N10" s="2138"/>
      <c r="O10" s="2138"/>
      <c r="P10" s="2138"/>
    </row>
    <row r="11" spans="1:20">
      <c r="A11" s="522">
        <f t="shared" si="0"/>
        <v>5</v>
      </c>
      <c r="B11" s="1951" t="s">
        <v>28</v>
      </c>
      <c r="C11" s="208">
        <v>-58608579.719999991</v>
      </c>
      <c r="D11" s="208">
        <v>95403076.040000007</v>
      </c>
      <c r="E11" s="208">
        <v>0</v>
      </c>
      <c r="F11" s="527">
        <f t="shared" ref="F11:F22" si="2">C11+D11+E11</f>
        <v>36794496.320000015</v>
      </c>
      <c r="G11" s="208">
        <v>-18929</v>
      </c>
      <c r="H11" s="208">
        <v>-446891.51000000013</v>
      </c>
      <c r="I11" s="208">
        <v>-138616.32999999999</v>
      </c>
      <c r="J11" s="208">
        <v>0</v>
      </c>
      <c r="K11" s="78">
        <f t="shared" ref="K11:K22" si="3">G11+H11+I11+J11</f>
        <v>-604436.84000000008</v>
      </c>
    </row>
    <row r="12" spans="1:20">
      <c r="A12" s="522">
        <f t="shared" si="0"/>
        <v>6</v>
      </c>
      <c r="B12" s="1951" t="s">
        <v>29</v>
      </c>
      <c r="C12" s="208">
        <v>-58536320.719999984</v>
      </c>
      <c r="D12" s="208">
        <v>94864709.040000007</v>
      </c>
      <c r="E12" s="208">
        <v>0</v>
      </c>
      <c r="F12" s="527">
        <f t="shared" si="2"/>
        <v>36328388.320000023</v>
      </c>
      <c r="G12" s="208">
        <v>-18929</v>
      </c>
      <c r="H12" s="208">
        <v>-449326</v>
      </c>
      <c r="I12" s="208">
        <v>-141372.32999999999</v>
      </c>
      <c r="J12" s="208">
        <v>0</v>
      </c>
      <c r="K12" s="78">
        <f t="shared" si="3"/>
        <v>-609627.32999999996</v>
      </c>
    </row>
    <row r="13" spans="1:20">
      <c r="A13" s="522">
        <f t="shared" si="0"/>
        <v>7</v>
      </c>
      <c r="B13" s="1951" t="s">
        <v>30</v>
      </c>
      <c r="C13" s="208">
        <v>-58437584.719999991</v>
      </c>
      <c r="D13" s="208">
        <v>94326342.040000007</v>
      </c>
      <c r="E13" s="208">
        <v>0</v>
      </c>
      <c r="F13" s="527">
        <f t="shared" si="2"/>
        <v>35888757.320000015</v>
      </c>
      <c r="G13" s="208">
        <v>-18983</v>
      </c>
      <c r="H13" s="208">
        <v>-451706.49</v>
      </c>
      <c r="I13" s="208">
        <v>-144128.32999999999</v>
      </c>
      <c r="J13" s="208">
        <v>0</v>
      </c>
      <c r="K13" s="78">
        <f t="shared" si="3"/>
        <v>-614817.81999999995</v>
      </c>
    </row>
    <row r="14" spans="1:20">
      <c r="A14" s="522">
        <f t="shared" si="0"/>
        <v>8</v>
      </c>
      <c r="B14" s="1951" t="s">
        <v>31</v>
      </c>
      <c r="C14" s="208">
        <v>-56119325.719999999</v>
      </c>
      <c r="D14" s="208">
        <v>93787975.040000007</v>
      </c>
      <c r="E14" s="208">
        <v>0</v>
      </c>
      <c r="F14" s="527">
        <f t="shared" si="2"/>
        <v>37668649.320000008</v>
      </c>
      <c r="G14" s="208">
        <v>-18983</v>
      </c>
      <c r="H14" s="208">
        <v>-454140.98</v>
      </c>
      <c r="I14" s="208">
        <v>-146884.32999999999</v>
      </c>
      <c r="J14" s="208">
        <v>0</v>
      </c>
      <c r="K14" s="78">
        <f t="shared" si="3"/>
        <v>-620008.30999999994</v>
      </c>
    </row>
    <row r="15" spans="1:20">
      <c r="A15" s="522">
        <f t="shared" si="0"/>
        <v>9</v>
      </c>
      <c r="B15" s="1951" t="s">
        <v>27</v>
      </c>
      <c r="C15" s="208">
        <v>-56047066.719999991</v>
      </c>
      <c r="D15" s="208">
        <v>93249608.040000007</v>
      </c>
      <c r="E15" s="208">
        <v>0</v>
      </c>
      <c r="F15" s="527">
        <f t="shared" si="2"/>
        <v>37202541.320000015</v>
      </c>
      <c r="G15" s="208">
        <v>-18983</v>
      </c>
      <c r="H15" s="208">
        <v>-456575.47000000009</v>
      </c>
      <c r="I15" s="208">
        <v>-149640.32999999999</v>
      </c>
      <c r="J15" s="208">
        <v>0</v>
      </c>
      <c r="K15" s="78">
        <f t="shared" si="3"/>
        <v>-625198.80000000005</v>
      </c>
    </row>
    <row r="16" spans="1:20">
      <c r="A16" s="522">
        <f t="shared" si="0"/>
        <v>10</v>
      </c>
      <c r="B16" s="1951" t="s">
        <v>32</v>
      </c>
      <c r="C16" s="208">
        <v>-55974807.719999999</v>
      </c>
      <c r="D16" s="208">
        <v>92711241.040000007</v>
      </c>
      <c r="E16" s="208">
        <v>0</v>
      </c>
      <c r="F16" s="527">
        <f t="shared" si="2"/>
        <v>36736433.320000008</v>
      </c>
      <c r="G16" s="208">
        <v>-18983</v>
      </c>
      <c r="H16" s="208">
        <v>-459009.95999999996</v>
      </c>
      <c r="I16" s="208">
        <v>-152396.32999999999</v>
      </c>
      <c r="J16" s="208">
        <v>0</v>
      </c>
      <c r="K16" s="78">
        <f t="shared" si="3"/>
        <v>-630389.28999999992</v>
      </c>
    </row>
    <row r="17" spans="1:11">
      <c r="A17" s="522">
        <f t="shared" si="0"/>
        <v>11</v>
      </c>
      <c r="B17" s="1951" t="s">
        <v>33</v>
      </c>
      <c r="C17" s="208">
        <v>-53650021.719999984</v>
      </c>
      <c r="D17" s="208">
        <v>92172874.040000007</v>
      </c>
      <c r="E17" s="208">
        <v>0</v>
      </c>
      <c r="F17" s="527">
        <f t="shared" si="2"/>
        <v>38522852.320000023</v>
      </c>
      <c r="G17" s="208">
        <v>-18983</v>
      </c>
      <c r="H17" s="208">
        <v>-461444.44999999995</v>
      </c>
      <c r="I17" s="208">
        <v>-155152.32999999999</v>
      </c>
      <c r="J17" s="208">
        <v>0</v>
      </c>
      <c r="K17" s="78">
        <f t="shared" si="3"/>
        <v>-635579.77999999991</v>
      </c>
    </row>
    <row r="18" spans="1:11">
      <c r="A18" s="522">
        <f t="shared" si="0"/>
        <v>12</v>
      </c>
      <c r="B18" s="1951" t="s">
        <v>34</v>
      </c>
      <c r="C18" s="208">
        <v>-53577762.719999984</v>
      </c>
      <c r="D18" s="208">
        <v>91634507.040000007</v>
      </c>
      <c r="E18" s="208">
        <v>0</v>
      </c>
      <c r="F18" s="527">
        <f t="shared" si="2"/>
        <v>38056744.320000023</v>
      </c>
      <c r="G18" s="208">
        <v>-18983</v>
      </c>
      <c r="H18" s="208">
        <v>-463878.94000000006</v>
      </c>
      <c r="I18" s="208">
        <v>-157908.32999999999</v>
      </c>
      <c r="J18" s="208">
        <v>0</v>
      </c>
      <c r="K18" s="78">
        <f t="shared" si="3"/>
        <v>-640770.27</v>
      </c>
    </row>
    <row r="19" spans="1:11">
      <c r="A19" s="522">
        <f t="shared" si="0"/>
        <v>13</v>
      </c>
      <c r="B19" s="1951" t="s">
        <v>35</v>
      </c>
      <c r="C19" s="208">
        <v>-51982503.719999991</v>
      </c>
      <c r="D19" s="208">
        <v>91096140.040000007</v>
      </c>
      <c r="E19" s="208">
        <v>0</v>
      </c>
      <c r="F19" s="527">
        <f t="shared" si="2"/>
        <v>39113636.320000015</v>
      </c>
      <c r="G19" s="208">
        <v>-19092</v>
      </c>
      <c r="H19" s="208">
        <v>-466151.43000000005</v>
      </c>
      <c r="I19" s="208">
        <v>-160881.32999999999</v>
      </c>
      <c r="J19" s="208">
        <v>0</v>
      </c>
      <c r="K19" s="78">
        <f t="shared" si="3"/>
        <v>-646124.76</v>
      </c>
    </row>
    <row r="20" spans="1:11">
      <c r="A20" s="522">
        <f t="shared" si="0"/>
        <v>14</v>
      </c>
      <c r="B20" s="1951" t="s">
        <v>36</v>
      </c>
      <c r="C20" s="208">
        <v>-49657244.719999991</v>
      </c>
      <c r="D20" s="208">
        <v>90557773.040000007</v>
      </c>
      <c r="E20" s="208">
        <v>0</v>
      </c>
      <c r="F20" s="527">
        <f t="shared" si="2"/>
        <v>40900528.320000015</v>
      </c>
      <c r="G20" s="208">
        <v>-19092</v>
      </c>
      <c r="H20" s="208">
        <v>-468532.9200000001</v>
      </c>
      <c r="I20" s="208">
        <v>-163854.32999999999</v>
      </c>
      <c r="J20" s="208">
        <v>0</v>
      </c>
      <c r="K20" s="78">
        <f t="shared" si="3"/>
        <v>-651479.25000000012</v>
      </c>
    </row>
    <row r="21" spans="1:11">
      <c r="A21" s="522">
        <f t="shared" si="0"/>
        <v>15</v>
      </c>
      <c r="B21" s="1951" t="s">
        <v>37</v>
      </c>
      <c r="C21" s="208">
        <v>-49584985.719999991</v>
      </c>
      <c r="D21" s="208">
        <v>90019406.040000007</v>
      </c>
      <c r="E21" s="208">
        <v>0</v>
      </c>
      <c r="F21" s="527">
        <f t="shared" si="2"/>
        <v>40434420.320000015</v>
      </c>
      <c r="G21" s="208">
        <v>-19092</v>
      </c>
      <c r="H21" s="208">
        <v>-470914.41</v>
      </c>
      <c r="I21" s="208">
        <v>-166827.32999999999</v>
      </c>
      <c r="J21" s="208">
        <v>0</v>
      </c>
      <c r="K21" s="78">
        <f t="shared" si="3"/>
        <v>-656833.74</v>
      </c>
    </row>
    <row r="22" spans="1:11">
      <c r="A22" s="522">
        <f t="shared" si="0"/>
        <v>16</v>
      </c>
      <c r="B22" s="1951" t="s">
        <v>38</v>
      </c>
      <c r="C22" s="208">
        <v>-54976433.719999999</v>
      </c>
      <c r="D22" s="208">
        <v>94944746.040000007</v>
      </c>
      <c r="E22" s="208">
        <v>0</v>
      </c>
      <c r="F22" s="527">
        <f t="shared" si="2"/>
        <v>39968312.320000008</v>
      </c>
      <c r="G22" s="208">
        <v>-19773</v>
      </c>
      <c r="H22" s="208">
        <v>-494066.90000000008</v>
      </c>
      <c r="I22" s="208">
        <v>-148046.32999999999</v>
      </c>
      <c r="J22" s="208">
        <v>0</v>
      </c>
      <c r="K22" s="78">
        <f t="shared" si="3"/>
        <v>-661886.2300000001</v>
      </c>
    </row>
    <row r="23" spans="1:11">
      <c r="A23" s="522">
        <f t="shared" si="0"/>
        <v>17</v>
      </c>
      <c r="B23" s="1951"/>
      <c r="C23" s="1690" t="s">
        <v>171</v>
      </c>
      <c r="D23" s="256"/>
      <c r="E23" s="256"/>
      <c r="F23" s="527"/>
      <c r="G23" s="256"/>
      <c r="H23" s="1690" t="s">
        <v>320</v>
      </c>
      <c r="I23" s="256"/>
      <c r="J23" s="256"/>
      <c r="K23" s="256"/>
    </row>
    <row r="24" spans="1:11" s="44" customFormat="1">
      <c r="A24" s="44">
        <f t="shared" ref="A24" si="4">A23+1</f>
        <v>18</v>
      </c>
      <c r="B24" s="699" t="s">
        <v>1465</v>
      </c>
      <c r="C24" s="527"/>
      <c r="D24" s="527"/>
      <c r="E24" s="527"/>
      <c r="F24" s="527">
        <f>+SUM(F10:F22)/13</f>
        <v>37882181.858461551</v>
      </c>
      <c r="G24" s="527"/>
      <c r="H24" s="527"/>
      <c r="I24" s="527"/>
      <c r="J24" s="527"/>
      <c r="K24" s="527">
        <f>+SUM(K10:K22)/13</f>
        <v>-630863.40923076926</v>
      </c>
    </row>
    <row r="25" spans="1:11" s="44" customFormat="1"/>
    <row r="26" spans="1:11" s="44" customFormat="1">
      <c r="A26" s="44" t="s">
        <v>299</v>
      </c>
    </row>
    <row r="27" spans="1:11" s="44" customFormat="1">
      <c r="A27" s="787" t="s">
        <v>171</v>
      </c>
      <c r="B27" s="44" t="s">
        <v>1466</v>
      </c>
    </row>
    <row r="28" spans="1:11" s="44" customFormat="1">
      <c r="A28" s="787" t="s">
        <v>320</v>
      </c>
      <c r="B28" s="44" t="s">
        <v>1466</v>
      </c>
    </row>
    <row r="29" spans="1:11" s="44" customFormat="1">
      <c r="A29" s="1691" t="s">
        <v>321</v>
      </c>
      <c r="B29" s="44" t="s">
        <v>1467</v>
      </c>
    </row>
  </sheetData>
  <mergeCells count="6">
    <mergeCell ref="M10:P10"/>
    <mergeCell ref="A1:K1"/>
    <mergeCell ref="A2:K2"/>
    <mergeCell ref="A3:K3"/>
    <mergeCell ref="C7:F7"/>
    <mergeCell ref="G7:K7"/>
  </mergeCells>
  <printOptions horizontalCentered="1"/>
  <pageMargins left="0.5" right="0.5" top="0.75" bottom="0.75" header="0.3" footer="0.5"/>
  <pageSetup scale="85" orientation="landscape" r:id="rId1"/>
  <headerFoot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L6" sqref="L6"/>
    </sheetView>
  </sheetViews>
  <sheetFormatPr defaultColWidth="15.6640625" defaultRowHeight="13.2"/>
  <cols>
    <col min="1" max="1" width="10.6640625" style="522" customWidth="1"/>
    <col min="2" max="2" width="48.6640625" style="522" customWidth="1"/>
    <col min="3" max="4" width="15.6640625" style="522" customWidth="1"/>
    <col min="5" max="16384" width="15.6640625" style="522"/>
  </cols>
  <sheetData>
    <row r="1" spans="1:6">
      <c r="A1" s="2144" t="str">
        <f>+'MISO Cover'!C6</f>
        <v>Entergy New Orleans, Inc.</v>
      </c>
      <c r="B1" s="2144"/>
      <c r="C1" s="2144"/>
      <c r="D1" s="2144"/>
    </row>
    <row r="2" spans="1:6">
      <c r="A2" s="2145" t="s">
        <v>1744</v>
      </c>
      <c r="B2" s="2145"/>
      <c r="C2" s="2145"/>
      <c r="D2" s="2145"/>
    </row>
    <row r="3" spans="1:6">
      <c r="A3" s="2146" t="str">
        <f>+'MISO Cover'!K4</f>
        <v>For  the 12 Months Ended 12/31/2016</v>
      </c>
      <c r="B3" s="2146"/>
      <c r="C3" s="2146"/>
      <c r="D3" s="2146"/>
    </row>
    <row r="4" spans="1:6">
      <c r="A4" s="178"/>
      <c r="B4" s="178"/>
      <c r="C4" s="178"/>
    </row>
    <row r="5" spans="1:6">
      <c r="A5" s="1891" t="s">
        <v>68</v>
      </c>
      <c r="B5" s="1891" t="s">
        <v>115</v>
      </c>
      <c r="C5" s="1891" t="s">
        <v>56</v>
      </c>
      <c r="D5" s="1892" t="s">
        <v>69</v>
      </c>
    </row>
    <row r="7" spans="1:6" ht="26.4">
      <c r="A7" s="1893" t="s">
        <v>281</v>
      </c>
      <c r="B7" s="1893" t="s">
        <v>113</v>
      </c>
      <c r="C7" s="1894" t="s">
        <v>1745</v>
      </c>
      <c r="D7" s="1894" t="s">
        <v>1746</v>
      </c>
    </row>
    <row r="9" spans="1:6" ht="24" customHeight="1">
      <c r="A9" s="1895">
        <v>1</v>
      </c>
      <c r="B9" s="534" t="s">
        <v>1747</v>
      </c>
      <c r="F9" s="1896"/>
    </row>
    <row r="10" spans="1:6">
      <c r="A10" s="1895">
        <f>A9+0.1</f>
        <v>1.1000000000000001</v>
      </c>
      <c r="B10" s="1897" t="s">
        <v>137</v>
      </c>
      <c r="C10" s="1824">
        <f>+'WP22 Support'!E11</f>
        <v>-2852.35</v>
      </c>
      <c r="D10" s="256"/>
      <c r="E10" s="1898"/>
    </row>
    <row r="11" spans="1:6">
      <c r="A11" s="1895">
        <f>A10+0.1</f>
        <v>1.2000000000000002</v>
      </c>
      <c r="B11" s="1897" t="s">
        <v>192</v>
      </c>
      <c r="C11" s="256"/>
      <c r="D11" s="1824">
        <f>+'WP22 Support'!E12</f>
        <v>-28894.86</v>
      </c>
    </row>
    <row r="12" spans="1:6">
      <c r="A12" s="1895">
        <f t="shared" ref="A12" si="0">A11+0.1</f>
        <v>1.3000000000000003</v>
      </c>
      <c r="B12" s="1897" t="s">
        <v>414</v>
      </c>
      <c r="C12" s="256"/>
      <c r="D12" s="1824">
        <f>+'WP22 Support'!E13</f>
        <v>0</v>
      </c>
    </row>
    <row r="13" spans="1:6" s="720" customFormat="1" ht="30" customHeight="1">
      <c r="A13" s="1899">
        <f>A9+1</f>
        <v>2</v>
      </c>
      <c r="B13" s="1900" t="s">
        <v>1748</v>
      </c>
      <c r="C13" s="1901"/>
      <c r="D13" s="1901"/>
    </row>
    <row r="14" spans="1:6" ht="24" customHeight="1">
      <c r="A14" s="1895">
        <f>A13+1</f>
        <v>3</v>
      </c>
      <c r="B14" s="1902" t="s">
        <v>1749</v>
      </c>
      <c r="C14" s="256"/>
      <c r="D14" s="256"/>
    </row>
    <row r="15" spans="1:6">
      <c r="A15" s="1895">
        <f>A14+0.1</f>
        <v>3.1</v>
      </c>
      <c r="B15" s="1903" t="s">
        <v>137</v>
      </c>
      <c r="C15" s="1824">
        <f>+'WP22 Support'!E17</f>
        <v>53674.528336000003</v>
      </c>
      <c r="D15" s="256"/>
    </row>
    <row r="16" spans="1:6">
      <c r="A16" s="1895">
        <f>A15+0.1</f>
        <v>3.2</v>
      </c>
      <c r="B16" s="1903" t="s">
        <v>192</v>
      </c>
      <c r="C16" s="256"/>
      <c r="D16" s="1824">
        <f>+'WP22 Support'!E18</f>
        <v>16665.876552000002</v>
      </c>
    </row>
    <row r="17" spans="1:4">
      <c r="A17" s="1895">
        <f t="shared" ref="A17" si="1">A16+0.1</f>
        <v>3.3000000000000003</v>
      </c>
      <c r="B17" s="1903" t="s">
        <v>414</v>
      </c>
      <c r="C17" s="256"/>
      <c r="D17" s="1824">
        <f>+'WP22 Support'!E19</f>
        <v>63163.169159999998</v>
      </c>
    </row>
    <row r="18" spans="1:4" ht="24" customHeight="1">
      <c r="A18" s="1895">
        <f>A14+1</f>
        <v>4</v>
      </c>
      <c r="B18" s="1902" t="s">
        <v>1750</v>
      </c>
      <c r="C18" s="256"/>
      <c r="D18" s="256"/>
    </row>
    <row r="19" spans="1:4">
      <c r="A19" s="1895">
        <f>A18+0.1</f>
        <v>4.0999999999999996</v>
      </c>
      <c r="B19" s="1903" t="s">
        <v>137</v>
      </c>
      <c r="C19" s="1824">
        <f>+'WP22 Support'!E22</f>
        <v>188.798272</v>
      </c>
      <c r="D19" s="256"/>
    </row>
    <row r="20" spans="1:4">
      <c r="A20" s="1895">
        <f>A19+0.1</f>
        <v>4.1999999999999993</v>
      </c>
      <c r="B20" s="1903" t="s">
        <v>192</v>
      </c>
      <c r="C20" s="256"/>
      <c r="D20" s="1824">
        <f>+'WP22 Support'!E23</f>
        <v>0</v>
      </c>
    </row>
    <row r="21" spans="1:4">
      <c r="A21" s="1895">
        <f t="shared" ref="A21" si="2">A20+0.1</f>
        <v>4.2999999999999989</v>
      </c>
      <c r="B21" s="1903" t="s">
        <v>414</v>
      </c>
      <c r="C21" s="256"/>
      <c r="D21" s="1824">
        <f>+'WP22 Support'!E24</f>
        <v>0</v>
      </c>
    </row>
    <row r="22" spans="1:4" ht="30" customHeight="1">
      <c r="A22" s="1895">
        <f>A18+1</f>
        <v>5</v>
      </c>
      <c r="B22" s="1904" t="s">
        <v>1751</v>
      </c>
      <c r="C22" s="1905">
        <f>SUM(C10:C21)</f>
        <v>51010.976608000004</v>
      </c>
      <c r="D22" s="1905">
        <f>SUM(D10:D21)</f>
        <v>50934.185711999999</v>
      </c>
    </row>
    <row r="23" spans="1:4">
      <c r="A23" s="1895"/>
    </row>
    <row r="24" spans="1:4">
      <c r="A24" s="1895"/>
    </row>
    <row r="25" spans="1:4">
      <c r="A25" s="522" t="s">
        <v>299</v>
      </c>
    </row>
    <row r="26" spans="1:4" ht="15" customHeight="1">
      <c r="A26" s="1831" t="s">
        <v>171</v>
      </c>
      <c r="B26" s="522" t="s">
        <v>1752</v>
      </c>
    </row>
    <row r="27" spans="1:4" ht="52.5" customHeight="1">
      <c r="A27" s="1831" t="s">
        <v>320</v>
      </c>
      <c r="B27" s="2147" t="s">
        <v>1753</v>
      </c>
      <c r="C27" s="2147"/>
      <c r="D27" s="2147"/>
    </row>
    <row r="28" spans="1:4" s="1791" customFormat="1" ht="29.25" customHeight="1">
      <c r="A28" s="1831" t="s">
        <v>321</v>
      </c>
      <c r="B28" s="2075" t="s">
        <v>1754</v>
      </c>
      <c r="C28" s="2075"/>
      <c r="D28" s="2075"/>
    </row>
    <row r="29" spans="1:4" s="1791" customFormat="1" ht="29.25" customHeight="1">
      <c r="A29" s="1831" t="s">
        <v>322</v>
      </c>
      <c r="B29" s="2075" t="s">
        <v>1755</v>
      </c>
      <c r="C29" s="2075"/>
      <c r="D29" s="2075"/>
    </row>
  </sheetData>
  <mergeCells count="6">
    <mergeCell ref="B29:D29"/>
    <mergeCell ref="A1:D1"/>
    <mergeCell ref="A2:D2"/>
    <mergeCell ref="A3:D3"/>
    <mergeCell ref="B27:D27"/>
    <mergeCell ref="B28:D28"/>
  </mergeCells>
  <printOptions horizontalCentered="1"/>
  <pageMargins left="0.7" right="0.7" top="0.75" bottom="0.75" header="0.3" footer="0.55000000000000004"/>
  <pageSetup orientation="portrait" r:id="rId1"/>
  <headerFoot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L6" sqref="L6"/>
    </sheetView>
  </sheetViews>
  <sheetFormatPr defaultColWidth="15.6640625" defaultRowHeight="13.2"/>
  <cols>
    <col min="1" max="2" width="3.6640625" style="522" customWidth="1"/>
    <col min="3" max="3" width="25.33203125" style="522" bestFit="1" customWidth="1"/>
    <col min="4" max="4" width="14.109375" style="522" bestFit="1" customWidth="1"/>
    <col min="5" max="6" width="13.6640625" style="522" customWidth="1"/>
    <col min="7" max="7" width="14.109375" style="522" bestFit="1" customWidth="1"/>
    <col min="8" max="16384" width="15.6640625" style="522"/>
  </cols>
  <sheetData>
    <row r="1" spans="1:11">
      <c r="A1" s="2144" t="str">
        <f>+'MISO Cover'!C6</f>
        <v>Entergy New Orleans, Inc.</v>
      </c>
      <c r="B1" s="2144"/>
      <c r="C1" s="2144"/>
      <c r="D1" s="2144"/>
      <c r="E1" s="2144"/>
      <c r="F1" s="2144"/>
      <c r="G1" s="2144"/>
      <c r="I1" s="178"/>
      <c r="J1" s="178"/>
      <c r="K1" s="178"/>
    </row>
    <row r="2" spans="1:11">
      <c r="A2" s="2145" t="s">
        <v>1756</v>
      </c>
      <c r="B2" s="2145"/>
      <c r="C2" s="2145"/>
      <c r="D2" s="2145"/>
      <c r="E2" s="2145"/>
      <c r="F2" s="2145"/>
      <c r="G2" s="2145"/>
      <c r="I2" s="178"/>
      <c r="J2" s="178"/>
      <c r="K2" s="178"/>
    </row>
    <row r="3" spans="1:11">
      <c r="A3" s="2146" t="str">
        <f>+'MISO Cover'!K4</f>
        <v>For  the 12 Months Ended 12/31/2016</v>
      </c>
      <c r="B3" s="2146"/>
      <c r="C3" s="2146"/>
      <c r="D3" s="2146"/>
      <c r="E3" s="2146"/>
      <c r="F3" s="2146"/>
      <c r="G3" s="2146"/>
      <c r="I3" s="178"/>
      <c r="J3" s="178"/>
      <c r="K3" s="178"/>
    </row>
    <row r="4" spans="1:11">
      <c r="A4" s="1906"/>
      <c r="B4" s="1906"/>
      <c r="C4" s="1906"/>
      <c r="D4" s="1906"/>
      <c r="E4" s="1906"/>
      <c r="F4" s="1906"/>
      <c r="G4" s="1906"/>
      <c r="I4" s="178"/>
      <c r="J4" s="178"/>
      <c r="K4" s="178"/>
    </row>
    <row r="5" spans="1:11">
      <c r="A5" s="1906"/>
      <c r="B5" s="1906"/>
      <c r="C5" s="1906"/>
      <c r="D5" s="1906"/>
      <c r="E5" s="1906"/>
      <c r="F5" s="1906"/>
      <c r="G5" s="1906"/>
      <c r="I5" s="178"/>
      <c r="J5" s="178"/>
      <c r="K5" s="178"/>
    </row>
    <row r="6" spans="1:11" s="1830" customFormat="1">
      <c r="A6" s="178"/>
      <c r="B6" s="178"/>
      <c r="C6" s="178"/>
      <c r="D6" s="178"/>
      <c r="E6" s="178"/>
      <c r="F6" s="178"/>
      <c r="G6" s="522"/>
      <c r="I6" s="1829"/>
      <c r="J6" s="1829"/>
      <c r="K6" s="1829"/>
    </row>
    <row r="7" spans="1:11" s="1908" customFormat="1">
      <c r="A7" s="1891" t="s">
        <v>68</v>
      </c>
      <c r="B7" s="1907" t="s">
        <v>115</v>
      </c>
      <c r="C7" s="1907"/>
      <c r="D7" s="1891" t="s">
        <v>56</v>
      </c>
      <c r="E7" s="1891" t="s">
        <v>69</v>
      </c>
      <c r="F7" s="1891" t="s">
        <v>67</v>
      </c>
      <c r="G7" s="1891" t="s">
        <v>1757</v>
      </c>
    </row>
    <row r="8" spans="1:11" s="534" customFormat="1" ht="33.6">
      <c r="A8" s="1496" t="s">
        <v>281</v>
      </c>
      <c r="B8" s="1909" t="s">
        <v>113</v>
      </c>
      <c r="C8" s="1909"/>
      <c r="D8" s="1496" t="s">
        <v>166</v>
      </c>
      <c r="E8" s="1496" t="s">
        <v>1341</v>
      </c>
      <c r="F8" s="1496" t="s">
        <v>1758</v>
      </c>
      <c r="G8" s="1496" t="s">
        <v>161</v>
      </c>
    </row>
    <row r="9" spans="1:11">
      <c r="A9" s="1829"/>
      <c r="B9" s="1910"/>
      <c r="C9" s="1911"/>
      <c r="D9" s="78"/>
      <c r="E9" s="78"/>
      <c r="F9" s="78"/>
      <c r="G9" s="78"/>
    </row>
    <row r="10" spans="1:11">
      <c r="A10" s="1829"/>
      <c r="B10" s="1912" t="s">
        <v>1759</v>
      </c>
      <c r="C10" s="178"/>
      <c r="D10" s="269"/>
      <c r="E10" s="872"/>
      <c r="F10" s="269"/>
      <c r="G10" s="269"/>
    </row>
    <row r="11" spans="1:11">
      <c r="A11" s="1829">
        <f>A10+1</f>
        <v>1</v>
      </c>
      <c r="B11" s="1913"/>
      <c r="C11" s="1911" t="s">
        <v>137</v>
      </c>
      <c r="D11" s="1662">
        <v>-53063</v>
      </c>
      <c r="E11" s="1952">
        <v>-2852.35</v>
      </c>
      <c r="F11" s="1952"/>
      <c r="G11" s="78">
        <f>+D11-E11+F11</f>
        <v>-50210.65</v>
      </c>
      <c r="H11" s="1914"/>
    </row>
    <row r="12" spans="1:11">
      <c r="A12" s="1829">
        <f t="shared" ref="A12:A13" si="0">A11+1</f>
        <v>2</v>
      </c>
      <c r="B12" s="1913"/>
      <c r="C12" s="1911" t="s">
        <v>1760</v>
      </c>
      <c r="D12" s="1952">
        <v>-365729</v>
      </c>
      <c r="E12" s="1952">
        <v>-28894.86</v>
      </c>
      <c r="F12" s="1952"/>
      <c r="G12" s="78">
        <f t="shared" ref="G12:G13" si="1">+D12-E12+F12</f>
        <v>-336834.14</v>
      </c>
    </row>
    <row r="13" spans="1:11">
      <c r="A13" s="1829">
        <f t="shared" si="0"/>
        <v>3</v>
      </c>
      <c r="B13" s="1913"/>
      <c r="C13" s="1911" t="s">
        <v>414</v>
      </c>
      <c r="D13" s="1952">
        <v>0</v>
      </c>
      <c r="E13" s="1952">
        <v>0</v>
      </c>
      <c r="F13" s="1952"/>
      <c r="G13" s="78">
        <f t="shared" si="1"/>
        <v>0</v>
      </c>
    </row>
    <row r="14" spans="1:11">
      <c r="A14" s="1829"/>
      <c r="B14" s="1913"/>
      <c r="C14" s="1911"/>
      <c r="D14" s="269"/>
      <c r="E14" s="269"/>
      <c r="F14" s="269"/>
      <c r="G14" s="78"/>
    </row>
    <row r="15" spans="1:11" ht="22.2" customHeight="1">
      <c r="A15" s="1829"/>
      <c r="B15" s="1915" t="s">
        <v>1761</v>
      </c>
      <c r="C15" s="1916"/>
      <c r="D15" s="1917"/>
      <c r="E15" s="1917"/>
      <c r="F15" s="1917"/>
      <c r="G15" s="1918"/>
    </row>
    <row r="16" spans="1:11">
      <c r="A16" s="1829"/>
      <c r="B16" s="1913" t="s">
        <v>1762</v>
      </c>
      <c r="C16" s="1913"/>
      <c r="D16" s="78"/>
      <c r="E16" s="78"/>
      <c r="F16" s="78"/>
      <c r="G16" s="78"/>
    </row>
    <row r="17" spans="1:7">
      <c r="A17" s="1829">
        <f>A13+1</f>
        <v>4</v>
      </c>
      <c r="B17" s="1910"/>
      <c r="C17" s="1911" t="s">
        <v>137</v>
      </c>
      <c r="D17" s="1824">
        <v>536732.89279999991</v>
      </c>
      <c r="E17" s="1824">
        <v>53674.528336000003</v>
      </c>
      <c r="F17" s="1824">
        <v>105583.26334400001</v>
      </c>
      <c r="G17" s="78">
        <f t="shared" ref="G17:G19" si="2">+D17-E17+F17</f>
        <v>588641.62780799996</v>
      </c>
    </row>
    <row r="18" spans="1:7">
      <c r="A18" s="1829">
        <f t="shared" ref="A18:A19" si="3">A17+1</f>
        <v>5</v>
      </c>
      <c r="B18" s="1910"/>
      <c r="C18" s="1911" t="s">
        <v>1760</v>
      </c>
      <c r="D18" s="1824">
        <v>320337.14960000006</v>
      </c>
      <c r="E18" s="1824">
        <v>16665.876552000002</v>
      </c>
      <c r="F18" s="1824">
        <v>33770.759879999998</v>
      </c>
      <c r="G18" s="78">
        <f t="shared" si="2"/>
        <v>337442.03292800009</v>
      </c>
    </row>
    <row r="19" spans="1:7">
      <c r="A19" s="1829">
        <f t="shared" si="3"/>
        <v>6</v>
      </c>
      <c r="B19" s="1910"/>
      <c r="C19" s="1911" t="s">
        <v>414</v>
      </c>
      <c r="D19" s="1824">
        <v>282078.02480000001</v>
      </c>
      <c r="E19" s="1824">
        <v>63163.169159999998</v>
      </c>
      <c r="F19" s="1824">
        <v>42729.323312</v>
      </c>
      <c r="G19" s="78">
        <f t="shared" si="2"/>
        <v>261644.17895200002</v>
      </c>
    </row>
    <row r="20" spans="1:7">
      <c r="A20" s="1829"/>
      <c r="B20" s="1910"/>
      <c r="C20" s="1910"/>
      <c r="D20" s="78"/>
      <c r="E20" s="78"/>
      <c r="F20" s="78"/>
      <c r="G20" s="78"/>
    </row>
    <row r="21" spans="1:7">
      <c r="A21" s="1829"/>
      <c r="B21" s="1913" t="s">
        <v>1763</v>
      </c>
      <c r="C21" s="1910"/>
      <c r="D21" s="78"/>
      <c r="E21" s="78"/>
      <c r="F21" s="78"/>
      <c r="G21" s="78"/>
    </row>
    <row r="22" spans="1:7">
      <c r="A22" s="1829">
        <f>A19+1</f>
        <v>7</v>
      </c>
      <c r="B22" s="1910"/>
      <c r="C22" s="1911" t="s">
        <v>137</v>
      </c>
      <c r="D22" s="1824">
        <v>1607.3096</v>
      </c>
      <c r="E22" s="1824">
        <v>188.798272</v>
      </c>
      <c r="F22" s="1824"/>
      <c r="G22" s="78">
        <f t="shared" ref="G22" si="4">+D22-E22+F22</f>
        <v>1418.511328</v>
      </c>
    </row>
    <row r="23" spans="1:7">
      <c r="A23" s="1829">
        <f>A22+1</f>
        <v>8</v>
      </c>
      <c r="B23" s="1910"/>
      <c r="C23" s="1911" t="s">
        <v>1760</v>
      </c>
      <c r="D23" s="1824">
        <v>0</v>
      </c>
      <c r="E23" s="1824">
        <v>0</v>
      </c>
      <c r="F23" s="1824"/>
      <c r="G23" s="78">
        <f t="shared" ref="G23:G24" si="5">SUM(D23:F23)</f>
        <v>0</v>
      </c>
    </row>
    <row r="24" spans="1:7">
      <c r="A24" s="1829">
        <f>A23+1</f>
        <v>9</v>
      </c>
      <c r="B24" s="1910"/>
      <c r="C24" s="1911" t="s">
        <v>414</v>
      </c>
      <c r="D24" s="1824">
        <v>0</v>
      </c>
      <c r="E24" s="1824">
        <v>0</v>
      </c>
      <c r="F24" s="1824"/>
      <c r="G24" s="78">
        <f t="shared" si="5"/>
        <v>0</v>
      </c>
    </row>
    <row r="25" spans="1:7">
      <c r="A25" s="1829"/>
      <c r="B25" s="1913"/>
      <c r="C25" s="178"/>
      <c r="D25" s="269"/>
      <c r="E25" s="269"/>
      <c r="F25" s="269"/>
      <c r="G25" s="269"/>
    </row>
    <row r="26" spans="1:7" ht="13.8" thickBot="1">
      <c r="A26" s="1829">
        <f>A24+1</f>
        <v>10</v>
      </c>
      <c r="B26" s="1913"/>
      <c r="C26" s="1911" t="s">
        <v>1764</v>
      </c>
      <c r="D26" s="1919">
        <f>SUM(D11:D25)</f>
        <v>721963.37679999997</v>
      </c>
      <c r="E26" s="1919">
        <f>SUM(E11:E25)</f>
        <v>101945.16232</v>
      </c>
      <c r="F26" s="1919">
        <f>SUM(F11:F25)</f>
        <v>182083.346536</v>
      </c>
      <c r="G26" s="1919">
        <f>SUM(G11:G25)</f>
        <v>802101.56101599999</v>
      </c>
    </row>
    <row r="27" spans="1:7" ht="13.8" thickTop="1">
      <c r="A27" s="1829"/>
      <c r="B27" s="813"/>
      <c r="C27" s="1829"/>
      <c r="D27" s="78"/>
      <c r="E27" s="78"/>
      <c r="F27" s="78"/>
      <c r="G27" s="78"/>
    </row>
    <row r="28" spans="1:7">
      <c r="A28" s="1829"/>
      <c r="B28" s="178"/>
      <c r="C28" s="178"/>
      <c r="D28" s="178"/>
      <c r="E28" s="178"/>
      <c r="F28" s="178"/>
      <c r="G28" s="178"/>
    </row>
    <row r="29" spans="1:7">
      <c r="A29" s="1829"/>
      <c r="B29" s="178"/>
      <c r="C29" s="178"/>
      <c r="D29" s="178"/>
      <c r="E29" s="178"/>
      <c r="F29" s="178"/>
      <c r="G29" s="178"/>
    </row>
    <row r="30" spans="1:7">
      <c r="A30" s="855"/>
    </row>
    <row r="63" spans="7:7">
      <c r="G63" s="1920"/>
    </row>
  </sheetData>
  <mergeCells count="3">
    <mergeCell ref="A1:G1"/>
    <mergeCell ref="A2:G2"/>
    <mergeCell ref="A3:G3"/>
  </mergeCells>
  <printOptions horizontalCentered="1"/>
  <pageMargins left="0.7" right="0.7" top="0.75" bottom="0.5" header="0.3" footer="0.55000000000000004"/>
  <pageSetup orientation="portrait" r:id="rId1"/>
  <headerFoot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88"/>
  <sheetViews>
    <sheetView zoomScaleNormal="100" workbookViewId="0">
      <selection activeCell="L6" sqref="L6"/>
    </sheetView>
  </sheetViews>
  <sheetFormatPr defaultColWidth="8.88671875" defaultRowHeight="13.2"/>
  <cols>
    <col min="1" max="1" width="6.109375" style="614" customWidth="1"/>
    <col min="2" max="2" width="43.44140625" style="613" customWidth="1"/>
    <col min="3" max="3" width="11" style="613" bestFit="1" customWidth="1"/>
    <col min="4" max="4" width="7.109375" style="613" bestFit="1" customWidth="1"/>
    <col min="5" max="5" width="5.77734375" style="625" bestFit="1" customWidth="1"/>
    <col min="6" max="6" width="13.109375" style="625" bestFit="1" customWidth="1"/>
    <col min="7" max="7" width="10.109375" style="990" bestFit="1" customWidth="1"/>
    <col min="8" max="8" width="9.44140625" style="966" bestFit="1" customWidth="1"/>
    <col min="9" max="10" width="10.44140625" style="625" bestFit="1" customWidth="1"/>
    <col min="11" max="11" width="12.88671875" style="990" customWidth="1"/>
    <col min="12" max="12" width="9.88671875" style="613" customWidth="1"/>
    <col min="13" max="13" width="9.5546875" style="613" bestFit="1" customWidth="1"/>
    <col min="14" max="16384" width="8.88671875" style="613"/>
  </cols>
  <sheetData>
    <row r="1" spans="1:18">
      <c r="A1" s="2067" t="str">
        <f>+'MISO Cover'!C6</f>
        <v>Entergy New Orleans, Inc.</v>
      </c>
      <c r="B1" s="2067"/>
      <c r="C1" s="2067"/>
      <c r="D1" s="2067"/>
      <c r="E1" s="2067"/>
      <c r="F1" s="2067"/>
      <c r="G1" s="2067"/>
      <c r="H1" s="2067"/>
      <c r="I1" s="2067"/>
      <c r="J1" s="2067"/>
      <c r="K1" s="2067"/>
      <c r="L1" s="842"/>
    </row>
    <row r="2" spans="1:18">
      <c r="A2" s="2068" t="s">
        <v>955</v>
      </c>
      <c r="B2" s="2068"/>
      <c r="C2" s="2068"/>
      <c r="D2" s="2068"/>
      <c r="E2" s="2068"/>
      <c r="F2" s="2068"/>
      <c r="G2" s="2068"/>
      <c r="H2" s="2068"/>
      <c r="I2" s="2068"/>
      <c r="J2" s="2068"/>
      <c r="K2" s="2068"/>
      <c r="L2" s="168"/>
    </row>
    <row r="3" spans="1:18">
      <c r="A3" s="2067" t="str">
        <f>+'MISO Cover'!K4</f>
        <v>For  the 12 Months Ended 12/31/2016</v>
      </c>
      <c r="B3" s="2067"/>
      <c r="C3" s="2067"/>
      <c r="D3" s="2067"/>
      <c r="E3" s="2067"/>
      <c r="F3" s="2067"/>
      <c r="G3" s="2067"/>
      <c r="H3" s="2067"/>
      <c r="I3" s="2067"/>
      <c r="J3" s="2067"/>
      <c r="K3" s="2067"/>
    </row>
    <row r="4" spans="1:18">
      <c r="B4" s="843"/>
      <c r="C4" s="843"/>
      <c r="D4" s="843"/>
      <c r="E4" s="836"/>
      <c r="F4" s="836"/>
      <c r="G4" s="836"/>
      <c r="I4" s="836"/>
      <c r="J4" s="836"/>
      <c r="K4" s="836"/>
      <c r="L4" s="842"/>
    </row>
    <row r="5" spans="1:18">
      <c r="A5" s="2068" t="s">
        <v>923</v>
      </c>
      <c r="B5" s="2068"/>
      <c r="C5" s="2068"/>
      <c r="D5" s="2068"/>
      <c r="E5" s="2068"/>
      <c r="F5" s="2068"/>
      <c r="G5" s="2068"/>
      <c r="H5" s="2068"/>
      <c r="I5" s="2068"/>
      <c r="J5" s="2068"/>
      <c r="K5" s="2068"/>
    </row>
    <row r="6" spans="1:18">
      <c r="A6" s="1139"/>
      <c r="B6" s="1139"/>
      <c r="C6" s="1139"/>
      <c r="D6" s="1139"/>
      <c r="E6" s="1139"/>
      <c r="F6" s="1139"/>
      <c r="G6" s="1139"/>
      <c r="H6" s="1139"/>
      <c r="I6" s="1139"/>
      <c r="J6" s="1139"/>
      <c r="K6" s="1139"/>
    </row>
    <row r="7" spans="1:18" s="966" customFormat="1">
      <c r="A7" s="963"/>
      <c r="B7" s="1139"/>
      <c r="C7" s="1289"/>
      <c r="D7" s="1289"/>
      <c r="E7" s="1289" t="str">
        <f>+C8&amp;" + "&amp;D8</f>
        <v>B + C</v>
      </c>
      <c r="G7" s="228" t="str">
        <f>+"- ("&amp;E8&amp;"+"&amp;F8&amp;")"</f>
        <v>- (D+E)</v>
      </c>
      <c r="H7" s="963" t="str">
        <f>+G8&amp;" * "&amp;D8&amp;"/"&amp;E8</f>
        <v>F * C/D</v>
      </c>
      <c r="K7" s="963" t="str">
        <f>+G8&amp;" - "&amp;I8&amp;" - "&amp;J8</f>
        <v>F - H - I</v>
      </c>
      <c r="L7" s="989"/>
    </row>
    <row r="8" spans="1:18" s="966" customFormat="1" ht="13.2" customHeight="1">
      <c r="A8" s="963" t="s">
        <v>281</v>
      </c>
      <c r="B8" s="827" t="s">
        <v>68</v>
      </c>
      <c r="C8" s="827" t="s">
        <v>115</v>
      </c>
      <c r="D8" s="827" t="s">
        <v>56</v>
      </c>
      <c r="E8" s="828" t="s">
        <v>69</v>
      </c>
      <c r="F8" s="828" t="s">
        <v>67</v>
      </c>
      <c r="G8" s="828" t="s">
        <v>157</v>
      </c>
      <c r="H8" s="828" t="s">
        <v>70</v>
      </c>
      <c r="I8" s="828" t="s">
        <v>170</v>
      </c>
      <c r="J8" s="828" t="s">
        <v>60</v>
      </c>
      <c r="K8" s="828" t="s">
        <v>61</v>
      </c>
      <c r="M8" s="1150"/>
      <c r="N8" s="1150"/>
      <c r="O8" s="1150"/>
      <c r="P8" s="1150"/>
      <c r="Q8" s="1150"/>
      <c r="R8" s="1148"/>
    </row>
    <row r="9" spans="1:18" s="966" customFormat="1" ht="15">
      <c r="A9" s="963"/>
      <c r="B9" s="827"/>
      <c r="C9" s="2151" t="s">
        <v>804</v>
      </c>
      <c r="D9" s="2151"/>
      <c r="E9" s="2151"/>
      <c r="F9" s="1251" t="s">
        <v>799</v>
      </c>
      <c r="G9" s="2151" t="s">
        <v>807</v>
      </c>
      <c r="H9" s="2151"/>
      <c r="I9" s="2151" t="s">
        <v>802</v>
      </c>
      <c r="J9" s="2151"/>
      <c r="K9" s="1251" t="s">
        <v>807</v>
      </c>
      <c r="M9" s="1150"/>
      <c r="N9" s="1150"/>
      <c r="O9" s="1150"/>
      <c r="P9" s="1150"/>
      <c r="Q9" s="1150"/>
      <c r="R9" s="1148"/>
    </row>
    <row r="10" spans="1:18" s="963" customFormat="1" ht="15" customHeight="1">
      <c r="A10" s="964">
        <v>1</v>
      </c>
      <c r="B10" s="844" t="s">
        <v>174</v>
      </c>
      <c r="C10" s="1337" t="s">
        <v>891</v>
      </c>
      <c r="D10" s="1149" t="s">
        <v>805</v>
      </c>
      <c r="E10" s="1149" t="s">
        <v>114</v>
      </c>
      <c r="F10" s="1149" t="s">
        <v>806</v>
      </c>
      <c r="G10" s="1149" t="s">
        <v>809</v>
      </c>
      <c r="H10" s="1338" t="s">
        <v>808</v>
      </c>
      <c r="I10" s="1149" t="s">
        <v>801</v>
      </c>
      <c r="J10" s="1149" t="s">
        <v>803</v>
      </c>
      <c r="K10" s="1149" t="s">
        <v>114</v>
      </c>
      <c r="M10" s="1150"/>
      <c r="N10" s="1150"/>
      <c r="O10" s="1150"/>
      <c r="P10" s="1150"/>
      <c r="Q10" s="1150"/>
      <c r="R10" s="1148"/>
    </row>
    <row r="11" spans="1:18">
      <c r="A11" s="965">
        <f>+A10+0.01</f>
        <v>1.01</v>
      </c>
      <c r="B11" s="574" t="s">
        <v>1223</v>
      </c>
      <c r="C11" s="208">
        <f>IFERROR(INDEX(#REF!,MATCH($B11,#REF!,0)),0)</f>
        <v>0</v>
      </c>
      <c r="D11" s="208">
        <f>IFERROR(INDEX(#REF!,MATCH($B11,#REF!,0)),0)</f>
        <v>0</v>
      </c>
      <c r="E11" s="78">
        <f t="shared" ref="E11:E33" si="0">+C11+D11</f>
        <v>0</v>
      </c>
      <c r="F11" s="208">
        <f>IFERROR(INDEX(#REF!,MATCH($B11,#REF!,0)),0)</f>
        <v>0</v>
      </c>
      <c r="G11" s="78">
        <f>-(E11+F11)</f>
        <v>0</v>
      </c>
      <c r="H11" s="502">
        <f t="shared" ref="H11:H50" si="1">G11*IF($E11=0,0,+ABS($D11)/(ABS($C11)+ABS($D11)))</f>
        <v>0</v>
      </c>
      <c r="I11" s="208">
        <v>0</v>
      </c>
      <c r="J11" s="208">
        <v>34575.96</v>
      </c>
      <c r="K11" s="845">
        <f t="shared" ref="K11:K14" si="2">-I11-J11</f>
        <v>-34575.96</v>
      </c>
      <c r="L11" s="1065"/>
      <c r="M11" s="1150"/>
      <c r="N11" s="1150"/>
      <c r="O11" s="1150"/>
      <c r="P11" s="1150"/>
      <c r="Q11" s="1150"/>
    </row>
    <row r="12" spans="1:18">
      <c r="A12" s="965">
        <f t="shared" ref="A12:A52" si="3">+A11+0.01</f>
        <v>1.02</v>
      </c>
      <c r="B12" s="574" t="s">
        <v>1224</v>
      </c>
      <c r="C12" s="208">
        <f>IFERROR(INDEX(#REF!,MATCH($B12,#REF!,0)),0)</f>
        <v>0</v>
      </c>
      <c r="D12" s="208">
        <f>IFERROR(INDEX(#REF!,MATCH($B12,#REF!,0)),0)</f>
        <v>0</v>
      </c>
      <c r="E12" s="78">
        <f t="shared" si="0"/>
        <v>0</v>
      </c>
      <c r="F12" s="208">
        <f>IFERROR(INDEX(#REF!,MATCH($B12,#REF!,0)),0)</f>
        <v>0</v>
      </c>
      <c r="G12" s="78">
        <f t="shared" ref="G12:G50" si="4">-E12-F12</f>
        <v>0</v>
      </c>
      <c r="H12" s="502">
        <f t="shared" si="1"/>
        <v>0</v>
      </c>
      <c r="I12" s="208">
        <v>0</v>
      </c>
      <c r="J12" s="208">
        <v>0</v>
      </c>
      <c r="K12" s="845">
        <f t="shared" si="2"/>
        <v>0</v>
      </c>
      <c r="L12" s="1065"/>
      <c r="M12" s="1150"/>
      <c r="N12" s="1150"/>
      <c r="O12" s="1150"/>
      <c r="P12" s="1150"/>
      <c r="Q12" s="1150"/>
    </row>
    <row r="13" spans="1:18">
      <c r="A13" s="965">
        <f t="shared" si="3"/>
        <v>1.03</v>
      </c>
      <c r="B13" s="574" t="s">
        <v>1225</v>
      </c>
      <c r="C13" s="208">
        <f>IFERROR(INDEX(#REF!,MATCH($B13,#REF!,0)),0)</f>
        <v>0</v>
      </c>
      <c r="D13" s="208">
        <f>IFERROR(INDEX(#REF!,MATCH($B13,#REF!,0)),0)</f>
        <v>0</v>
      </c>
      <c r="E13" s="78">
        <f t="shared" si="0"/>
        <v>0</v>
      </c>
      <c r="F13" s="208">
        <f>IFERROR(INDEX(#REF!,MATCH($B13,#REF!,0)),0)</f>
        <v>0</v>
      </c>
      <c r="G13" s="78">
        <f t="shared" si="4"/>
        <v>0</v>
      </c>
      <c r="H13" s="502">
        <f t="shared" si="1"/>
        <v>0</v>
      </c>
      <c r="I13" s="208">
        <v>0</v>
      </c>
      <c r="J13" s="208">
        <v>0</v>
      </c>
      <c r="K13" s="845">
        <f t="shared" si="2"/>
        <v>0</v>
      </c>
      <c r="L13" s="1065"/>
      <c r="M13" s="1150"/>
      <c r="N13" s="1150"/>
      <c r="O13" s="1150"/>
      <c r="P13" s="1150"/>
      <c r="Q13" s="1150"/>
    </row>
    <row r="14" spans="1:18">
      <c r="A14" s="965">
        <f t="shared" si="3"/>
        <v>1.04</v>
      </c>
      <c r="B14" s="574" t="s">
        <v>1226</v>
      </c>
      <c r="C14" s="208">
        <f>IFERROR(INDEX(#REF!,MATCH($B14,#REF!,0)),0)</f>
        <v>0</v>
      </c>
      <c r="D14" s="208">
        <f>IFERROR(INDEX(#REF!,MATCH($B14,#REF!,0)),0)</f>
        <v>0</v>
      </c>
      <c r="E14" s="78">
        <f t="shared" si="0"/>
        <v>0</v>
      </c>
      <c r="F14" s="208">
        <f>IFERROR(INDEX(#REF!,MATCH($B14,#REF!,0)),0)</f>
        <v>0</v>
      </c>
      <c r="G14" s="78">
        <f t="shared" si="4"/>
        <v>0</v>
      </c>
      <c r="H14" s="502">
        <f t="shared" si="1"/>
        <v>0</v>
      </c>
      <c r="I14" s="208">
        <v>0</v>
      </c>
      <c r="J14" s="208">
        <v>0</v>
      </c>
      <c r="K14" s="845">
        <f t="shared" si="2"/>
        <v>0</v>
      </c>
      <c r="L14" s="1065"/>
      <c r="M14" s="1150"/>
      <c r="N14" s="1150"/>
      <c r="O14" s="1150"/>
      <c r="P14" s="1150"/>
      <c r="Q14" s="1150"/>
    </row>
    <row r="15" spans="1:18">
      <c r="A15" s="965">
        <f t="shared" si="3"/>
        <v>1.05</v>
      </c>
      <c r="B15" s="284" t="s">
        <v>1227</v>
      </c>
      <c r="C15" s="208">
        <f>IFERROR(INDEX(#REF!,MATCH($B15,#REF!,0)),0)</f>
        <v>0</v>
      </c>
      <c r="D15" s="208">
        <f>IFERROR(INDEX(#REF!,MATCH($B15,#REF!,0)),0)</f>
        <v>0</v>
      </c>
      <c r="E15" s="78">
        <f t="shared" si="0"/>
        <v>0</v>
      </c>
      <c r="F15" s="208">
        <f>IFERROR(INDEX(#REF!,MATCH($B15,#REF!,0)),0)</f>
        <v>0</v>
      </c>
      <c r="G15" s="78">
        <f t="shared" si="4"/>
        <v>0</v>
      </c>
      <c r="H15" s="502">
        <f t="shared" si="1"/>
        <v>0</v>
      </c>
      <c r="I15" s="208">
        <v>239.85</v>
      </c>
      <c r="J15" s="208">
        <v>21699.72</v>
      </c>
      <c r="K15" s="845">
        <f>-I15-J15</f>
        <v>-21939.57</v>
      </c>
      <c r="L15" s="1065"/>
      <c r="M15" s="1150"/>
      <c r="N15" s="1150"/>
    </row>
    <row r="16" spans="1:18">
      <c r="A16" s="965">
        <f t="shared" si="3"/>
        <v>1.06</v>
      </c>
      <c r="B16" s="284" t="s">
        <v>1228</v>
      </c>
      <c r="C16" s="208">
        <f>IFERROR(INDEX(#REF!,MATCH($B16,#REF!,0)),0)</f>
        <v>0</v>
      </c>
      <c r="D16" s="208">
        <f>IFERROR(INDEX(#REF!,MATCH($B16,#REF!,0)),0)</f>
        <v>0</v>
      </c>
      <c r="E16" s="78">
        <f t="shared" si="0"/>
        <v>0</v>
      </c>
      <c r="F16" s="208">
        <f>IFERROR(INDEX(#REF!,MATCH($B16,#REF!,0)),0)</f>
        <v>0</v>
      </c>
      <c r="G16" s="78">
        <f t="shared" si="4"/>
        <v>0</v>
      </c>
      <c r="H16" s="502">
        <f t="shared" si="1"/>
        <v>0</v>
      </c>
      <c r="I16" s="208">
        <v>156.5</v>
      </c>
      <c r="J16" s="208">
        <v>-2675.49</v>
      </c>
      <c r="K16" s="845">
        <f t="shared" ref="K16:K54" si="5">-I16-J16</f>
        <v>2518.9899999999998</v>
      </c>
      <c r="L16" s="1065"/>
      <c r="M16" s="2148" t="s">
        <v>1574</v>
      </c>
      <c r="N16" s="2148"/>
      <c r="O16" s="2148"/>
      <c r="P16" s="2148"/>
    </row>
    <row r="17" spans="1:14">
      <c r="A17" s="965">
        <f t="shared" si="3"/>
        <v>1.07</v>
      </c>
      <c r="B17" s="284" t="s">
        <v>1229</v>
      </c>
      <c r="C17" s="208">
        <f>IFERROR(INDEX(#REF!,MATCH($B17,#REF!,0)),0)</f>
        <v>0</v>
      </c>
      <c r="D17" s="208">
        <f>IFERROR(INDEX(#REF!,MATCH($B17,#REF!,0)),0)</f>
        <v>0</v>
      </c>
      <c r="E17" s="78">
        <f t="shared" si="0"/>
        <v>0</v>
      </c>
      <c r="F17" s="208">
        <f>IFERROR(INDEX(#REF!,MATCH($B17,#REF!,0)),0)</f>
        <v>0</v>
      </c>
      <c r="G17" s="78">
        <f t="shared" si="4"/>
        <v>0</v>
      </c>
      <c r="H17" s="502">
        <f t="shared" si="1"/>
        <v>0</v>
      </c>
      <c r="I17" s="208">
        <v>0</v>
      </c>
      <c r="J17" s="208">
        <v>105363</v>
      </c>
      <c r="K17" s="845">
        <f t="shared" si="5"/>
        <v>-105363</v>
      </c>
      <c r="L17" s="1065"/>
      <c r="M17" s="1150"/>
      <c r="N17" s="1150"/>
    </row>
    <row r="18" spans="1:14">
      <c r="A18" s="965">
        <f t="shared" si="3"/>
        <v>1.08</v>
      </c>
      <c r="B18" s="574" t="s">
        <v>1230</v>
      </c>
      <c r="C18" s="208">
        <f>IFERROR(INDEX(#REF!,MATCH($B18,#REF!,0)),0)</f>
        <v>0</v>
      </c>
      <c r="D18" s="208">
        <f>IFERROR(INDEX(#REF!,MATCH($B18,#REF!,0)),0)</f>
        <v>0</v>
      </c>
      <c r="E18" s="78">
        <f t="shared" si="0"/>
        <v>0</v>
      </c>
      <c r="F18" s="208">
        <f>IFERROR(INDEX(#REF!,MATCH($B18,#REF!,0)),0)</f>
        <v>0</v>
      </c>
      <c r="G18" s="78">
        <f t="shared" si="4"/>
        <v>0</v>
      </c>
      <c r="H18" s="502">
        <f t="shared" si="1"/>
        <v>0</v>
      </c>
      <c r="I18" s="208">
        <v>0</v>
      </c>
      <c r="J18" s="208">
        <v>24.24</v>
      </c>
      <c r="K18" s="845">
        <f t="shared" si="5"/>
        <v>-24.24</v>
      </c>
      <c r="L18" s="1065"/>
      <c r="M18" s="1150"/>
      <c r="N18" s="1150"/>
    </row>
    <row r="19" spans="1:14">
      <c r="A19" s="965">
        <f t="shared" si="3"/>
        <v>1.0900000000000001</v>
      </c>
      <c r="B19" s="574" t="s">
        <v>1231</v>
      </c>
      <c r="C19" s="208">
        <f>IFERROR(INDEX(#REF!,MATCH($B19,#REF!,0)),0)</f>
        <v>0</v>
      </c>
      <c r="D19" s="208">
        <f>IFERROR(INDEX(#REF!,MATCH($B19,#REF!,0)),0)</f>
        <v>0</v>
      </c>
      <c r="E19" s="78">
        <f t="shared" si="0"/>
        <v>0</v>
      </c>
      <c r="F19" s="208">
        <f>IFERROR(INDEX(#REF!,MATCH($B19,#REF!,0)),0)</f>
        <v>0</v>
      </c>
      <c r="G19" s="78">
        <f t="shared" si="4"/>
        <v>0</v>
      </c>
      <c r="H19" s="502">
        <f t="shared" si="1"/>
        <v>0</v>
      </c>
      <c r="I19" s="208">
        <v>0</v>
      </c>
      <c r="J19" s="208">
        <v>51</v>
      </c>
      <c r="K19" s="845">
        <f t="shared" si="5"/>
        <v>-51</v>
      </c>
      <c r="L19" s="1065"/>
      <c r="M19" s="1150"/>
      <c r="N19" s="1150"/>
    </row>
    <row r="20" spans="1:14">
      <c r="A20" s="965">
        <f t="shared" si="3"/>
        <v>1.1000000000000001</v>
      </c>
      <c r="B20" s="284" t="s">
        <v>1232</v>
      </c>
      <c r="C20" s="208">
        <f>IFERROR(INDEX(#REF!,MATCH($B20,#REF!,0)),0)</f>
        <v>0</v>
      </c>
      <c r="D20" s="208">
        <f>IFERROR(INDEX(#REF!,MATCH($B20,#REF!,0)),0)</f>
        <v>0</v>
      </c>
      <c r="E20" s="78">
        <f t="shared" si="0"/>
        <v>0</v>
      </c>
      <c r="F20" s="208">
        <f>IFERROR(INDEX(#REF!,MATCH($B20,#REF!,0)),0)</f>
        <v>0</v>
      </c>
      <c r="G20" s="78">
        <f t="shared" si="4"/>
        <v>0</v>
      </c>
      <c r="H20" s="502">
        <f t="shared" si="1"/>
        <v>0</v>
      </c>
      <c r="I20" s="208">
        <v>0</v>
      </c>
      <c r="J20" s="208">
        <v>18.36</v>
      </c>
      <c r="K20" s="845">
        <f t="shared" si="5"/>
        <v>-18.36</v>
      </c>
      <c r="L20" s="1065"/>
      <c r="M20" s="1150"/>
      <c r="N20" s="1150"/>
    </row>
    <row r="21" spans="1:14">
      <c r="A21" s="965">
        <f t="shared" si="3"/>
        <v>1.1100000000000001</v>
      </c>
      <c r="B21" s="284" t="s">
        <v>1233</v>
      </c>
      <c r="C21" s="208">
        <f>IFERROR(INDEX(#REF!,MATCH($B21,#REF!,0)),0)</f>
        <v>0</v>
      </c>
      <c r="D21" s="208">
        <f>IFERROR(INDEX(#REF!,MATCH($B21,#REF!,0)),0)</f>
        <v>0</v>
      </c>
      <c r="E21" s="78">
        <f t="shared" si="0"/>
        <v>0</v>
      </c>
      <c r="F21" s="208">
        <f>IFERROR(INDEX(#REF!,MATCH($B21,#REF!,0)),0)</f>
        <v>0</v>
      </c>
      <c r="G21" s="78">
        <f t="shared" si="4"/>
        <v>0</v>
      </c>
      <c r="H21" s="502">
        <f t="shared" si="1"/>
        <v>0</v>
      </c>
      <c r="I21" s="208">
        <v>0</v>
      </c>
      <c r="J21" s="208">
        <v>26.64</v>
      </c>
      <c r="K21" s="845">
        <f t="shared" si="5"/>
        <v>-26.64</v>
      </c>
      <c r="L21" s="1065"/>
      <c r="M21" s="1150"/>
      <c r="N21" s="1150"/>
    </row>
    <row r="22" spans="1:14">
      <c r="A22" s="965">
        <f t="shared" si="3"/>
        <v>1.1200000000000001</v>
      </c>
      <c r="B22" s="284" t="s">
        <v>1234</v>
      </c>
      <c r="C22" s="208">
        <f>IFERROR(INDEX(#REF!,MATCH($B22,#REF!,0)),0)</f>
        <v>0</v>
      </c>
      <c r="D22" s="208">
        <f>IFERROR(INDEX(#REF!,MATCH($B22,#REF!,0)),0)</f>
        <v>0</v>
      </c>
      <c r="E22" s="78">
        <f t="shared" si="0"/>
        <v>0</v>
      </c>
      <c r="F22" s="208">
        <f>IFERROR(INDEX(#REF!,MATCH($B22,#REF!,0)),0)</f>
        <v>0</v>
      </c>
      <c r="G22" s="78">
        <f t="shared" si="4"/>
        <v>0</v>
      </c>
      <c r="H22" s="502">
        <f t="shared" si="1"/>
        <v>0</v>
      </c>
      <c r="I22" s="208">
        <v>0</v>
      </c>
      <c r="J22" s="208">
        <v>425.04</v>
      </c>
      <c r="K22" s="845">
        <f t="shared" si="5"/>
        <v>-425.04</v>
      </c>
      <c r="L22" s="1065"/>
      <c r="M22" s="1150"/>
      <c r="N22" s="1150"/>
    </row>
    <row r="23" spans="1:14">
      <c r="A23" s="965">
        <f t="shared" si="3"/>
        <v>1.1300000000000001</v>
      </c>
      <c r="B23" s="284" t="s">
        <v>1235</v>
      </c>
      <c r="C23" s="208">
        <f>IFERROR(INDEX(#REF!,MATCH($B23,#REF!,0)),0)</f>
        <v>0</v>
      </c>
      <c r="D23" s="208">
        <f>IFERROR(INDEX(#REF!,MATCH($B23,#REF!,0)),0)</f>
        <v>0</v>
      </c>
      <c r="E23" s="78">
        <f t="shared" si="0"/>
        <v>0</v>
      </c>
      <c r="F23" s="208">
        <f>IFERROR(INDEX(#REF!,MATCH($B23,#REF!,0)),0)</f>
        <v>0</v>
      </c>
      <c r="G23" s="78">
        <f t="shared" si="4"/>
        <v>0</v>
      </c>
      <c r="H23" s="502">
        <f t="shared" si="1"/>
        <v>0</v>
      </c>
      <c r="I23" s="208">
        <v>6049.25</v>
      </c>
      <c r="J23" s="208">
        <v>73920.36</v>
      </c>
      <c r="K23" s="845">
        <f t="shared" si="5"/>
        <v>-79969.61</v>
      </c>
      <c r="L23" s="1065"/>
      <c r="M23" s="1150"/>
      <c r="N23" s="1150"/>
    </row>
    <row r="24" spans="1:14">
      <c r="A24" s="965">
        <f t="shared" si="3"/>
        <v>1.1400000000000001</v>
      </c>
      <c r="B24" s="284" t="s">
        <v>1236</v>
      </c>
      <c r="C24" s="208">
        <f>IFERROR(INDEX(#REF!,MATCH($B24,#REF!,0)),0)</f>
        <v>0</v>
      </c>
      <c r="D24" s="208">
        <f>IFERROR(INDEX(#REF!,MATCH($B24,#REF!,0)),0)</f>
        <v>0</v>
      </c>
      <c r="E24" s="78">
        <f t="shared" si="0"/>
        <v>0</v>
      </c>
      <c r="F24" s="208">
        <f>IFERROR(INDEX(#REF!,MATCH($B24,#REF!,0)),0)</f>
        <v>0</v>
      </c>
      <c r="G24" s="845">
        <f t="shared" si="4"/>
        <v>0</v>
      </c>
      <c r="H24" s="502">
        <f t="shared" si="1"/>
        <v>0</v>
      </c>
      <c r="I24" s="208">
        <v>0.8</v>
      </c>
      <c r="J24" s="208">
        <v>-0.12</v>
      </c>
      <c r="K24" s="845">
        <f t="shared" si="5"/>
        <v>-0.68</v>
      </c>
      <c r="L24" s="1065"/>
      <c r="M24" s="1150"/>
      <c r="N24" s="1150"/>
    </row>
    <row r="25" spans="1:14">
      <c r="A25" s="965">
        <f t="shared" si="3"/>
        <v>1.1500000000000001</v>
      </c>
      <c r="B25" s="284" t="s">
        <v>1237</v>
      </c>
      <c r="C25" s="208">
        <f>IFERROR(INDEX(#REF!,MATCH($B25,#REF!,0)),0)</f>
        <v>0</v>
      </c>
      <c r="D25" s="208">
        <f>IFERROR(INDEX(#REF!,MATCH($B25,#REF!,0)),0)</f>
        <v>0</v>
      </c>
      <c r="E25" s="78">
        <f t="shared" si="0"/>
        <v>0</v>
      </c>
      <c r="F25" s="208">
        <f>IFERROR(INDEX(#REF!,MATCH($B25,#REF!,0)),0)</f>
        <v>0</v>
      </c>
      <c r="G25" s="845">
        <f t="shared" ref="G25" si="6">-E25-F25</f>
        <v>0</v>
      </c>
      <c r="H25" s="502">
        <f t="shared" ref="H25" si="7">G25*IF($E25=0,0,+ABS($D25)/(ABS($C25)+ABS($D25)))</f>
        <v>0</v>
      </c>
      <c r="I25" s="208">
        <v>65.2</v>
      </c>
      <c r="J25" s="208">
        <v>18.48</v>
      </c>
      <c r="K25" s="845">
        <f t="shared" si="5"/>
        <v>-83.68</v>
      </c>
      <c r="L25" s="1065"/>
      <c r="M25" s="1150"/>
      <c r="N25" s="1150"/>
    </row>
    <row r="26" spans="1:14">
      <c r="A26" s="965">
        <f t="shared" si="3"/>
        <v>1.1600000000000001</v>
      </c>
      <c r="B26" s="284" t="s">
        <v>1238</v>
      </c>
      <c r="C26" s="208">
        <f>IFERROR(INDEX(#REF!,MATCH($B26,#REF!,0)),0)</f>
        <v>0</v>
      </c>
      <c r="D26" s="208">
        <f>IFERROR(INDEX(#REF!,MATCH($B26,#REF!,0)),0)</f>
        <v>0</v>
      </c>
      <c r="E26" s="78">
        <f t="shared" ref="E26" si="8">+C26+D26</f>
        <v>0</v>
      </c>
      <c r="F26" s="208">
        <f>IFERROR(INDEX(#REF!,MATCH($B26,#REF!,0)),0)</f>
        <v>0</v>
      </c>
      <c r="G26" s="845">
        <f t="shared" ref="G26" si="9">-E26-F26</f>
        <v>0</v>
      </c>
      <c r="H26" s="502">
        <f t="shared" ref="H26" si="10">G26*IF($E26=0,0,+ABS($D26)/(ABS($C26)+ABS($D26)))</f>
        <v>0</v>
      </c>
      <c r="I26" s="208">
        <v>0</v>
      </c>
      <c r="J26" s="208">
        <v>0</v>
      </c>
      <c r="K26" s="845">
        <f t="shared" si="5"/>
        <v>0</v>
      </c>
      <c r="L26" s="1065"/>
      <c r="M26" s="1150"/>
      <c r="N26" s="1150"/>
    </row>
    <row r="27" spans="1:14">
      <c r="A27" s="965">
        <f t="shared" si="3"/>
        <v>1.1700000000000002</v>
      </c>
      <c r="B27" s="284" t="s">
        <v>1239</v>
      </c>
      <c r="C27" s="208">
        <f>IFERROR(INDEX(#REF!,MATCH($B27,#REF!,0)),0)</f>
        <v>0</v>
      </c>
      <c r="D27" s="208">
        <f>IFERROR(INDEX(#REF!,MATCH($B27,#REF!,0)),0)</f>
        <v>0</v>
      </c>
      <c r="E27" s="78">
        <f t="shared" si="0"/>
        <v>0</v>
      </c>
      <c r="F27" s="208">
        <f>IFERROR(INDEX(#REF!,MATCH($B27,#REF!,0)),0)</f>
        <v>0</v>
      </c>
      <c r="G27" s="845">
        <f t="shared" si="4"/>
        <v>0</v>
      </c>
      <c r="H27" s="502">
        <f t="shared" si="1"/>
        <v>0</v>
      </c>
      <c r="I27" s="208">
        <v>46.6</v>
      </c>
      <c r="J27" s="208">
        <v>1.32</v>
      </c>
      <c r="K27" s="845">
        <f t="shared" si="5"/>
        <v>-47.92</v>
      </c>
      <c r="L27" s="1065"/>
      <c r="M27" s="1150"/>
      <c r="N27" s="1150"/>
    </row>
    <row r="28" spans="1:14">
      <c r="A28" s="965">
        <f t="shared" si="3"/>
        <v>1.1800000000000002</v>
      </c>
      <c r="B28" s="284" t="s">
        <v>1240</v>
      </c>
      <c r="C28" s="208">
        <f>IFERROR(INDEX(#REF!,MATCH($B28,#REF!,0)),0)</f>
        <v>0</v>
      </c>
      <c r="D28" s="208">
        <f>IFERROR(INDEX(#REF!,MATCH($B28,#REF!,0)),0)</f>
        <v>0</v>
      </c>
      <c r="E28" s="78">
        <f t="shared" si="0"/>
        <v>0</v>
      </c>
      <c r="F28" s="208">
        <f>IFERROR(INDEX(#REF!,MATCH($B28,#REF!,0)),0)</f>
        <v>0</v>
      </c>
      <c r="G28" s="78">
        <f t="shared" si="4"/>
        <v>0</v>
      </c>
      <c r="H28" s="502">
        <f t="shared" si="1"/>
        <v>0</v>
      </c>
      <c r="I28" s="208">
        <v>2.15</v>
      </c>
      <c r="J28" s="208">
        <v>20.399999999999999</v>
      </c>
      <c r="K28" s="845">
        <f t="shared" si="5"/>
        <v>-22.549999999999997</v>
      </c>
      <c r="L28" s="1065"/>
      <c r="M28" s="1150"/>
      <c r="N28" s="1150"/>
    </row>
    <row r="29" spans="1:14">
      <c r="A29" s="965">
        <f t="shared" si="3"/>
        <v>1.1900000000000002</v>
      </c>
      <c r="B29" s="284" t="s">
        <v>1241</v>
      </c>
      <c r="C29" s="208">
        <f>IFERROR(INDEX(#REF!,MATCH($B29,#REF!,0)),0)</f>
        <v>0</v>
      </c>
      <c r="D29" s="208">
        <f>IFERROR(INDEX(#REF!,MATCH($B29,#REF!,0)),0)</f>
        <v>0</v>
      </c>
      <c r="E29" s="78">
        <f t="shared" ref="E29" si="11">+C29+D29</f>
        <v>0</v>
      </c>
      <c r="F29" s="208">
        <f>IFERROR(INDEX(#REF!,MATCH($B29,#REF!,0)),0)</f>
        <v>0</v>
      </c>
      <c r="G29" s="78">
        <f t="shared" ref="G29" si="12">-E29-F29</f>
        <v>0</v>
      </c>
      <c r="H29" s="502">
        <f t="shared" ref="H29" si="13">G29*IF($E29=0,0,+ABS($D29)/(ABS($C29)+ABS($D29)))</f>
        <v>0</v>
      </c>
      <c r="I29" s="208">
        <v>0</v>
      </c>
      <c r="J29" s="208">
        <v>0</v>
      </c>
      <c r="K29" s="845">
        <f t="shared" si="5"/>
        <v>0</v>
      </c>
      <c r="L29" s="1065"/>
      <c r="M29" s="1150"/>
      <c r="N29" s="1150"/>
    </row>
    <row r="30" spans="1:14">
      <c r="A30" s="965">
        <f t="shared" si="3"/>
        <v>1.2000000000000002</v>
      </c>
      <c r="B30" s="284" t="s">
        <v>1242</v>
      </c>
      <c r="C30" s="208">
        <f>IFERROR(INDEX(#REF!,MATCH($B30,#REF!,0)),0)</f>
        <v>0</v>
      </c>
      <c r="D30" s="208">
        <f>IFERROR(INDEX(#REF!,MATCH($B30,#REF!,0)),0)</f>
        <v>0</v>
      </c>
      <c r="E30" s="78">
        <f t="shared" si="0"/>
        <v>0</v>
      </c>
      <c r="F30" s="208">
        <f>IFERROR(INDEX(#REF!,MATCH($B30,#REF!,0)),0)</f>
        <v>0</v>
      </c>
      <c r="G30" s="78">
        <f t="shared" si="4"/>
        <v>0</v>
      </c>
      <c r="H30" s="502">
        <f t="shared" si="1"/>
        <v>0</v>
      </c>
      <c r="I30" s="208">
        <v>512.5</v>
      </c>
      <c r="J30" s="208">
        <v>9746.64</v>
      </c>
      <c r="K30" s="845">
        <f t="shared" si="5"/>
        <v>-10259.14</v>
      </c>
      <c r="L30" s="1065"/>
      <c r="M30" s="1150"/>
      <c r="N30" s="1150"/>
    </row>
    <row r="31" spans="1:14">
      <c r="A31" s="965">
        <f t="shared" si="3"/>
        <v>1.2100000000000002</v>
      </c>
      <c r="B31" s="574" t="s">
        <v>1243</v>
      </c>
      <c r="C31" s="208">
        <f>IFERROR(INDEX(#REF!,MATCH($B31,#REF!,0)),0)</f>
        <v>0</v>
      </c>
      <c r="D31" s="208">
        <f>IFERROR(INDEX(#REF!,MATCH($B31,#REF!,0)),0)</f>
        <v>0</v>
      </c>
      <c r="E31" s="78">
        <f t="shared" si="0"/>
        <v>0</v>
      </c>
      <c r="F31" s="208">
        <f>IFERROR(INDEX(#REF!,MATCH($B31,#REF!,0)),0)</f>
        <v>0</v>
      </c>
      <c r="G31" s="78">
        <f t="shared" ref="G31:G32" si="14">-E31-F31</f>
        <v>0</v>
      </c>
      <c r="H31" s="502">
        <f t="shared" ref="H31:H32" si="15">G31*IF($E31=0,0,+ABS($D31)/(ABS($C31)+ABS($D31)))</f>
        <v>0</v>
      </c>
      <c r="I31" s="208">
        <v>0</v>
      </c>
      <c r="J31" s="208">
        <v>0</v>
      </c>
      <c r="K31" s="845">
        <f t="shared" si="5"/>
        <v>0</v>
      </c>
      <c r="L31" s="1065"/>
      <c r="M31" s="1150"/>
      <c r="N31" s="1150"/>
    </row>
    <row r="32" spans="1:14">
      <c r="A32" s="965">
        <f t="shared" si="3"/>
        <v>1.2200000000000002</v>
      </c>
      <c r="B32" s="284" t="s">
        <v>1244</v>
      </c>
      <c r="C32" s="208">
        <f>IFERROR(INDEX(#REF!,MATCH($B32,#REF!,0)),0)</f>
        <v>0</v>
      </c>
      <c r="D32" s="208">
        <f>IFERROR(INDEX(#REF!,MATCH($B32,#REF!,0)),0)</f>
        <v>0</v>
      </c>
      <c r="E32" s="78">
        <f t="shared" si="0"/>
        <v>0</v>
      </c>
      <c r="F32" s="208">
        <f>IFERROR(INDEX(#REF!,MATCH($B32,#REF!,0)),0)</f>
        <v>0</v>
      </c>
      <c r="G32" s="78">
        <f t="shared" si="14"/>
        <v>0</v>
      </c>
      <c r="H32" s="502">
        <f t="shared" si="15"/>
        <v>0</v>
      </c>
      <c r="I32" s="208">
        <v>8.25</v>
      </c>
      <c r="J32" s="208">
        <v>-0.96</v>
      </c>
      <c r="K32" s="845">
        <f t="shared" si="5"/>
        <v>-7.29</v>
      </c>
      <c r="L32" s="1065"/>
      <c r="M32" s="1150"/>
      <c r="N32" s="1150"/>
    </row>
    <row r="33" spans="1:14">
      <c r="A33" s="965">
        <f t="shared" si="3"/>
        <v>1.2300000000000002</v>
      </c>
      <c r="B33" s="574" t="s">
        <v>1245</v>
      </c>
      <c r="C33" s="208">
        <f>IFERROR(INDEX(#REF!,MATCH($B33,#REF!,0)),0)</f>
        <v>0</v>
      </c>
      <c r="D33" s="208">
        <f>IFERROR(INDEX(#REF!,MATCH($B33,#REF!,0)),0)</f>
        <v>0</v>
      </c>
      <c r="E33" s="78">
        <f t="shared" si="0"/>
        <v>0</v>
      </c>
      <c r="F33" s="208">
        <f>IFERROR(INDEX(#REF!,MATCH($B33,#REF!,0)),0)</f>
        <v>0</v>
      </c>
      <c r="G33" s="78">
        <f t="shared" si="4"/>
        <v>0</v>
      </c>
      <c r="H33" s="502">
        <f t="shared" si="1"/>
        <v>0</v>
      </c>
      <c r="I33" s="208">
        <v>0</v>
      </c>
      <c r="J33" s="208">
        <v>0</v>
      </c>
      <c r="K33" s="845">
        <f t="shared" si="5"/>
        <v>0</v>
      </c>
      <c r="L33" s="1065"/>
      <c r="M33" s="1150"/>
      <c r="N33" s="1150"/>
    </row>
    <row r="34" spans="1:14">
      <c r="A34" s="965">
        <f t="shared" si="3"/>
        <v>1.2400000000000002</v>
      </c>
      <c r="B34" s="284" t="s">
        <v>1246</v>
      </c>
      <c r="C34" s="208">
        <f>IFERROR(INDEX(#REF!,MATCH($B34,#REF!,0)),0)</f>
        <v>0</v>
      </c>
      <c r="D34" s="208">
        <f>IFERROR(INDEX(#REF!,MATCH($B34,#REF!,0)),0)</f>
        <v>0</v>
      </c>
      <c r="E34" s="78">
        <f t="shared" ref="E34:E35" si="16">+C34+D34</f>
        <v>0</v>
      </c>
      <c r="F34" s="208">
        <f>IFERROR(INDEX(#REF!,MATCH($B34,#REF!,0)),0)</f>
        <v>0</v>
      </c>
      <c r="G34" s="78">
        <f t="shared" ref="G34:G35" si="17">-E34-F34</f>
        <v>0</v>
      </c>
      <c r="H34" s="502">
        <f t="shared" ref="H34:H35" si="18">G34*IF($E34=0,0,+ABS($D34)/(ABS($C34)+ABS($D34)))</f>
        <v>0</v>
      </c>
      <c r="I34" s="208">
        <v>15.35</v>
      </c>
      <c r="J34" s="208">
        <v>-7.2</v>
      </c>
      <c r="K34" s="845">
        <f t="shared" si="5"/>
        <v>-8.1499999999999986</v>
      </c>
      <c r="L34" s="1065"/>
      <c r="M34" s="1150"/>
      <c r="N34" s="1150"/>
    </row>
    <row r="35" spans="1:14">
      <c r="A35" s="965">
        <f t="shared" si="3"/>
        <v>1.2500000000000002</v>
      </c>
      <c r="B35" s="574" t="s">
        <v>1247</v>
      </c>
      <c r="C35" s="208">
        <f>IFERROR(INDEX(#REF!,MATCH($B35,#REF!,0)),0)</f>
        <v>0</v>
      </c>
      <c r="D35" s="208">
        <f>IFERROR(INDEX(#REF!,MATCH($B35,#REF!,0)),0)</f>
        <v>0</v>
      </c>
      <c r="E35" s="78">
        <f t="shared" si="16"/>
        <v>0</v>
      </c>
      <c r="F35" s="208">
        <f>IFERROR(INDEX(#REF!,MATCH($B35,#REF!,0)),0)</f>
        <v>0</v>
      </c>
      <c r="G35" s="78">
        <f t="shared" si="17"/>
        <v>0</v>
      </c>
      <c r="H35" s="502">
        <f t="shared" si="18"/>
        <v>0</v>
      </c>
      <c r="I35" s="208">
        <v>0</v>
      </c>
      <c r="J35" s="208">
        <v>0</v>
      </c>
      <c r="K35" s="845">
        <f t="shared" si="5"/>
        <v>0</v>
      </c>
      <c r="L35" s="1065"/>
      <c r="M35" s="1150"/>
      <c r="N35" s="1150"/>
    </row>
    <row r="36" spans="1:14">
      <c r="A36" s="965">
        <f t="shared" si="3"/>
        <v>1.2600000000000002</v>
      </c>
      <c r="B36" s="574" t="s">
        <v>1248</v>
      </c>
      <c r="C36" s="208">
        <f>IFERROR(INDEX(#REF!,MATCH($B36,#REF!,0)),0)</f>
        <v>0</v>
      </c>
      <c r="D36" s="208">
        <f>IFERROR(INDEX(#REF!,MATCH($B36,#REF!,0)),0)</f>
        <v>0</v>
      </c>
      <c r="E36" s="78">
        <f t="shared" ref="E36:E44" si="19">+C36+D36</f>
        <v>0</v>
      </c>
      <c r="F36" s="208">
        <f>IFERROR(INDEX(#REF!,MATCH($B36,#REF!,0)),0)</f>
        <v>0</v>
      </c>
      <c r="G36" s="78">
        <f t="shared" si="4"/>
        <v>0</v>
      </c>
      <c r="H36" s="502">
        <f t="shared" si="1"/>
        <v>0</v>
      </c>
      <c r="I36" s="208">
        <v>0</v>
      </c>
      <c r="J36" s="208">
        <v>0.12</v>
      </c>
      <c r="K36" s="845">
        <f t="shared" si="5"/>
        <v>-0.12</v>
      </c>
      <c r="L36" s="1065"/>
      <c r="M36" s="1150"/>
      <c r="N36" s="1150"/>
    </row>
    <row r="37" spans="1:14">
      <c r="A37" s="965">
        <f t="shared" si="3"/>
        <v>1.2700000000000002</v>
      </c>
      <c r="B37" s="284" t="s">
        <v>1249</v>
      </c>
      <c r="C37" s="208">
        <f>IFERROR(INDEX(#REF!,MATCH($B37,#REF!,0)),0)</f>
        <v>0</v>
      </c>
      <c r="D37" s="208">
        <f>IFERROR(INDEX(#REF!,MATCH($B37,#REF!,0)),0)</f>
        <v>0</v>
      </c>
      <c r="E37" s="78">
        <f t="shared" si="19"/>
        <v>0</v>
      </c>
      <c r="F37" s="208">
        <f>IFERROR(INDEX(#REF!,MATCH($B37,#REF!,0)),0)</f>
        <v>0</v>
      </c>
      <c r="G37" s="78">
        <f t="shared" si="4"/>
        <v>0</v>
      </c>
      <c r="H37" s="502">
        <f t="shared" si="1"/>
        <v>0</v>
      </c>
      <c r="I37" s="208">
        <v>0</v>
      </c>
      <c r="J37" s="208">
        <v>-0.24</v>
      </c>
      <c r="K37" s="845">
        <f t="shared" si="5"/>
        <v>0.24</v>
      </c>
      <c r="L37" s="1065"/>
      <c r="M37" s="1150"/>
      <c r="N37" s="1150"/>
    </row>
    <row r="38" spans="1:14">
      <c r="A38" s="965">
        <f t="shared" si="3"/>
        <v>1.2800000000000002</v>
      </c>
      <c r="B38" s="284" t="s">
        <v>1250</v>
      </c>
      <c r="C38" s="208">
        <f>IFERROR(INDEX(#REF!,MATCH($B38,#REF!,0)),0)</f>
        <v>0</v>
      </c>
      <c r="D38" s="208">
        <f>IFERROR(INDEX(#REF!,MATCH($B38,#REF!,0)),0)</f>
        <v>0</v>
      </c>
      <c r="E38" s="78">
        <f t="shared" si="19"/>
        <v>0</v>
      </c>
      <c r="F38" s="208">
        <f>IFERROR(INDEX(#REF!,MATCH($B38,#REF!,0)),0)</f>
        <v>0</v>
      </c>
      <c r="G38" s="78">
        <f t="shared" si="4"/>
        <v>0</v>
      </c>
      <c r="H38" s="502">
        <f t="shared" si="1"/>
        <v>0</v>
      </c>
      <c r="I38" s="208">
        <v>0</v>
      </c>
      <c r="J38" s="208">
        <v>8.76</v>
      </c>
      <c r="K38" s="845">
        <f t="shared" si="5"/>
        <v>-8.76</v>
      </c>
      <c r="L38" s="1065"/>
      <c r="M38" s="1150"/>
      <c r="N38" s="1150"/>
    </row>
    <row r="39" spans="1:14">
      <c r="A39" s="965">
        <f t="shared" si="3"/>
        <v>1.2900000000000003</v>
      </c>
      <c r="B39" s="574" t="s">
        <v>1251</v>
      </c>
      <c r="C39" s="208">
        <f>IFERROR(INDEX(#REF!,MATCH($B39,#REF!,0)),0)</f>
        <v>0</v>
      </c>
      <c r="D39" s="208">
        <f>IFERROR(INDEX(#REF!,MATCH($B39,#REF!,0)),0)</f>
        <v>0</v>
      </c>
      <c r="E39" s="78">
        <f t="shared" ref="E39" si="20">+C39+D39</f>
        <v>0</v>
      </c>
      <c r="F39" s="208">
        <f>IFERROR(INDEX(#REF!,MATCH($B39,#REF!,0)),0)</f>
        <v>0</v>
      </c>
      <c r="G39" s="78">
        <f t="shared" ref="G39" si="21">-E39-F39</f>
        <v>0</v>
      </c>
      <c r="H39" s="502">
        <f t="shared" ref="H39" si="22">G39*IF($E39=0,0,+ABS($D39)/(ABS($C39)+ABS($D39)))</f>
        <v>0</v>
      </c>
      <c r="I39" s="208">
        <v>0</v>
      </c>
      <c r="J39" s="208">
        <v>0.24</v>
      </c>
      <c r="K39" s="845">
        <f t="shared" si="5"/>
        <v>-0.24</v>
      </c>
      <c r="L39" s="1065"/>
      <c r="M39" s="1150"/>
      <c r="N39" s="1150"/>
    </row>
    <row r="40" spans="1:14">
      <c r="A40" s="965">
        <f t="shared" si="3"/>
        <v>1.3000000000000003</v>
      </c>
      <c r="B40" s="574" t="s">
        <v>1252</v>
      </c>
      <c r="C40" s="208">
        <f>IFERROR(INDEX(#REF!,MATCH($B40,#REF!,0)),0)</f>
        <v>0</v>
      </c>
      <c r="D40" s="208">
        <f>IFERROR(INDEX(#REF!,MATCH($B40,#REF!,0)),0)</f>
        <v>0</v>
      </c>
      <c r="E40" s="78">
        <f t="shared" si="19"/>
        <v>0</v>
      </c>
      <c r="F40" s="208">
        <f>IFERROR(INDEX(#REF!,MATCH($B40,#REF!,0)),0)</f>
        <v>0</v>
      </c>
      <c r="G40" s="78">
        <f t="shared" si="4"/>
        <v>0</v>
      </c>
      <c r="H40" s="502">
        <f t="shared" si="1"/>
        <v>0</v>
      </c>
      <c r="I40" s="208">
        <v>0</v>
      </c>
      <c r="J40" s="208">
        <v>0</v>
      </c>
      <c r="K40" s="845">
        <f t="shared" si="5"/>
        <v>0</v>
      </c>
      <c r="L40" s="1065"/>
      <c r="M40" s="1150"/>
      <c r="N40" s="1150"/>
    </row>
    <row r="41" spans="1:14">
      <c r="A41" s="965">
        <f t="shared" si="3"/>
        <v>1.3100000000000003</v>
      </c>
      <c r="B41" s="284" t="s">
        <v>1253</v>
      </c>
      <c r="C41" s="208">
        <f>IFERROR(INDEX(#REF!,MATCH($B41,#REF!,0)),0)</f>
        <v>0</v>
      </c>
      <c r="D41" s="208">
        <f>IFERROR(INDEX(#REF!,MATCH($B41,#REF!,0)),0)</f>
        <v>0</v>
      </c>
      <c r="E41" s="78">
        <f t="shared" si="19"/>
        <v>0</v>
      </c>
      <c r="F41" s="208">
        <f>IFERROR(INDEX(#REF!,MATCH($B41,#REF!,0)),0)</f>
        <v>0</v>
      </c>
      <c r="G41" s="78">
        <f t="shared" si="4"/>
        <v>0</v>
      </c>
      <c r="H41" s="502">
        <f t="shared" si="1"/>
        <v>0</v>
      </c>
      <c r="I41" s="208">
        <v>1908.5</v>
      </c>
      <c r="J41" s="208">
        <v>234069.84</v>
      </c>
      <c r="K41" s="845">
        <f t="shared" si="5"/>
        <v>-235978.34</v>
      </c>
      <c r="L41" s="1197"/>
      <c r="M41" s="1150"/>
      <c r="N41" s="1150"/>
    </row>
    <row r="42" spans="1:14">
      <c r="A42" s="965">
        <f t="shared" si="3"/>
        <v>1.3200000000000003</v>
      </c>
      <c r="B42" s="284" t="s">
        <v>1254</v>
      </c>
      <c r="C42" s="208">
        <f>IFERROR(INDEX(#REF!,MATCH($B42,#REF!,0)),0)</f>
        <v>0</v>
      </c>
      <c r="D42" s="208">
        <f>IFERROR(INDEX(#REF!,MATCH($B42,#REF!,0)),0)</f>
        <v>0</v>
      </c>
      <c r="E42" s="78">
        <f t="shared" si="19"/>
        <v>0</v>
      </c>
      <c r="F42" s="208">
        <f>IFERROR(INDEX(#REF!,MATCH($B42,#REF!,0)),0)</f>
        <v>0</v>
      </c>
      <c r="G42" s="78">
        <f t="shared" si="4"/>
        <v>0</v>
      </c>
      <c r="H42" s="502">
        <f t="shared" si="1"/>
        <v>0</v>
      </c>
      <c r="I42" s="208">
        <v>260.39999999999998</v>
      </c>
      <c r="J42" s="208">
        <v>19718.52</v>
      </c>
      <c r="K42" s="845">
        <f t="shared" si="5"/>
        <v>-19978.920000000002</v>
      </c>
      <c r="L42" s="1065"/>
      <c r="M42" s="1150"/>
      <c r="N42" s="1150"/>
    </row>
    <row r="43" spans="1:14">
      <c r="A43" s="965">
        <f t="shared" si="3"/>
        <v>1.3300000000000003</v>
      </c>
      <c r="B43" s="284" t="s">
        <v>1255</v>
      </c>
      <c r="C43" s="208">
        <f>IFERROR(INDEX(#REF!,MATCH($B43,#REF!,0)),0)</f>
        <v>0</v>
      </c>
      <c r="D43" s="208">
        <f>IFERROR(INDEX(#REF!,MATCH($B43,#REF!,0)),0)</f>
        <v>0</v>
      </c>
      <c r="E43" s="78">
        <f t="shared" si="19"/>
        <v>0</v>
      </c>
      <c r="F43" s="208">
        <f>IFERROR(INDEX(#REF!,MATCH($B43,#REF!,0)),0)</f>
        <v>0</v>
      </c>
      <c r="G43" s="78">
        <f t="shared" si="4"/>
        <v>0</v>
      </c>
      <c r="H43" s="502">
        <f t="shared" si="1"/>
        <v>0</v>
      </c>
      <c r="I43" s="208">
        <v>5310.25</v>
      </c>
      <c r="J43" s="208">
        <v>394553.64</v>
      </c>
      <c r="K43" s="845">
        <f t="shared" si="5"/>
        <v>-399863.89</v>
      </c>
      <c r="L43" s="1065"/>
      <c r="M43" s="1150"/>
      <c r="N43" s="1150"/>
    </row>
    <row r="44" spans="1:14">
      <c r="A44" s="965">
        <f t="shared" si="3"/>
        <v>1.3400000000000003</v>
      </c>
      <c r="B44" s="284" t="s">
        <v>1256</v>
      </c>
      <c r="C44" s="208">
        <f>IFERROR(INDEX(#REF!,MATCH($B44,#REF!,0)),0)</f>
        <v>0</v>
      </c>
      <c r="D44" s="208">
        <f>IFERROR(INDEX(#REF!,MATCH($B44,#REF!,0)),0)</f>
        <v>0</v>
      </c>
      <c r="E44" s="78">
        <f t="shared" si="19"/>
        <v>0</v>
      </c>
      <c r="F44" s="208">
        <f>IFERROR(INDEX(#REF!,MATCH($B44,#REF!,0)),0)</f>
        <v>0</v>
      </c>
      <c r="G44" s="78">
        <f t="shared" si="4"/>
        <v>0</v>
      </c>
      <c r="H44" s="502">
        <f t="shared" si="1"/>
        <v>0</v>
      </c>
      <c r="I44" s="208">
        <v>0.55000000000000004</v>
      </c>
      <c r="J44" s="208">
        <v>-22.08</v>
      </c>
      <c r="K44" s="845">
        <f t="shared" si="5"/>
        <v>21.529999999999998</v>
      </c>
      <c r="L44" s="1065"/>
      <c r="M44" s="1150"/>
      <c r="N44" s="1150"/>
    </row>
    <row r="45" spans="1:14" ht="14.25" customHeight="1">
      <c r="A45" s="965">
        <f t="shared" si="3"/>
        <v>1.3500000000000003</v>
      </c>
      <c r="B45" s="284" t="s">
        <v>1257</v>
      </c>
      <c r="C45" s="208">
        <f>IFERROR(INDEX(#REF!,MATCH($B45,#REF!,0)),0)</f>
        <v>0</v>
      </c>
      <c r="D45" s="208">
        <f>IFERROR(INDEX(#REF!,MATCH($B45,#REF!,0)),0)</f>
        <v>0</v>
      </c>
      <c r="E45" s="78">
        <f t="shared" ref="E45:E51" si="23">+C45+D45</f>
        <v>0</v>
      </c>
      <c r="F45" s="208">
        <f>IFERROR(INDEX(#REF!,MATCH($B45,#REF!,0)),0)</f>
        <v>0</v>
      </c>
      <c r="G45" s="78">
        <f t="shared" si="4"/>
        <v>0</v>
      </c>
      <c r="H45" s="502">
        <f t="shared" si="1"/>
        <v>0</v>
      </c>
      <c r="I45" s="208">
        <v>0</v>
      </c>
      <c r="J45" s="208">
        <v>7.32</v>
      </c>
      <c r="K45" s="845">
        <f t="shared" si="5"/>
        <v>-7.32</v>
      </c>
      <c r="L45" s="1065"/>
      <c r="M45" s="1150"/>
      <c r="N45" s="1150"/>
    </row>
    <row r="46" spans="1:14" ht="14.25" customHeight="1">
      <c r="A46" s="965">
        <f t="shared" si="3"/>
        <v>1.3600000000000003</v>
      </c>
      <c r="B46" s="284" t="s">
        <v>1258</v>
      </c>
      <c r="C46" s="208">
        <f>IFERROR(INDEX(#REF!,MATCH($B46,#REF!,0)),0)</f>
        <v>0</v>
      </c>
      <c r="D46" s="208">
        <f>IFERROR(INDEX(#REF!,MATCH($B46,#REF!,0)),0)</f>
        <v>0</v>
      </c>
      <c r="E46" s="78">
        <f t="shared" si="23"/>
        <v>0</v>
      </c>
      <c r="F46" s="208">
        <f>IFERROR(INDEX(#REF!,MATCH($B46,#REF!,0)),0)</f>
        <v>0</v>
      </c>
      <c r="G46" s="78">
        <f t="shared" si="4"/>
        <v>0</v>
      </c>
      <c r="H46" s="502">
        <f t="shared" si="1"/>
        <v>0</v>
      </c>
      <c r="I46" s="208">
        <v>1085.4000000000001</v>
      </c>
      <c r="J46" s="208">
        <v>174352.68</v>
      </c>
      <c r="K46" s="845">
        <f t="shared" si="5"/>
        <v>-175438.07999999999</v>
      </c>
      <c r="L46" s="1065"/>
      <c r="M46" s="1150"/>
      <c r="N46" s="1150"/>
    </row>
    <row r="47" spans="1:14" ht="14.25" customHeight="1">
      <c r="A47" s="965">
        <f t="shared" si="3"/>
        <v>1.3700000000000003</v>
      </c>
      <c r="B47" s="284" t="s">
        <v>1259</v>
      </c>
      <c r="C47" s="208">
        <f>IFERROR(INDEX(#REF!,MATCH($B47,#REF!,0)),0)</f>
        <v>0</v>
      </c>
      <c r="D47" s="208">
        <f>IFERROR(INDEX(#REF!,MATCH($B47,#REF!,0)),0)</f>
        <v>0</v>
      </c>
      <c r="E47" s="78">
        <f t="shared" si="23"/>
        <v>0</v>
      </c>
      <c r="F47" s="208">
        <f>IFERROR(INDEX(#REF!,MATCH($B47,#REF!,0)),0)</f>
        <v>0</v>
      </c>
      <c r="G47" s="845">
        <f t="shared" si="4"/>
        <v>0</v>
      </c>
      <c r="H47" s="502">
        <f t="shared" si="1"/>
        <v>0</v>
      </c>
      <c r="I47" s="208">
        <v>0</v>
      </c>
      <c r="J47" s="208">
        <v>0</v>
      </c>
      <c r="K47" s="845">
        <f t="shared" si="5"/>
        <v>0</v>
      </c>
      <c r="L47" s="1065"/>
      <c r="M47" s="1715" t="s">
        <v>1491</v>
      </c>
      <c r="N47" s="1150"/>
    </row>
    <row r="48" spans="1:14" ht="14.25" customHeight="1">
      <c r="A48" s="965">
        <f t="shared" si="3"/>
        <v>1.3800000000000003</v>
      </c>
      <c r="B48" s="284" t="s">
        <v>1260</v>
      </c>
      <c r="C48" s="208">
        <f>IFERROR(INDEX(#REF!,MATCH($B48,#REF!,0)),0)</f>
        <v>0</v>
      </c>
      <c r="D48" s="208">
        <f>IFERROR(INDEX(#REF!,MATCH($B48,#REF!,0)),0)</f>
        <v>0</v>
      </c>
      <c r="E48" s="78">
        <f t="shared" si="23"/>
        <v>0</v>
      </c>
      <c r="F48" s="208">
        <f>IFERROR(INDEX(#REF!,MATCH($B48,#REF!,0)),0)</f>
        <v>0</v>
      </c>
      <c r="G48" s="845">
        <f t="shared" si="4"/>
        <v>0</v>
      </c>
      <c r="H48" s="502">
        <f t="shared" si="1"/>
        <v>0</v>
      </c>
      <c r="I48" s="208">
        <v>61.6</v>
      </c>
      <c r="J48" s="208">
        <v>36.36</v>
      </c>
      <c r="K48" s="845">
        <f t="shared" si="5"/>
        <v>-97.960000000000008</v>
      </c>
      <c r="L48" s="1065"/>
      <c r="M48" s="1150"/>
      <c r="N48" s="1150"/>
    </row>
    <row r="49" spans="1:14">
      <c r="A49" s="965">
        <f t="shared" si="3"/>
        <v>1.3900000000000003</v>
      </c>
      <c r="B49" s="284" t="s">
        <v>1261</v>
      </c>
      <c r="C49" s="208">
        <f>IFERROR(INDEX(#REF!,MATCH($B49,#REF!,0)),0)</f>
        <v>0</v>
      </c>
      <c r="D49" s="208">
        <f>IFERROR(INDEX(#REF!,MATCH($B49,#REF!,0)),0)</f>
        <v>0</v>
      </c>
      <c r="E49" s="78">
        <f t="shared" si="23"/>
        <v>0</v>
      </c>
      <c r="F49" s="208">
        <f>IFERROR(INDEX(#REF!,MATCH($B49,#REF!,0)),0)</f>
        <v>0</v>
      </c>
      <c r="G49" s="78">
        <f t="shared" si="4"/>
        <v>0</v>
      </c>
      <c r="H49" s="502">
        <f t="shared" si="1"/>
        <v>0</v>
      </c>
      <c r="I49" s="208">
        <v>112.45</v>
      </c>
      <c r="J49" s="208">
        <v>4356.12</v>
      </c>
      <c r="K49" s="845">
        <f t="shared" si="5"/>
        <v>-4468.57</v>
      </c>
      <c r="L49" s="1065"/>
      <c r="N49" s="1150"/>
    </row>
    <row r="50" spans="1:14">
      <c r="A50" s="965">
        <f t="shared" si="3"/>
        <v>1.4000000000000004</v>
      </c>
      <c r="B50" s="284" t="s">
        <v>1262</v>
      </c>
      <c r="C50" s="208">
        <f>IFERROR(INDEX(#REF!,MATCH($B50,#REF!,0)),0)</f>
        <v>0</v>
      </c>
      <c r="D50" s="208">
        <f>IFERROR(INDEX(#REF!,MATCH($B50,#REF!,0)),0)</f>
        <v>0</v>
      </c>
      <c r="E50" s="78">
        <f t="shared" si="23"/>
        <v>0</v>
      </c>
      <c r="F50" s="208">
        <f>IFERROR(INDEX(#REF!,MATCH($B50,#REF!,0)),0)</f>
        <v>0</v>
      </c>
      <c r="G50" s="78">
        <f t="shared" si="4"/>
        <v>0</v>
      </c>
      <c r="H50" s="502">
        <f t="shared" si="1"/>
        <v>0</v>
      </c>
      <c r="I50" s="208">
        <v>0.6</v>
      </c>
      <c r="J50" s="208">
        <v>298.68</v>
      </c>
      <c r="K50" s="845">
        <f t="shared" si="5"/>
        <v>-299.28000000000003</v>
      </c>
      <c r="N50" s="1150"/>
    </row>
    <row r="51" spans="1:14">
      <c r="A51" s="965">
        <f t="shared" si="3"/>
        <v>1.4100000000000004</v>
      </c>
      <c r="B51" s="284" t="s">
        <v>1263</v>
      </c>
      <c r="C51" s="208">
        <f>IFERROR(INDEX(#REF!,MATCH($B51,#REF!,0)),0)</f>
        <v>0</v>
      </c>
      <c r="D51" s="208">
        <f>IFERROR(INDEX(#REF!,MATCH($B51,#REF!,0)),0)</f>
        <v>0</v>
      </c>
      <c r="E51" s="78">
        <f t="shared" si="23"/>
        <v>0</v>
      </c>
      <c r="F51" s="208">
        <f>IFERROR(INDEX(#REF!,MATCH($B51,#REF!,0)),0)</f>
        <v>0</v>
      </c>
      <c r="G51" s="78">
        <f t="shared" ref="G51" si="24">-E51-F51</f>
        <v>0</v>
      </c>
      <c r="H51" s="502">
        <f t="shared" ref="H51" si="25">G51*IF($E51=0,0,+ABS($D51)/(ABS($C51)+ABS($D51)))</f>
        <v>0</v>
      </c>
      <c r="I51" s="208">
        <v>0.55000000000000004</v>
      </c>
      <c r="J51" s="208">
        <v>-0.12</v>
      </c>
      <c r="K51" s="845">
        <f t="shared" si="5"/>
        <v>-0.43000000000000005</v>
      </c>
      <c r="N51" s="1150"/>
    </row>
    <row r="52" spans="1:14">
      <c r="A52" s="965">
        <f t="shared" si="3"/>
        <v>1.4200000000000004</v>
      </c>
      <c r="B52" s="1302" t="s">
        <v>905</v>
      </c>
      <c r="C52" s="208">
        <f>IFERROR(INDEX(#REF!,MATCH($B52,#REF!,0)),0)</f>
        <v>0</v>
      </c>
      <c r="D52" s="208">
        <f>IFERROR(INDEX(#REF!,MATCH($B52,#REF!,0)),0)</f>
        <v>0</v>
      </c>
      <c r="E52" s="208">
        <f t="shared" ref="E52:E54" si="26">+C52+D52</f>
        <v>0</v>
      </c>
      <c r="F52" s="208">
        <f>IFERROR(INDEX(#REF!,MATCH($B52,#REF!,0)),0)</f>
        <v>0</v>
      </c>
      <c r="G52" s="208">
        <f t="shared" ref="G52" si="27">-E52-F52</f>
        <v>0</v>
      </c>
      <c r="H52" s="1341">
        <f t="shared" ref="H52" si="28">G52*IF($E52=0,0,+ABS($D52)/(ABS($C52)+ABS($D52)))</f>
        <v>0</v>
      </c>
      <c r="I52" s="208">
        <v>0</v>
      </c>
      <c r="J52" s="208">
        <v>0</v>
      </c>
      <c r="K52" s="1339">
        <f t="shared" si="5"/>
        <v>0</v>
      </c>
      <c r="N52" s="1150"/>
    </row>
    <row r="53" spans="1:14">
      <c r="A53" s="1340" t="s">
        <v>899</v>
      </c>
      <c r="B53" s="1302" t="s">
        <v>905</v>
      </c>
      <c r="C53" s="208">
        <f>IFERROR(INDEX(#REF!,MATCH($B53,#REF!,0)),0)</f>
        <v>0</v>
      </c>
      <c r="D53" s="208">
        <f>IFERROR(INDEX(#REF!,MATCH($B53,#REF!,0)),0)</f>
        <v>0</v>
      </c>
      <c r="E53" s="208">
        <f t="shared" si="26"/>
        <v>0</v>
      </c>
      <c r="F53" s="208">
        <f>IFERROR(INDEX(#REF!,MATCH($B53,#REF!,0)),0)</f>
        <v>0</v>
      </c>
      <c r="G53" s="208">
        <f t="shared" ref="G53:G54" si="29">-E53-F53</f>
        <v>0</v>
      </c>
      <c r="H53" s="1341">
        <f t="shared" ref="H53:H54" si="30">G53*IF($E53=0,0,+ABS($D53)/(ABS($C53)+ABS($D53)))</f>
        <v>0</v>
      </c>
      <c r="I53" s="208">
        <v>0</v>
      </c>
      <c r="J53" s="208">
        <v>0</v>
      </c>
      <c r="K53" s="1339">
        <f t="shared" si="5"/>
        <v>0</v>
      </c>
      <c r="N53" s="1150"/>
    </row>
    <row r="54" spans="1:14">
      <c r="A54" s="1340" t="s">
        <v>903</v>
      </c>
      <c r="B54" s="1302" t="s">
        <v>905</v>
      </c>
      <c r="C54" s="208">
        <f>IFERROR(INDEX(#REF!,MATCH($B54,#REF!,0)),0)</f>
        <v>0</v>
      </c>
      <c r="D54" s="208">
        <f>IFERROR(INDEX(#REF!,MATCH($B54,#REF!,0)),0)</f>
        <v>0</v>
      </c>
      <c r="E54" s="208">
        <f t="shared" si="26"/>
        <v>0</v>
      </c>
      <c r="F54" s="208">
        <f>IFERROR(INDEX(#REF!,MATCH($B54,#REF!,0)),0)</f>
        <v>0</v>
      </c>
      <c r="G54" s="208">
        <f t="shared" si="29"/>
        <v>0</v>
      </c>
      <c r="H54" s="1341">
        <f t="shared" si="30"/>
        <v>0</v>
      </c>
      <c r="I54" s="208">
        <v>0</v>
      </c>
      <c r="J54" s="208">
        <v>0</v>
      </c>
      <c r="K54" s="1339">
        <f t="shared" si="5"/>
        <v>0</v>
      </c>
      <c r="N54" s="1150"/>
    </row>
    <row r="55" spans="1:14" ht="13.8" thickBot="1">
      <c r="A55" s="964">
        <f>+A10+1</f>
        <v>2</v>
      </c>
      <c r="B55" s="829" t="str">
        <f>+"Total  Sum (Ln "&amp;A10&amp;" Subparts"&amp;")"</f>
        <v>Total  Sum (Ln 1 Subparts)</v>
      </c>
      <c r="C55" s="846">
        <f>SUM(C11:C54)</f>
        <v>0</v>
      </c>
      <c r="D55" s="846">
        <f>SUM(D11:D54)</f>
        <v>0</v>
      </c>
      <c r="E55" s="846">
        <f>SUM(E11:E54)</f>
        <v>0</v>
      </c>
      <c r="F55" s="846">
        <f>SUM(F11:F54)</f>
        <v>0</v>
      </c>
      <c r="G55" s="846">
        <f>SUM(G11:G54)</f>
        <v>0</v>
      </c>
      <c r="H55" s="846">
        <f t="shared" ref="H55:I55" si="31">SUM(H11:H54)</f>
        <v>0</v>
      </c>
      <c r="I55" s="846">
        <f t="shared" si="31"/>
        <v>15836.75</v>
      </c>
      <c r="J55" s="846">
        <f t="shared" ref="J55:K55" si="32">SUM(J11:J54)</f>
        <v>1070587.23</v>
      </c>
      <c r="K55" s="846">
        <f t="shared" si="32"/>
        <v>-1086423.9799999997</v>
      </c>
    </row>
    <row r="56" spans="1:14" ht="13.8" thickTop="1">
      <c r="A56" s="964">
        <f t="shared" ref="A56:A77" si="33">+A55+1</f>
        <v>3</v>
      </c>
      <c r="B56" s="829"/>
      <c r="C56" s="847"/>
      <c r="D56" s="847"/>
      <c r="E56" s="847"/>
      <c r="F56" s="847"/>
      <c r="G56" s="847"/>
      <c r="H56" s="847"/>
      <c r="I56" s="847"/>
      <c r="J56" s="847"/>
      <c r="K56" s="847"/>
      <c r="L56" s="866"/>
    </row>
    <row r="57" spans="1:14">
      <c r="A57" s="964">
        <f t="shared" si="33"/>
        <v>4</v>
      </c>
      <c r="B57" s="829" t="s">
        <v>561</v>
      </c>
      <c r="C57" s="829"/>
      <c r="D57" s="829"/>
      <c r="E57" s="830"/>
      <c r="F57" s="830"/>
      <c r="G57" s="830"/>
      <c r="I57" s="830"/>
      <c r="J57" s="830"/>
      <c r="K57" s="830"/>
      <c r="L57" s="866"/>
    </row>
    <row r="58" spans="1:14">
      <c r="A58" s="964">
        <f t="shared" si="33"/>
        <v>5</v>
      </c>
      <c r="B58" s="831" t="s">
        <v>647</v>
      </c>
      <c r="C58" s="845">
        <f>+SUM(C24:C27)</f>
        <v>0</v>
      </c>
      <c r="D58" s="845">
        <f t="shared" ref="D58:K58" si="34">+SUM(D24:D27)</f>
        <v>0</v>
      </c>
      <c r="E58" s="845">
        <f t="shared" si="34"/>
        <v>0</v>
      </c>
      <c r="F58" s="845">
        <f t="shared" si="34"/>
        <v>0</v>
      </c>
      <c r="G58" s="845">
        <f t="shared" si="34"/>
        <v>0</v>
      </c>
      <c r="H58" s="845">
        <f t="shared" si="34"/>
        <v>0</v>
      </c>
      <c r="I58" s="845">
        <f t="shared" si="34"/>
        <v>112.6</v>
      </c>
      <c r="J58" s="845">
        <f t="shared" si="34"/>
        <v>19.68</v>
      </c>
      <c r="K58" s="845">
        <f t="shared" si="34"/>
        <v>-132.28000000000003</v>
      </c>
      <c r="L58" s="866"/>
    </row>
    <row r="59" spans="1:14" ht="15">
      <c r="A59" s="964">
        <f t="shared" si="33"/>
        <v>6</v>
      </c>
      <c r="B59" s="831" t="s">
        <v>503</v>
      </c>
      <c r="C59" s="677">
        <f>+C28</f>
        <v>0</v>
      </c>
      <c r="D59" s="677">
        <f t="shared" ref="D59:K59" si="35">+D28</f>
        <v>0</v>
      </c>
      <c r="E59" s="677">
        <f t="shared" si="35"/>
        <v>0</v>
      </c>
      <c r="F59" s="677">
        <f t="shared" si="35"/>
        <v>0</v>
      </c>
      <c r="G59" s="677">
        <f t="shared" si="35"/>
        <v>0</v>
      </c>
      <c r="H59" s="677">
        <f t="shared" si="35"/>
        <v>0</v>
      </c>
      <c r="I59" s="677">
        <f t="shared" si="35"/>
        <v>2.15</v>
      </c>
      <c r="J59" s="677">
        <f t="shared" si="35"/>
        <v>20.399999999999999</v>
      </c>
      <c r="K59" s="677">
        <f t="shared" si="35"/>
        <v>-22.549999999999997</v>
      </c>
      <c r="L59" s="866"/>
    </row>
    <row r="60" spans="1:14">
      <c r="A60" s="964">
        <f t="shared" si="33"/>
        <v>7</v>
      </c>
      <c r="B60" s="1033" t="str">
        <f>+"Total Lines "&amp;A58&amp;" + "&amp;A59</f>
        <v>Total Lines 5 + 6</v>
      </c>
      <c r="C60" s="845">
        <f t="shared" ref="C60" si="36">SUM(C58:C59)</f>
        <v>0</v>
      </c>
      <c r="D60" s="845">
        <f t="shared" ref="D60:K60" si="37">SUM(D58:D59)</f>
        <v>0</v>
      </c>
      <c r="E60" s="845">
        <f t="shared" si="37"/>
        <v>0</v>
      </c>
      <c r="F60" s="845">
        <f t="shared" si="37"/>
        <v>0</v>
      </c>
      <c r="G60" s="845">
        <f t="shared" si="37"/>
        <v>0</v>
      </c>
      <c r="H60" s="845">
        <f t="shared" si="37"/>
        <v>0</v>
      </c>
      <c r="I60" s="845">
        <f t="shared" si="37"/>
        <v>114.75</v>
      </c>
      <c r="J60" s="845">
        <f t="shared" si="37"/>
        <v>40.08</v>
      </c>
      <c r="K60" s="845">
        <f t="shared" si="37"/>
        <v>-154.83000000000004</v>
      </c>
      <c r="L60" s="866"/>
    </row>
    <row r="61" spans="1:14" ht="15">
      <c r="A61" s="964">
        <f t="shared" si="33"/>
        <v>8</v>
      </c>
      <c r="B61" s="1147" t="s">
        <v>795</v>
      </c>
      <c r="C61" s="677">
        <f>+SUM(C23:C35)-SUM(C24:C28)</f>
        <v>0</v>
      </c>
      <c r="D61" s="677">
        <f t="shared" ref="D61:K61" si="38">+SUM(D23:D35)-SUM(D24:D28)</f>
        <v>0</v>
      </c>
      <c r="E61" s="677">
        <f t="shared" si="38"/>
        <v>0</v>
      </c>
      <c r="F61" s="677">
        <f t="shared" si="38"/>
        <v>0</v>
      </c>
      <c r="G61" s="677">
        <f t="shared" si="38"/>
        <v>0</v>
      </c>
      <c r="H61" s="677">
        <f t="shared" si="38"/>
        <v>0</v>
      </c>
      <c r="I61" s="677">
        <f t="shared" si="38"/>
        <v>6585.35</v>
      </c>
      <c r="J61" s="677">
        <f t="shared" si="38"/>
        <v>83658.84</v>
      </c>
      <c r="K61" s="677">
        <f t="shared" si="38"/>
        <v>-90244.189999999973</v>
      </c>
    </row>
    <row r="62" spans="1:14">
      <c r="A62" s="964">
        <f t="shared" si="33"/>
        <v>9</v>
      </c>
      <c r="B62" s="829" t="s">
        <v>986</v>
      </c>
      <c r="C62" s="845">
        <f t="shared" ref="C62" si="39">+C60+C61</f>
        <v>0</v>
      </c>
      <c r="D62" s="845">
        <f t="shared" ref="D62:K62" si="40">+D60+D61</f>
        <v>0</v>
      </c>
      <c r="E62" s="845">
        <f t="shared" si="40"/>
        <v>0</v>
      </c>
      <c r="F62" s="845">
        <f t="shared" si="40"/>
        <v>0</v>
      </c>
      <c r="G62" s="845">
        <f t="shared" si="40"/>
        <v>0</v>
      </c>
      <c r="H62" s="845">
        <f t="shared" si="40"/>
        <v>0</v>
      </c>
      <c r="I62" s="845">
        <f t="shared" si="40"/>
        <v>6700.1</v>
      </c>
      <c r="J62" s="845">
        <f t="shared" si="40"/>
        <v>83698.92</v>
      </c>
      <c r="K62" s="845">
        <f t="shared" si="40"/>
        <v>-90399.019999999975</v>
      </c>
    </row>
    <row r="63" spans="1:14">
      <c r="A63" s="964">
        <f t="shared" si="33"/>
        <v>10</v>
      </c>
      <c r="B63" s="829"/>
      <c r="C63" s="845"/>
      <c r="D63" s="845"/>
      <c r="E63" s="845"/>
      <c r="F63" s="845"/>
      <c r="G63" s="845"/>
      <c r="H63" s="845"/>
      <c r="I63" s="845"/>
      <c r="J63" s="845"/>
      <c r="K63" s="845"/>
    </row>
    <row r="64" spans="1:14">
      <c r="A64" s="964">
        <f t="shared" si="33"/>
        <v>11</v>
      </c>
      <c r="B64" s="829" t="s">
        <v>52</v>
      </c>
      <c r="C64" s="845"/>
      <c r="D64" s="845"/>
      <c r="E64" s="845"/>
      <c r="F64" s="845"/>
      <c r="G64" s="845"/>
      <c r="H64" s="845"/>
      <c r="I64" s="845"/>
      <c r="J64" s="845"/>
      <c r="K64" s="845"/>
    </row>
    <row r="65" spans="1:12">
      <c r="A65" s="964">
        <f t="shared" si="33"/>
        <v>12</v>
      </c>
      <c r="B65" s="831" t="s">
        <v>670</v>
      </c>
      <c r="C65" s="832">
        <f>+SUM(C11:C14)</f>
        <v>0</v>
      </c>
      <c r="D65" s="832">
        <f t="shared" ref="D65:K65" si="41">+SUM(D11:D14)</f>
        <v>0</v>
      </c>
      <c r="E65" s="832">
        <f t="shared" si="41"/>
        <v>0</v>
      </c>
      <c r="F65" s="832">
        <f t="shared" si="41"/>
        <v>0</v>
      </c>
      <c r="G65" s="832">
        <f t="shared" si="41"/>
        <v>0</v>
      </c>
      <c r="H65" s="832">
        <f t="shared" si="41"/>
        <v>0</v>
      </c>
      <c r="I65" s="832">
        <f t="shared" si="41"/>
        <v>0</v>
      </c>
      <c r="J65" s="832">
        <f t="shared" si="41"/>
        <v>34575.96</v>
      </c>
      <c r="K65" s="832">
        <f t="shared" si="41"/>
        <v>-34575.96</v>
      </c>
    </row>
    <row r="66" spans="1:12">
      <c r="A66" s="964">
        <f t="shared" si="33"/>
        <v>13</v>
      </c>
      <c r="B66" s="831" t="s">
        <v>669</v>
      </c>
      <c r="C66" s="833">
        <f>+C15</f>
        <v>0</v>
      </c>
      <c r="D66" s="833">
        <f t="shared" ref="D66:K66" si="42">+D15</f>
        <v>0</v>
      </c>
      <c r="E66" s="833">
        <f t="shared" si="42"/>
        <v>0</v>
      </c>
      <c r="F66" s="833">
        <f t="shared" si="42"/>
        <v>0</v>
      </c>
      <c r="G66" s="833">
        <f t="shared" si="42"/>
        <v>0</v>
      </c>
      <c r="H66" s="833">
        <f t="shared" si="42"/>
        <v>0</v>
      </c>
      <c r="I66" s="833">
        <f t="shared" si="42"/>
        <v>239.85</v>
      </c>
      <c r="J66" s="833">
        <f t="shared" si="42"/>
        <v>21699.72</v>
      </c>
      <c r="K66" s="833">
        <f t="shared" si="42"/>
        <v>-21939.57</v>
      </c>
    </row>
    <row r="67" spans="1:12">
      <c r="A67" s="964">
        <f t="shared" si="33"/>
        <v>14</v>
      </c>
      <c r="B67" s="831" t="s">
        <v>668</v>
      </c>
      <c r="C67" s="833">
        <f>+C16</f>
        <v>0</v>
      </c>
      <c r="D67" s="833">
        <f t="shared" ref="D67:K67" si="43">+D16</f>
        <v>0</v>
      </c>
      <c r="E67" s="833">
        <f t="shared" si="43"/>
        <v>0</v>
      </c>
      <c r="F67" s="833">
        <f t="shared" si="43"/>
        <v>0</v>
      </c>
      <c r="G67" s="833">
        <f t="shared" si="43"/>
        <v>0</v>
      </c>
      <c r="H67" s="833">
        <f t="shared" si="43"/>
        <v>0</v>
      </c>
      <c r="I67" s="833">
        <f t="shared" si="43"/>
        <v>156.5</v>
      </c>
      <c r="J67" s="833">
        <f t="shared" si="43"/>
        <v>-2675.49</v>
      </c>
      <c r="K67" s="833">
        <f t="shared" si="43"/>
        <v>2518.9899999999998</v>
      </c>
    </row>
    <row r="68" spans="1:12">
      <c r="A68" s="964">
        <f t="shared" si="33"/>
        <v>15</v>
      </c>
      <c r="B68" s="831" t="s">
        <v>662</v>
      </c>
      <c r="C68" s="832">
        <f>+SUM(C17:C22)</f>
        <v>0</v>
      </c>
      <c r="D68" s="832">
        <f t="shared" ref="D68:K68" si="44">+SUM(D17:D22)</f>
        <v>0</v>
      </c>
      <c r="E68" s="832">
        <f t="shared" si="44"/>
        <v>0</v>
      </c>
      <c r="F68" s="832">
        <f t="shared" si="44"/>
        <v>0</v>
      </c>
      <c r="G68" s="832">
        <f t="shared" si="44"/>
        <v>0</v>
      </c>
      <c r="H68" s="832">
        <f t="shared" si="44"/>
        <v>0</v>
      </c>
      <c r="I68" s="832">
        <f t="shared" si="44"/>
        <v>0</v>
      </c>
      <c r="J68" s="832">
        <f t="shared" si="44"/>
        <v>105908.28</v>
      </c>
      <c r="K68" s="832">
        <f t="shared" si="44"/>
        <v>-105908.28</v>
      </c>
    </row>
    <row r="69" spans="1:12">
      <c r="A69" s="964">
        <f t="shared" si="33"/>
        <v>16</v>
      </c>
      <c r="B69" s="831" t="s">
        <v>661</v>
      </c>
      <c r="C69" s="832">
        <f>+SUM(C23:C35)</f>
        <v>0</v>
      </c>
      <c r="D69" s="832">
        <f t="shared" ref="D69:K69" si="45">+SUM(D23:D35)</f>
        <v>0</v>
      </c>
      <c r="E69" s="832">
        <f t="shared" si="45"/>
        <v>0</v>
      </c>
      <c r="F69" s="832">
        <f t="shared" si="45"/>
        <v>0</v>
      </c>
      <c r="G69" s="832">
        <f t="shared" si="45"/>
        <v>0</v>
      </c>
      <c r="H69" s="832">
        <f t="shared" si="45"/>
        <v>0</v>
      </c>
      <c r="I69" s="832">
        <f t="shared" si="45"/>
        <v>6700.1</v>
      </c>
      <c r="J69" s="832">
        <f t="shared" si="45"/>
        <v>83698.92</v>
      </c>
      <c r="K69" s="832">
        <f t="shared" si="45"/>
        <v>-90399.019999999975</v>
      </c>
    </row>
    <row r="70" spans="1:12">
      <c r="A70" s="964">
        <f t="shared" si="33"/>
        <v>17</v>
      </c>
      <c r="B70" s="831" t="s">
        <v>663</v>
      </c>
      <c r="C70" s="832">
        <f>+C36</f>
        <v>0</v>
      </c>
      <c r="D70" s="832">
        <f t="shared" ref="D70:K70" si="46">+D36</f>
        <v>0</v>
      </c>
      <c r="E70" s="832">
        <f t="shared" si="46"/>
        <v>0</v>
      </c>
      <c r="F70" s="832">
        <f t="shared" si="46"/>
        <v>0</v>
      </c>
      <c r="G70" s="832">
        <f t="shared" si="46"/>
        <v>0</v>
      </c>
      <c r="H70" s="832">
        <f t="shared" si="46"/>
        <v>0</v>
      </c>
      <c r="I70" s="832">
        <f t="shared" si="46"/>
        <v>0</v>
      </c>
      <c r="J70" s="832">
        <f t="shared" si="46"/>
        <v>0.12</v>
      </c>
      <c r="K70" s="832">
        <f t="shared" si="46"/>
        <v>-0.12</v>
      </c>
    </row>
    <row r="71" spans="1:12">
      <c r="A71" s="964">
        <f t="shared" si="33"/>
        <v>18</v>
      </c>
      <c r="B71" s="831" t="s">
        <v>664</v>
      </c>
      <c r="C71" s="832"/>
      <c r="D71" s="832"/>
      <c r="E71" s="832"/>
      <c r="F71" s="832"/>
      <c r="G71" s="832"/>
      <c r="H71" s="832"/>
      <c r="I71" s="832"/>
      <c r="J71" s="832"/>
      <c r="K71" s="832"/>
    </row>
    <row r="72" spans="1:12">
      <c r="A72" s="964">
        <f t="shared" si="33"/>
        <v>19</v>
      </c>
      <c r="B72" s="831" t="s">
        <v>665</v>
      </c>
      <c r="C72" s="832">
        <f>SUM(C37:C38)</f>
        <v>0</v>
      </c>
      <c r="D72" s="832">
        <f t="shared" ref="D72:K72" si="47">SUM(D37:D38)</f>
        <v>0</v>
      </c>
      <c r="E72" s="832">
        <f t="shared" si="47"/>
        <v>0</v>
      </c>
      <c r="F72" s="832">
        <f t="shared" si="47"/>
        <v>0</v>
      </c>
      <c r="G72" s="832">
        <f t="shared" si="47"/>
        <v>0</v>
      </c>
      <c r="H72" s="832">
        <f t="shared" si="47"/>
        <v>0</v>
      </c>
      <c r="I72" s="832">
        <f t="shared" si="47"/>
        <v>0</v>
      </c>
      <c r="J72" s="832">
        <f t="shared" si="47"/>
        <v>8.52</v>
      </c>
      <c r="K72" s="832">
        <f t="shared" si="47"/>
        <v>-8.52</v>
      </c>
    </row>
    <row r="73" spans="1:12">
      <c r="A73" s="964">
        <f t="shared" si="33"/>
        <v>20</v>
      </c>
      <c r="B73" s="831" t="s">
        <v>666</v>
      </c>
      <c r="C73" s="832">
        <f>+SUM(C39:C40)</f>
        <v>0</v>
      </c>
      <c r="D73" s="832">
        <f t="shared" ref="D73:K73" si="48">+SUM(D39:D40)</f>
        <v>0</v>
      </c>
      <c r="E73" s="832">
        <f t="shared" si="48"/>
        <v>0</v>
      </c>
      <c r="F73" s="832">
        <f t="shared" si="48"/>
        <v>0</v>
      </c>
      <c r="G73" s="832">
        <f t="shared" si="48"/>
        <v>0</v>
      </c>
      <c r="H73" s="832">
        <f t="shared" si="48"/>
        <v>0</v>
      </c>
      <c r="I73" s="832">
        <f t="shared" si="48"/>
        <v>0</v>
      </c>
      <c r="J73" s="832">
        <f t="shared" si="48"/>
        <v>0.24</v>
      </c>
      <c r="K73" s="832">
        <f t="shared" si="48"/>
        <v>-0.24</v>
      </c>
    </row>
    <row r="74" spans="1:12" s="995" customFormat="1">
      <c r="A74" s="964">
        <f t="shared" si="33"/>
        <v>21</v>
      </c>
      <c r="B74" s="831" t="s">
        <v>667</v>
      </c>
      <c r="C74" s="834">
        <f>SUM(C41:C54)</f>
        <v>0</v>
      </c>
      <c r="D74" s="834">
        <f t="shared" ref="D74:K74" si="49">SUM(D41:D54)</f>
        <v>0</v>
      </c>
      <c r="E74" s="834">
        <f t="shared" si="49"/>
        <v>0</v>
      </c>
      <c r="F74" s="834">
        <f t="shared" si="49"/>
        <v>0</v>
      </c>
      <c r="G74" s="834">
        <f t="shared" si="49"/>
        <v>0</v>
      </c>
      <c r="H74" s="834">
        <f t="shared" si="49"/>
        <v>0</v>
      </c>
      <c r="I74" s="834">
        <f t="shared" si="49"/>
        <v>8740.3000000000011</v>
      </c>
      <c r="J74" s="834">
        <f t="shared" si="49"/>
        <v>827370.96</v>
      </c>
      <c r="K74" s="834">
        <f t="shared" si="49"/>
        <v>-836111.25999999989</v>
      </c>
      <c r="L74" s="613"/>
    </row>
    <row r="75" spans="1:12" ht="13.8" thickBot="1">
      <c r="A75" s="922">
        <f>+A74+1</f>
        <v>22</v>
      </c>
      <c r="B75" s="829" t="str">
        <f>+"Total  Sum (Ln "&amp;A65&amp;" to Ln "&amp;A74&amp;")"</f>
        <v>Total  Sum (Ln 12 to Ln 21)</v>
      </c>
      <c r="C75" s="835">
        <f t="shared" ref="C75:K75" si="50">SUM(C65:C74)</f>
        <v>0</v>
      </c>
      <c r="D75" s="835">
        <f t="shared" si="50"/>
        <v>0</v>
      </c>
      <c r="E75" s="835">
        <f t="shared" si="50"/>
        <v>0</v>
      </c>
      <c r="F75" s="835">
        <f t="shared" si="50"/>
        <v>0</v>
      </c>
      <c r="G75" s="835">
        <f t="shared" si="50"/>
        <v>0</v>
      </c>
      <c r="H75" s="835">
        <f t="shared" si="50"/>
        <v>0</v>
      </c>
      <c r="I75" s="835">
        <f t="shared" si="50"/>
        <v>15836.750000000002</v>
      </c>
      <c r="J75" s="835">
        <f t="shared" si="50"/>
        <v>1070587.23</v>
      </c>
      <c r="K75" s="835">
        <f t="shared" si="50"/>
        <v>-1086423.9799999997</v>
      </c>
    </row>
    <row r="76" spans="1:12" ht="13.8" thickTop="1">
      <c r="A76" s="964">
        <f t="shared" si="33"/>
        <v>23</v>
      </c>
      <c r="B76" s="829"/>
      <c r="C76" s="829"/>
      <c r="D76" s="829"/>
      <c r="E76" s="836"/>
      <c r="F76" s="830"/>
      <c r="G76" s="836"/>
      <c r="I76" s="830"/>
      <c r="J76" s="830"/>
      <c r="K76" s="830"/>
    </row>
    <row r="77" spans="1:12">
      <c r="A77" s="964">
        <f t="shared" si="33"/>
        <v>24</v>
      </c>
      <c r="B77" s="829" t="str">
        <f>+"Payroll O&amp;M Excl A&amp;G  Sum (Ln "&amp;A65&amp;" To Ln "&amp;A73&amp;")"</f>
        <v>Payroll O&amp;M Excl A&amp;G  Sum (Ln 12 To Ln 20)</v>
      </c>
      <c r="C77" s="832"/>
      <c r="D77" s="832"/>
      <c r="E77" s="832"/>
      <c r="F77" s="832"/>
      <c r="G77" s="832"/>
      <c r="H77" s="832">
        <f>+SUM(H65:H73)</f>
        <v>0</v>
      </c>
      <c r="I77" s="832"/>
      <c r="J77" s="832"/>
      <c r="K77" s="832"/>
    </row>
    <row r="78" spans="1:12">
      <c r="A78" s="963"/>
      <c r="B78" s="829"/>
      <c r="C78" s="829"/>
      <c r="D78" s="832"/>
      <c r="E78" s="830"/>
      <c r="F78" s="830"/>
      <c r="G78" s="830"/>
      <c r="I78" s="830"/>
      <c r="J78" s="830"/>
      <c r="K78" s="830"/>
      <c r="L78" s="995"/>
    </row>
    <row r="79" spans="1:12">
      <c r="A79" s="963" t="s">
        <v>645</v>
      </c>
      <c r="B79" s="829"/>
      <c r="C79" s="829"/>
      <c r="D79" s="829"/>
      <c r="E79" s="836"/>
      <c r="F79" s="836"/>
      <c r="G79" s="836"/>
      <c r="I79" s="836"/>
      <c r="J79" s="836"/>
      <c r="K79" s="836"/>
    </row>
    <row r="80" spans="1:12" ht="39.6" customHeight="1">
      <c r="A80" s="1037" t="s">
        <v>171</v>
      </c>
      <c r="B80" s="2149" t="s">
        <v>837</v>
      </c>
      <c r="C80" s="2149"/>
      <c r="D80" s="2149"/>
      <c r="E80" s="2149"/>
      <c r="F80" s="2149"/>
      <c r="G80" s="2149"/>
      <c r="H80" s="2149"/>
      <c r="I80" s="2149"/>
      <c r="J80" s="2149"/>
      <c r="K80" s="2149"/>
    </row>
    <row r="81" spans="1:11">
      <c r="A81" s="1036" t="s">
        <v>320</v>
      </c>
      <c r="B81" s="829" t="s">
        <v>646</v>
      </c>
      <c r="C81" s="829"/>
      <c r="D81" s="829"/>
      <c r="E81" s="836"/>
      <c r="F81" s="836"/>
      <c r="G81" s="836"/>
      <c r="I81" s="836"/>
      <c r="J81" s="836"/>
      <c r="K81" s="836"/>
    </row>
    <row r="82" spans="1:11">
      <c r="A82" s="1037" t="s">
        <v>321</v>
      </c>
      <c r="B82" s="2037" t="s">
        <v>791</v>
      </c>
      <c r="C82" s="2037"/>
      <c r="D82" s="2037"/>
      <c r="E82" s="2037"/>
      <c r="F82" s="2037"/>
      <c r="G82" s="2037"/>
      <c r="H82" s="2037"/>
      <c r="I82" s="2037"/>
      <c r="J82" s="2037"/>
      <c r="K82" s="2037"/>
    </row>
    <row r="83" spans="1:11">
      <c r="A83" s="1146" t="s">
        <v>322</v>
      </c>
      <c r="B83" s="2150" t="s">
        <v>834</v>
      </c>
      <c r="C83" s="2150"/>
      <c r="D83" s="2150"/>
      <c r="E83" s="2150"/>
      <c r="F83" s="2150"/>
      <c r="G83" s="2150"/>
      <c r="H83" s="2150"/>
      <c r="I83" s="2150"/>
      <c r="J83" s="2150"/>
      <c r="K83" s="2150"/>
    </row>
    <row r="84" spans="1:11">
      <c r="A84" s="1146" t="s">
        <v>323</v>
      </c>
      <c r="B84" s="646" t="s">
        <v>1492</v>
      </c>
      <c r="C84" s="646"/>
      <c r="D84" s="646"/>
      <c r="E84" s="646"/>
      <c r="F84" s="829"/>
      <c r="G84" s="829"/>
      <c r="I84" s="829"/>
      <c r="J84" s="829"/>
      <c r="K84" s="829"/>
    </row>
    <row r="85" spans="1:11">
      <c r="B85" s="1466" t="s">
        <v>174</v>
      </c>
      <c r="G85" s="1466" t="s">
        <v>892</v>
      </c>
      <c r="I85" s="1466" t="s">
        <v>473</v>
      </c>
      <c r="J85" s="829"/>
      <c r="K85" s="1466" t="s">
        <v>512</v>
      </c>
    </row>
    <row r="86" spans="1:11">
      <c r="B86" s="284" t="s">
        <v>1259</v>
      </c>
      <c r="G86" s="208">
        <v>526.70000000000005</v>
      </c>
      <c r="I86" s="208">
        <v>17552.04</v>
      </c>
      <c r="K86" s="1713">
        <f>+G86+I86</f>
        <v>18078.740000000002</v>
      </c>
    </row>
    <row r="87" spans="1:11" ht="13.8" thickBot="1">
      <c r="B87" s="646" t="s">
        <v>800</v>
      </c>
      <c r="G87" s="1714">
        <f>+I55</f>
        <v>15836.75</v>
      </c>
      <c r="I87" s="1714">
        <f>+J55</f>
        <v>1070587.23</v>
      </c>
      <c r="K87" s="1714">
        <f>+G87+I87</f>
        <v>1086423.98</v>
      </c>
    </row>
    <row r="88" spans="1:11" ht="13.8" thickTop="1">
      <c r="B88" s="646" t="s">
        <v>1490</v>
      </c>
      <c r="G88" s="1711">
        <f>+G86+G87</f>
        <v>16363.45</v>
      </c>
      <c r="I88" s="1711">
        <f>+I86+I87</f>
        <v>1088139.27</v>
      </c>
      <c r="K88" s="1711">
        <f>+K86+K87</f>
        <v>1104502.72</v>
      </c>
    </row>
  </sheetData>
  <mergeCells count="11">
    <mergeCell ref="M16:P16"/>
    <mergeCell ref="B80:K80"/>
    <mergeCell ref="B82:K82"/>
    <mergeCell ref="B83:K83"/>
    <mergeCell ref="A1:K1"/>
    <mergeCell ref="A2:K2"/>
    <mergeCell ref="I9:J9"/>
    <mergeCell ref="C9:E9"/>
    <mergeCell ref="G9:H9"/>
    <mergeCell ref="A3:K3"/>
    <mergeCell ref="A5:K5"/>
  </mergeCells>
  <phoneticPr fontId="100" type="noConversion"/>
  <printOptions horizontalCentered="1"/>
  <pageMargins left="0.7" right="0.7" top="0.5" bottom="0.75" header="0.3" footer="0.5"/>
  <pageSetup scale="63" orientation="portrait" r:id="rId1"/>
  <headerFooter>
    <oddFooter>&amp;R&amp;A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72"/>
  <sheetViews>
    <sheetView zoomScaleNormal="100" workbookViewId="0">
      <selection activeCell="L6" sqref="L6"/>
    </sheetView>
  </sheetViews>
  <sheetFormatPr defaultColWidth="8.88671875" defaultRowHeight="13.2"/>
  <cols>
    <col min="1" max="1" width="5.33203125" style="625" customWidth="1"/>
    <col min="2" max="2" width="44.6640625" style="169" customWidth="1"/>
    <col min="3" max="3" width="13.44140625" style="169" bestFit="1" customWidth="1"/>
    <col min="4" max="4" width="16.109375" style="169" bestFit="1" customWidth="1"/>
    <col min="5" max="5" width="14.33203125" style="169" customWidth="1"/>
    <col min="6" max="6" width="15.5546875" style="169" bestFit="1" customWidth="1"/>
    <col min="7" max="8" width="8.88671875" style="169"/>
    <col min="9" max="9" width="10.88671875" style="169" bestFit="1" customWidth="1"/>
    <col min="10" max="16384" width="8.88671875" style="169"/>
  </cols>
  <sheetData>
    <row r="1" spans="1:10">
      <c r="A1" s="2067" t="str">
        <f>'MISO Cover'!C6</f>
        <v>Entergy New Orleans, Inc.</v>
      </c>
      <c r="B1" s="2067"/>
      <c r="C1" s="2067"/>
      <c r="D1" s="2067"/>
      <c r="E1" s="2067"/>
      <c r="F1" s="2067"/>
      <c r="G1" s="837"/>
      <c r="I1" s="838"/>
    </row>
    <row r="2" spans="1:10">
      <c r="A2" s="2068" t="s">
        <v>835</v>
      </c>
      <c r="B2" s="2068"/>
      <c r="C2" s="2068"/>
      <c r="D2" s="2068"/>
      <c r="E2" s="2068"/>
      <c r="F2" s="2068"/>
      <c r="G2" s="989"/>
    </row>
    <row r="3" spans="1:10">
      <c r="A3" s="2067" t="str">
        <f>'MISO Cover'!K4</f>
        <v>For  the 12 Months Ended 12/31/2016</v>
      </c>
      <c r="B3" s="2067"/>
      <c r="C3" s="2067"/>
      <c r="D3" s="2067"/>
      <c r="E3" s="2067"/>
      <c r="F3" s="2067"/>
      <c r="G3" s="839"/>
    </row>
    <row r="4" spans="1:10">
      <c r="A4" s="615"/>
      <c r="B4" s="615"/>
      <c r="C4" s="615"/>
      <c r="D4" s="615"/>
      <c r="E4" s="615"/>
      <c r="F4" s="615"/>
      <c r="G4" s="615"/>
    </row>
    <row r="5" spans="1:10">
      <c r="A5" s="1054"/>
      <c r="B5" s="840"/>
      <c r="C5" s="770"/>
      <c r="D5" s="1290"/>
      <c r="E5" s="1290"/>
      <c r="F5" s="1290" t="s">
        <v>648</v>
      </c>
    </row>
    <row r="6" spans="1:10">
      <c r="A6" s="614" t="s">
        <v>281</v>
      </c>
      <c r="B6" s="1055" t="s">
        <v>68</v>
      </c>
      <c r="C6" s="171"/>
      <c r="D6" s="1055" t="s">
        <v>115</v>
      </c>
      <c r="E6" s="1055" t="s">
        <v>56</v>
      </c>
      <c r="F6" s="1344" t="s">
        <v>69</v>
      </c>
    </row>
    <row r="7" spans="1:10">
      <c r="A7" s="922">
        <v>1</v>
      </c>
      <c r="B7" s="1466" t="s">
        <v>174</v>
      </c>
      <c r="C7" s="1473"/>
      <c r="D7" s="1466" t="s">
        <v>892</v>
      </c>
      <c r="E7" s="1466" t="s">
        <v>473</v>
      </c>
      <c r="F7" s="1466" t="s">
        <v>512</v>
      </c>
      <c r="H7" s="170"/>
      <c r="I7" s="170"/>
    </row>
    <row r="8" spans="1:10">
      <c r="A8" s="965">
        <f>A7+0.01</f>
        <v>1.01</v>
      </c>
      <c r="B8" s="1293" t="s">
        <v>812</v>
      </c>
      <c r="C8" s="617"/>
      <c r="D8" s="1345">
        <v>0</v>
      </c>
      <c r="E8" s="1345">
        <v>0</v>
      </c>
      <c r="F8" s="618">
        <f>SUM(D8:E8)</f>
        <v>0</v>
      </c>
      <c r="G8" s="171"/>
      <c r="H8" s="1715" t="s">
        <v>1489</v>
      </c>
      <c r="I8" s="170"/>
      <c r="J8" s="171"/>
    </row>
    <row r="9" spans="1:10" s="171" customFormat="1">
      <c r="A9" s="965">
        <f t="shared" ref="A9:A40" si="0">A8+0.01</f>
        <v>1.02</v>
      </c>
      <c r="B9" s="1293" t="s">
        <v>813</v>
      </c>
      <c r="C9" s="617"/>
      <c r="D9" s="1345">
        <v>0</v>
      </c>
      <c r="E9" s="1345">
        <v>0</v>
      </c>
      <c r="F9" s="618">
        <f t="shared" ref="F9:F40" si="1">SUM(D9:E9)</f>
        <v>0</v>
      </c>
      <c r="G9" s="617"/>
      <c r="H9" s="170"/>
      <c r="I9" s="170"/>
      <c r="J9" s="170"/>
    </row>
    <row r="10" spans="1:10" s="170" customFormat="1">
      <c r="A10" s="965">
        <f t="shared" si="0"/>
        <v>1.03</v>
      </c>
      <c r="B10" s="1570" t="s">
        <v>1227</v>
      </c>
      <c r="C10" s="617"/>
      <c r="D10" s="1345">
        <f>IFERROR(INDEX(#REF!,MATCH($B10,#REF!,0)),0)</f>
        <v>0</v>
      </c>
      <c r="E10" s="1345">
        <f>IFERROR(INDEX(#REF!,MATCH($B10,#REF!,0)),0)</f>
        <v>0</v>
      </c>
      <c r="F10" s="618">
        <f t="shared" si="1"/>
        <v>0</v>
      </c>
      <c r="G10" s="617"/>
    </row>
    <row r="11" spans="1:10" s="170" customFormat="1">
      <c r="A11" s="965">
        <f t="shared" si="0"/>
        <v>1.04</v>
      </c>
      <c r="B11" s="1570" t="s">
        <v>1228</v>
      </c>
      <c r="C11" s="617"/>
      <c r="D11" s="1345">
        <f>IFERROR(INDEX(#REF!,MATCH($B11,#REF!,0)),0)</f>
        <v>0</v>
      </c>
      <c r="E11" s="1345">
        <f>IFERROR(INDEX(#REF!,MATCH($B11,#REF!,0)),0)</f>
        <v>0</v>
      </c>
      <c r="F11" s="618">
        <f t="shared" si="1"/>
        <v>0</v>
      </c>
      <c r="G11" s="617"/>
    </row>
    <row r="12" spans="1:10" s="170" customFormat="1">
      <c r="A12" s="965">
        <f t="shared" si="0"/>
        <v>1.05</v>
      </c>
      <c r="B12" s="1570" t="s">
        <v>1229</v>
      </c>
      <c r="C12" s="617"/>
      <c r="D12" s="1345">
        <f>IFERROR(INDEX(#REF!,MATCH($B12,#REF!,0)),0)</f>
        <v>0</v>
      </c>
      <c r="E12" s="1345">
        <f>IFERROR(INDEX(#REF!,MATCH($B12,#REF!,0)),0)</f>
        <v>0</v>
      </c>
      <c r="F12" s="618">
        <f t="shared" si="1"/>
        <v>0</v>
      </c>
      <c r="G12" s="617"/>
    </row>
    <row r="13" spans="1:10" s="170" customFormat="1">
      <c r="A13" s="965">
        <f t="shared" si="0"/>
        <v>1.06</v>
      </c>
      <c r="B13" s="1294" t="s">
        <v>1230</v>
      </c>
      <c r="C13" s="617"/>
      <c r="D13" s="1345">
        <f>IFERROR(INDEX(#REF!,MATCH($B13,#REF!,0)),0)</f>
        <v>0</v>
      </c>
      <c r="E13" s="1345">
        <f>IFERROR(INDEX(#REF!,MATCH($B13,#REF!,0)),0)</f>
        <v>0</v>
      </c>
      <c r="F13" s="618">
        <f t="shared" si="1"/>
        <v>0</v>
      </c>
      <c r="G13" s="617"/>
    </row>
    <row r="14" spans="1:10" s="170" customFormat="1">
      <c r="A14" s="965">
        <f t="shared" si="0"/>
        <v>1.07</v>
      </c>
      <c r="B14" s="1294" t="s">
        <v>1264</v>
      </c>
      <c r="C14" s="617"/>
      <c r="D14" s="1345">
        <f>IFERROR(INDEX(#REF!,MATCH($B14,#REF!,0)),0)</f>
        <v>0</v>
      </c>
      <c r="E14" s="1345">
        <f>IFERROR(INDEX(#REF!,MATCH($B14,#REF!,0)),0)</f>
        <v>0</v>
      </c>
      <c r="F14" s="618">
        <f t="shared" si="1"/>
        <v>0</v>
      </c>
      <c r="G14" s="617"/>
    </row>
    <row r="15" spans="1:10" s="170" customFormat="1">
      <c r="A15" s="965">
        <f t="shared" si="0"/>
        <v>1.08</v>
      </c>
      <c r="B15" s="1294" t="s">
        <v>1265</v>
      </c>
      <c r="C15" s="617"/>
      <c r="D15" s="1345">
        <f>IFERROR(INDEX(#REF!,MATCH($B15,#REF!,0)),0)</f>
        <v>0</v>
      </c>
      <c r="E15" s="1345">
        <f>IFERROR(INDEX(#REF!,MATCH($B15,#REF!,0)),0)</f>
        <v>0</v>
      </c>
      <c r="F15" s="618">
        <f t="shared" si="1"/>
        <v>0</v>
      </c>
      <c r="G15" s="617"/>
    </row>
    <row r="16" spans="1:10" s="170" customFormat="1">
      <c r="A16" s="965">
        <f t="shared" si="0"/>
        <v>1.0900000000000001</v>
      </c>
      <c r="B16" s="1570" t="s">
        <v>1266</v>
      </c>
      <c r="C16" s="617"/>
      <c r="D16" s="1345">
        <f>IFERROR(INDEX(#REF!,MATCH($B16,#REF!,0)),0)</f>
        <v>0</v>
      </c>
      <c r="E16" s="1345">
        <f>IFERROR(INDEX(#REF!,MATCH($B16,#REF!,0)),0)</f>
        <v>0</v>
      </c>
      <c r="F16" s="618">
        <f t="shared" si="1"/>
        <v>0</v>
      </c>
      <c r="G16" s="617"/>
    </row>
    <row r="17" spans="1:7" s="170" customFormat="1">
      <c r="A17" s="965">
        <f t="shared" si="0"/>
        <v>1.1000000000000001</v>
      </c>
      <c r="B17" s="1294" t="s">
        <v>1267</v>
      </c>
      <c r="C17" s="617"/>
      <c r="D17" s="1345">
        <f>IFERROR(INDEX(#REF!,MATCH($B17,#REF!,0)),0)</f>
        <v>0</v>
      </c>
      <c r="E17" s="1345">
        <f>IFERROR(INDEX(#REF!,MATCH($B17,#REF!,0)),0)</f>
        <v>0</v>
      </c>
      <c r="F17" s="618">
        <f t="shared" si="1"/>
        <v>0</v>
      </c>
      <c r="G17" s="617"/>
    </row>
    <row r="18" spans="1:7" s="170" customFormat="1">
      <c r="A18" s="965">
        <f t="shared" si="0"/>
        <v>1.1100000000000001</v>
      </c>
      <c r="B18" s="1294" t="s">
        <v>1268</v>
      </c>
      <c r="C18" s="617"/>
      <c r="D18" s="1345">
        <f>IFERROR(INDEX(#REF!,MATCH($B18,#REF!,0)),0)</f>
        <v>0</v>
      </c>
      <c r="E18" s="1345">
        <f>IFERROR(INDEX(#REF!,MATCH($B18,#REF!,0)),0)</f>
        <v>0</v>
      </c>
      <c r="F18" s="618">
        <f t="shared" si="1"/>
        <v>0</v>
      </c>
      <c r="G18" s="617"/>
    </row>
    <row r="19" spans="1:7" s="170" customFormat="1">
      <c r="A19" s="965">
        <f t="shared" si="0"/>
        <v>1.1200000000000001</v>
      </c>
      <c r="B19" s="1294" t="s">
        <v>1269</v>
      </c>
      <c r="C19" s="617"/>
      <c r="D19" s="1345">
        <f>IFERROR(INDEX(#REF!,MATCH($B19,#REF!,0)),0)</f>
        <v>0</v>
      </c>
      <c r="E19" s="1345">
        <f>IFERROR(INDEX(#REF!,MATCH($B19,#REF!,0)),0)</f>
        <v>0</v>
      </c>
      <c r="F19" s="618">
        <f t="shared" si="1"/>
        <v>0</v>
      </c>
      <c r="G19" s="617"/>
    </row>
    <row r="20" spans="1:7" s="170" customFormat="1">
      <c r="A20" s="965">
        <f t="shared" si="0"/>
        <v>1.1300000000000001</v>
      </c>
      <c r="B20" s="1570" t="s">
        <v>1235</v>
      </c>
      <c r="C20" s="617"/>
      <c r="D20" s="1345">
        <f>IFERROR(INDEX(#REF!,MATCH($B20,#REF!,0)),0)</f>
        <v>0</v>
      </c>
      <c r="E20" s="1345">
        <f>IFERROR(INDEX(#REF!,MATCH($B20,#REF!,0)),0)</f>
        <v>0</v>
      </c>
      <c r="F20" s="618">
        <f t="shared" si="1"/>
        <v>0</v>
      </c>
      <c r="G20" s="617"/>
    </row>
    <row r="21" spans="1:7" s="170" customFormat="1">
      <c r="A21" s="965">
        <f t="shared" si="0"/>
        <v>1.1400000000000001</v>
      </c>
      <c r="B21" s="1294" t="s">
        <v>1240</v>
      </c>
      <c r="C21" s="617"/>
      <c r="D21" s="1345">
        <f>IFERROR(INDEX(#REF!,MATCH($B21,#REF!,0)),0)</f>
        <v>0</v>
      </c>
      <c r="E21" s="1345">
        <f>IFERROR(INDEX(#REF!,MATCH($B21,#REF!,0)),0)</f>
        <v>0</v>
      </c>
      <c r="F21" s="618">
        <f t="shared" si="1"/>
        <v>0</v>
      </c>
      <c r="G21" s="617"/>
    </row>
    <row r="22" spans="1:7" s="170" customFormat="1">
      <c r="A22" s="965">
        <f t="shared" si="0"/>
        <v>1.1500000000000001</v>
      </c>
      <c r="B22" s="1570" t="s">
        <v>1242</v>
      </c>
      <c r="C22" s="617"/>
      <c r="D22" s="1345">
        <f>IFERROR(INDEX(#REF!,MATCH($B22,#REF!,0)),0)</f>
        <v>0</v>
      </c>
      <c r="E22" s="1345">
        <f>IFERROR(INDEX(#REF!,MATCH($B22,#REF!,0)),0)</f>
        <v>0</v>
      </c>
      <c r="F22" s="618">
        <f t="shared" si="1"/>
        <v>0</v>
      </c>
      <c r="G22" s="617"/>
    </row>
    <row r="23" spans="1:7" s="170" customFormat="1">
      <c r="A23" s="965">
        <f t="shared" si="0"/>
        <v>1.1600000000000001</v>
      </c>
      <c r="B23" s="1570" t="s">
        <v>1244</v>
      </c>
      <c r="C23" s="617"/>
      <c r="D23" s="1345">
        <f>IFERROR(INDEX(#REF!,MATCH($B23,#REF!,0)),0)</f>
        <v>0</v>
      </c>
      <c r="E23" s="1345">
        <f>IFERROR(INDEX(#REF!,MATCH($B23,#REF!,0)),0)</f>
        <v>0</v>
      </c>
      <c r="F23" s="618">
        <f t="shared" si="1"/>
        <v>0</v>
      </c>
      <c r="G23" s="617"/>
    </row>
    <row r="24" spans="1:7" s="170" customFormat="1">
      <c r="A24" s="965">
        <f t="shared" si="0"/>
        <v>1.1700000000000002</v>
      </c>
      <c r="B24" s="1294" t="s">
        <v>1245</v>
      </c>
      <c r="C24" s="617"/>
      <c r="D24" s="1345">
        <f>IFERROR(INDEX(#REF!,MATCH($B24,#REF!,0)),0)</f>
        <v>0</v>
      </c>
      <c r="E24" s="1345">
        <f>IFERROR(INDEX(#REF!,MATCH($B24,#REF!,0)),0)</f>
        <v>0</v>
      </c>
      <c r="F24" s="618">
        <f t="shared" si="1"/>
        <v>0</v>
      </c>
      <c r="G24" s="617"/>
    </row>
    <row r="25" spans="1:7" s="170" customFormat="1">
      <c r="A25" s="965">
        <f t="shared" si="0"/>
        <v>1.1800000000000002</v>
      </c>
      <c r="B25" s="1294" t="s">
        <v>1270</v>
      </c>
      <c r="C25" s="617"/>
      <c r="D25" s="1345">
        <f>IFERROR(INDEX(#REF!,MATCH($B25,#REF!,0)),0)</f>
        <v>0</v>
      </c>
      <c r="E25" s="1345">
        <f>IFERROR(INDEX(#REF!,MATCH($B25,#REF!,0)),0)</f>
        <v>0</v>
      </c>
      <c r="F25" s="618">
        <f t="shared" si="1"/>
        <v>0</v>
      </c>
      <c r="G25" s="617"/>
    </row>
    <row r="26" spans="1:7" s="170" customFormat="1">
      <c r="A26" s="965">
        <f t="shared" si="0"/>
        <v>1.1900000000000002</v>
      </c>
      <c r="B26" s="1295" t="s">
        <v>777</v>
      </c>
      <c r="C26" s="617"/>
      <c r="D26" s="1345">
        <v>0</v>
      </c>
      <c r="E26" s="1345">
        <v>0</v>
      </c>
      <c r="F26" s="618">
        <f t="shared" si="1"/>
        <v>0</v>
      </c>
      <c r="G26" s="994"/>
    </row>
    <row r="27" spans="1:7" s="170" customFormat="1">
      <c r="A27" s="965">
        <f t="shared" si="0"/>
        <v>1.2000000000000002</v>
      </c>
      <c r="B27" s="1295" t="s">
        <v>814</v>
      </c>
      <c r="C27" s="617"/>
      <c r="D27" s="1345">
        <v>0</v>
      </c>
      <c r="E27" s="1345">
        <v>0</v>
      </c>
      <c r="F27" s="618">
        <f t="shared" si="1"/>
        <v>0</v>
      </c>
      <c r="G27" s="994"/>
    </row>
    <row r="28" spans="1:7" s="170" customFormat="1">
      <c r="A28" s="965">
        <f t="shared" si="0"/>
        <v>1.2100000000000002</v>
      </c>
      <c r="B28" s="1295" t="s">
        <v>178</v>
      </c>
      <c r="C28" s="617"/>
      <c r="D28" s="1345">
        <v>0</v>
      </c>
      <c r="E28" s="1345">
        <v>0</v>
      </c>
      <c r="F28" s="618">
        <f t="shared" si="1"/>
        <v>0</v>
      </c>
      <c r="G28" s="617"/>
    </row>
    <row r="29" spans="1:7" s="170" customFormat="1">
      <c r="A29" s="965">
        <f t="shared" si="0"/>
        <v>1.2200000000000002</v>
      </c>
      <c r="B29" s="1295" t="s">
        <v>836</v>
      </c>
      <c r="C29" s="617"/>
      <c r="D29" s="1345">
        <v>0</v>
      </c>
      <c r="E29" s="1345">
        <v>0</v>
      </c>
      <c r="F29" s="618">
        <f t="shared" si="1"/>
        <v>0</v>
      </c>
      <c r="G29" s="617"/>
    </row>
    <row r="30" spans="1:7" s="170" customFormat="1">
      <c r="A30" s="965">
        <f t="shared" si="0"/>
        <v>1.2300000000000002</v>
      </c>
      <c r="B30" s="616" t="s">
        <v>179</v>
      </c>
      <c r="C30" s="617"/>
      <c r="D30" s="1345">
        <v>0</v>
      </c>
      <c r="E30" s="1345">
        <v>0</v>
      </c>
      <c r="F30" s="618">
        <f t="shared" si="1"/>
        <v>0</v>
      </c>
      <c r="G30" s="617"/>
    </row>
    <row r="31" spans="1:7" s="170" customFormat="1">
      <c r="A31" s="965">
        <f t="shared" si="0"/>
        <v>1.2400000000000002</v>
      </c>
      <c r="B31" s="616" t="s">
        <v>180</v>
      </c>
      <c r="C31" s="617"/>
      <c r="D31" s="1345">
        <v>0</v>
      </c>
      <c r="E31" s="1345">
        <v>0</v>
      </c>
      <c r="F31" s="618">
        <f t="shared" si="1"/>
        <v>0</v>
      </c>
      <c r="G31" s="617"/>
    </row>
    <row r="32" spans="1:7" s="170" customFormat="1">
      <c r="A32" s="965">
        <f t="shared" si="0"/>
        <v>1.2500000000000002</v>
      </c>
      <c r="B32" s="616" t="s">
        <v>181</v>
      </c>
      <c r="C32" s="617"/>
      <c r="D32" s="1345">
        <v>0</v>
      </c>
      <c r="E32" s="1345">
        <v>0</v>
      </c>
      <c r="F32" s="618">
        <f t="shared" si="1"/>
        <v>0</v>
      </c>
      <c r="G32" s="617"/>
    </row>
    <row r="33" spans="1:10" s="170" customFormat="1">
      <c r="A33" s="965">
        <f t="shared" si="0"/>
        <v>1.2600000000000002</v>
      </c>
      <c r="B33" s="616" t="s">
        <v>182</v>
      </c>
      <c r="C33" s="617"/>
      <c r="D33" s="1345">
        <v>0</v>
      </c>
      <c r="E33" s="1345">
        <v>0</v>
      </c>
      <c r="F33" s="618">
        <f t="shared" si="1"/>
        <v>0</v>
      </c>
      <c r="G33" s="617"/>
    </row>
    <row r="34" spans="1:10" s="170" customFormat="1">
      <c r="A34" s="965">
        <f t="shared" si="0"/>
        <v>1.2700000000000002</v>
      </c>
      <c r="B34" s="616" t="s">
        <v>183</v>
      </c>
      <c r="C34" s="617"/>
      <c r="D34" s="1345">
        <v>0</v>
      </c>
      <c r="E34" s="1345">
        <v>0</v>
      </c>
      <c r="F34" s="618">
        <f t="shared" si="1"/>
        <v>0</v>
      </c>
      <c r="G34" s="617"/>
    </row>
    <row r="35" spans="1:10" s="170" customFormat="1">
      <c r="A35" s="965">
        <f t="shared" si="0"/>
        <v>1.2800000000000002</v>
      </c>
      <c r="B35" s="616" t="s">
        <v>184</v>
      </c>
      <c r="C35" s="617"/>
      <c r="D35" s="1345">
        <v>0</v>
      </c>
      <c r="E35" s="1345">
        <v>0</v>
      </c>
      <c r="F35" s="618">
        <f t="shared" si="1"/>
        <v>0</v>
      </c>
      <c r="G35" s="617"/>
    </row>
    <row r="36" spans="1:10" s="170" customFormat="1">
      <c r="A36" s="965">
        <f t="shared" si="0"/>
        <v>1.2900000000000003</v>
      </c>
      <c r="B36" s="616" t="s">
        <v>185</v>
      </c>
      <c r="C36" s="617"/>
      <c r="D36" s="1345">
        <v>0</v>
      </c>
      <c r="E36" s="1345">
        <v>0</v>
      </c>
      <c r="F36" s="618">
        <f t="shared" si="1"/>
        <v>0</v>
      </c>
      <c r="G36" s="617"/>
    </row>
    <row r="37" spans="1:10" s="170" customFormat="1">
      <c r="A37" s="965">
        <f t="shared" si="0"/>
        <v>1.3000000000000003</v>
      </c>
      <c r="B37" s="616" t="s">
        <v>296</v>
      </c>
      <c r="C37" s="617"/>
      <c r="D37" s="1345">
        <v>0</v>
      </c>
      <c r="E37" s="1345">
        <v>0</v>
      </c>
      <c r="F37" s="618">
        <f t="shared" si="1"/>
        <v>0</v>
      </c>
      <c r="G37" s="617"/>
    </row>
    <row r="38" spans="1:10" s="170" customFormat="1">
      <c r="A38" s="965">
        <f t="shared" si="0"/>
        <v>1.3100000000000003</v>
      </c>
      <c r="B38" s="616" t="s">
        <v>186</v>
      </c>
      <c r="C38" s="617"/>
      <c r="D38" s="1345">
        <v>0</v>
      </c>
      <c r="E38" s="1345">
        <v>0</v>
      </c>
      <c r="F38" s="618">
        <f t="shared" si="1"/>
        <v>0</v>
      </c>
      <c r="G38" s="617"/>
    </row>
    <row r="39" spans="1:10" s="170" customFormat="1">
      <c r="A39" s="965">
        <f t="shared" si="0"/>
        <v>1.3200000000000003</v>
      </c>
      <c r="B39" s="616" t="s">
        <v>297</v>
      </c>
      <c r="C39" s="617"/>
      <c r="D39" s="1345">
        <v>0</v>
      </c>
      <c r="E39" s="1345">
        <v>0</v>
      </c>
      <c r="F39" s="618">
        <f t="shared" si="1"/>
        <v>0</v>
      </c>
      <c r="G39" s="617"/>
    </row>
    <row r="40" spans="1:10" s="170" customFormat="1">
      <c r="A40" s="965">
        <f t="shared" si="0"/>
        <v>1.3300000000000003</v>
      </c>
      <c r="B40" s="616" t="s">
        <v>187</v>
      </c>
      <c r="C40" s="617"/>
      <c r="D40" s="1345">
        <v>0</v>
      </c>
      <c r="E40" s="1345">
        <v>0</v>
      </c>
      <c r="F40" s="618">
        <f t="shared" si="1"/>
        <v>0</v>
      </c>
      <c r="G40" s="617"/>
    </row>
    <row r="41" spans="1:10" s="170" customFormat="1" ht="13.8" thickBot="1">
      <c r="A41" s="922">
        <f>A7+1</f>
        <v>2</v>
      </c>
      <c r="B41" s="646" t="s">
        <v>800</v>
      </c>
      <c r="C41" s="617"/>
      <c r="D41" s="647">
        <f>SUM(D8:D40)</f>
        <v>0</v>
      </c>
      <c r="E41" s="647">
        <f>SUM(E8:E40)</f>
        <v>0</v>
      </c>
      <c r="F41" s="647">
        <f>SUM(F8:F40)</f>
        <v>0</v>
      </c>
      <c r="G41" s="617"/>
    </row>
    <row r="42" spans="1:10" s="170" customFormat="1" ht="13.8" thickTop="1">
      <c r="A42" s="922">
        <f>A41+1</f>
        <v>3</v>
      </c>
      <c r="B42" s="1056"/>
      <c r="C42" s="1056"/>
      <c r="D42" s="1056"/>
      <c r="E42" s="1057"/>
      <c r="F42" s="1057"/>
      <c r="G42" s="830"/>
      <c r="H42" s="613"/>
      <c r="I42" s="613"/>
      <c r="J42" s="613"/>
    </row>
    <row r="43" spans="1:10" s="613" customFormat="1">
      <c r="A43" s="922">
        <f t="shared" ref="A43:A48" si="2">A42+1</f>
        <v>4</v>
      </c>
      <c r="B43" s="1056" t="s">
        <v>561</v>
      </c>
      <c r="C43" s="1056"/>
      <c r="D43" s="1056"/>
      <c r="E43" s="1057"/>
      <c r="F43" s="1057"/>
      <c r="G43" s="830"/>
    </row>
    <row r="44" spans="1:10" s="613" customFormat="1">
      <c r="A44" s="922">
        <f t="shared" si="2"/>
        <v>5</v>
      </c>
      <c r="B44" s="1058" t="s">
        <v>647</v>
      </c>
      <c r="C44" s="1059"/>
      <c r="D44" s="1059"/>
      <c r="E44" s="1059"/>
      <c r="F44" s="1059"/>
      <c r="G44" s="845"/>
    </row>
    <row r="45" spans="1:10" s="613" customFormat="1" ht="15">
      <c r="A45" s="922">
        <f t="shared" si="2"/>
        <v>6</v>
      </c>
      <c r="B45" s="1058" t="s">
        <v>503</v>
      </c>
      <c r="C45" s="677"/>
      <c r="D45" s="677">
        <f>D21</f>
        <v>0</v>
      </c>
      <c r="E45" s="677">
        <f>E21</f>
        <v>0</v>
      </c>
      <c r="F45" s="677">
        <f>F21</f>
        <v>0</v>
      </c>
      <c r="G45" s="677"/>
    </row>
    <row r="46" spans="1:10" s="613" customFormat="1">
      <c r="A46" s="922">
        <f t="shared" si="2"/>
        <v>7</v>
      </c>
      <c r="B46" s="1060" t="s">
        <v>778</v>
      </c>
      <c r="C46" s="1059"/>
      <c r="D46" s="1059">
        <f>SUM(D44:D45)</f>
        <v>0</v>
      </c>
      <c r="E46" s="1059">
        <f>SUM(E44:E45)</f>
        <v>0</v>
      </c>
      <c r="F46" s="1059">
        <f>SUM(F44:F45)</f>
        <v>0</v>
      </c>
      <c r="G46" s="845"/>
    </row>
    <row r="47" spans="1:10" s="613" customFormat="1" ht="15">
      <c r="A47" s="922">
        <f t="shared" si="2"/>
        <v>8</v>
      </c>
      <c r="B47" s="1056" t="s">
        <v>815</v>
      </c>
      <c r="C47" s="677"/>
      <c r="D47" s="677">
        <f>SUM(D20:D25)-D21</f>
        <v>0</v>
      </c>
      <c r="E47" s="677">
        <f>SUM(E20:E25)-E21</f>
        <v>0</v>
      </c>
      <c r="F47" s="677">
        <f>SUM(F20:F25)-F21</f>
        <v>0</v>
      </c>
      <c r="G47" s="866"/>
    </row>
    <row r="48" spans="1:10" s="613" customFormat="1">
      <c r="A48" s="922">
        <f t="shared" si="2"/>
        <v>9</v>
      </c>
      <c r="B48" s="1056" t="s">
        <v>740</v>
      </c>
      <c r="C48" s="1059"/>
      <c r="D48" s="1059">
        <f>+D46+D47</f>
        <v>0</v>
      </c>
      <c r="E48" s="1059">
        <f>+E46+E47</f>
        <v>0</v>
      </c>
      <c r="F48" s="1059">
        <f>+F46+F47</f>
        <v>0</v>
      </c>
      <c r="G48" s="845"/>
    </row>
    <row r="49" spans="1:10" s="613" customFormat="1">
      <c r="A49" s="922">
        <f t="shared" ref="A49:A60" si="3">+A48+1</f>
        <v>10</v>
      </c>
      <c r="B49" s="616"/>
      <c r="C49" s="617"/>
      <c r="D49" s="283"/>
      <c r="E49" s="283"/>
      <c r="F49" s="283"/>
      <c r="G49" s="617"/>
      <c r="H49" s="170"/>
      <c r="I49" s="170"/>
      <c r="J49" s="170"/>
    </row>
    <row r="50" spans="1:10" s="170" customFormat="1">
      <c r="A50" s="922">
        <f t="shared" si="3"/>
        <v>11</v>
      </c>
      <c r="B50" s="1056" t="s">
        <v>52</v>
      </c>
      <c r="C50" s="1056"/>
      <c r="D50" s="1056"/>
      <c r="E50" s="1056"/>
      <c r="F50" s="1056"/>
      <c r="G50" s="825"/>
    </row>
    <row r="51" spans="1:10" s="170" customFormat="1">
      <c r="A51" s="922">
        <f t="shared" si="3"/>
        <v>12</v>
      </c>
      <c r="B51" s="1058" t="s">
        <v>670</v>
      </c>
      <c r="D51" s="1061">
        <f>D8+D9</f>
        <v>0</v>
      </c>
      <c r="E51" s="1061">
        <f>E8+E9</f>
        <v>0</v>
      </c>
      <c r="F51" s="1061">
        <f>F8+F9</f>
        <v>0</v>
      </c>
    </row>
    <row r="52" spans="1:10" s="170" customFormat="1">
      <c r="A52" s="922">
        <f t="shared" si="3"/>
        <v>13</v>
      </c>
      <c r="B52" s="1058" t="s">
        <v>669</v>
      </c>
      <c r="D52" s="1062">
        <f t="shared" ref="D52:D53" si="4">D10</f>
        <v>0</v>
      </c>
      <c r="E52" s="1062">
        <f t="shared" ref="E52:F52" si="5">E10</f>
        <v>0</v>
      </c>
      <c r="F52" s="1062">
        <f t="shared" si="5"/>
        <v>0</v>
      </c>
    </row>
    <row r="53" spans="1:10" s="170" customFormat="1">
      <c r="A53" s="922">
        <f t="shared" si="3"/>
        <v>14</v>
      </c>
      <c r="B53" s="1058" t="s">
        <v>668</v>
      </c>
      <c r="D53" s="1062">
        <f t="shared" si="4"/>
        <v>0</v>
      </c>
      <c r="E53" s="1062">
        <f t="shared" ref="E53:F53" si="6">E11</f>
        <v>0</v>
      </c>
      <c r="F53" s="1062">
        <f t="shared" si="6"/>
        <v>0</v>
      </c>
    </row>
    <row r="54" spans="1:10" s="170" customFormat="1">
      <c r="A54" s="922">
        <f t="shared" si="3"/>
        <v>15</v>
      </c>
      <c r="B54" s="1058" t="s">
        <v>662</v>
      </c>
      <c r="D54" s="1061">
        <f>SUM(D12:D19)</f>
        <v>0</v>
      </c>
      <c r="E54" s="1061">
        <f>SUM(E12:E19)</f>
        <v>0</v>
      </c>
      <c r="F54" s="1061">
        <f>SUM(F12:F19)</f>
        <v>0</v>
      </c>
    </row>
    <row r="55" spans="1:10" s="170" customFormat="1">
      <c r="A55" s="922">
        <f t="shared" si="3"/>
        <v>16</v>
      </c>
      <c r="B55" s="1058" t="s">
        <v>661</v>
      </c>
      <c r="D55" s="1061">
        <f>SUM(D20:D25)</f>
        <v>0</v>
      </c>
      <c r="E55" s="1061">
        <f>SUM(E20:E25)</f>
        <v>0</v>
      </c>
      <c r="F55" s="1061">
        <f>SUM(F20:F25)</f>
        <v>0</v>
      </c>
    </row>
    <row r="56" spans="1:10" s="170" customFormat="1">
      <c r="A56" s="922">
        <f t="shared" si="3"/>
        <v>17</v>
      </c>
      <c r="B56" s="1058" t="s">
        <v>663</v>
      </c>
      <c r="D56" s="1061">
        <f t="shared" ref="D56:D57" si="7">D26</f>
        <v>0</v>
      </c>
      <c r="E56" s="1061">
        <f t="shared" ref="E56:F56" si="8">E26</f>
        <v>0</v>
      </c>
      <c r="F56" s="1061">
        <f t="shared" si="8"/>
        <v>0</v>
      </c>
    </row>
    <row r="57" spans="1:10" s="170" customFormat="1">
      <c r="A57" s="922">
        <f t="shared" si="3"/>
        <v>18</v>
      </c>
      <c r="B57" s="1058" t="s">
        <v>664</v>
      </c>
      <c r="D57" s="1061">
        <f t="shared" si="7"/>
        <v>0</v>
      </c>
      <c r="E57" s="1061">
        <f t="shared" ref="E57:F57" si="9">E27</f>
        <v>0</v>
      </c>
      <c r="F57" s="1061">
        <f t="shared" si="9"/>
        <v>0</v>
      </c>
    </row>
    <row r="58" spans="1:10" s="170" customFormat="1">
      <c r="A58" s="922">
        <f t="shared" si="3"/>
        <v>19</v>
      </c>
      <c r="B58" s="1058" t="s">
        <v>665</v>
      </c>
      <c r="D58" s="1061">
        <f>D29</f>
        <v>0</v>
      </c>
      <c r="E58" s="1061">
        <f>E29</f>
        <v>0</v>
      </c>
      <c r="F58" s="1061">
        <f>F29</f>
        <v>0</v>
      </c>
    </row>
    <row r="59" spans="1:10" s="170" customFormat="1">
      <c r="A59" s="922">
        <f t="shared" si="3"/>
        <v>20</v>
      </c>
      <c r="B59" s="1058" t="s">
        <v>666</v>
      </c>
      <c r="D59" s="1061">
        <f>D28</f>
        <v>0</v>
      </c>
      <c r="E59" s="1061">
        <f>E28</f>
        <v>0</v>
      </c>
      <c r="F59" s="1061">
        <f>F28</f>
        <v>0</v>
      </c>
    </row>
    <row r="60" spans="1:10" s="170" customFormat="1">
      <c r="A60" s="922">
        <f t="shared" si="3"/>
        <v>21</v>
      </c>
      <c r="B60" s="1058" t="s">
        <v>667</v>
      </c>
      <c r="D60" s="1062">
        <f>SUM(D30:D40)</f>
        <v>0</v>
      </c>
      <c r="E60" s="1062">
        <f>SUM(E30:E40)</f>
        <v>0</v>
      </c>
      <c r="F60" s="1062">
        <f>SUM(F30:F40)</f>
        <v>0</v>
      </c>
    </row>
    <row r="61" spans="1:10" s="170" customFormat="1" ht="13.8" thickBot="1">
      <c r="A61" s="922">
        <f>A60+1</f>
        <v>22</v>
      </c>
      <c r="B61" s="1056" t="str">
        <f>B41</f>
        <v>Total  Sum Line 1 Subparts</v>
      </c>
      <c r="D61" s="1063">
        <f>SUM(D51:D60)</f>
        <v>0</v>
      </c>
      <c r="E61" s="1063">
        <f>SUM(E51:E60)</f>
        <v>0</v>
      </c>
      <c r="F61" s="1063">
        <f>SUM(F51:F60)</f>
        <v>0</v>
      </c>
    </row>
    <row r="62" spans="1:10" s="170" customFormat="1" ht="13.8" thickTop="1">
      <c r="A62" s="964">
        <f>A61+1</f>
        <v>23</v>
      </c>
      <c r="B62" s="1056"/>
      <c r="D62" s="1056"/>
      <c r="E62" s="1056"/>
      <c r="F62" s="1064"/>
      <c r="G62" s="832"/>
    </row>
    <row r="63" spans="1:10" s="170" customFormat="1">
      <c r="A63" s="964">
        <f>A62+1</f>
        <v>24</v>
      </c>
      <c r="B63" s="1145" t="s">
        <v>832</v>
      </c>
      <c r="D63" s="1061"/>
      <c r="E63" s="1061">
        <f>SUM(E51:E59)</f>
        <v>0</v>
      </c>
      <c r="F63" s="1061"/>
      <c r="G63" s="169"/>
    </row>
    <row r="64" spans="1:10" s="170" customFormat="1">
      <c r="A64" s="964"/>
      <c r="B64" s="1060"/>
      <c r="D64" s="1061"/>
      <c r="E64" s="1061"/>
      <c r="F64" s="1061"/>
      <c r="G64" s="169"/>
    </row>
    <row r="65" spans="1:11" s="170" customFormat="1">
      <c r="A65" s="170" t="s">
        <v>193</v>
      </c>
      <c r="B65" s="616"/>
      <c r="D65" s="283"/>
      <c r="E65" s="283"/>
      <c r="F65" s="283"/>
      <c r="G65" s="169"/>
      <c r="H65" s="169"/>
      <c r="I65" s="169"/>
      <c r="J65" s="169"/>
    </row>
    <row r="66" spans="1:11">
      <c r="A66" s="1144" t="s">
        <v>171</v>
      </c>
      <c r="B66" s="646" t="s">
        <v>729</v>
      </c>
      <c r="C66" s="646"/>
      <c r="D66" s="646"/>
      <c r="E66" s="646"/>
      <c r="F66" s="646"/>
    </row>
    <row r="67" spans="1:11" s="613" customFormat="1">
      <c r="A67" s="1146" t="s">
        <v>320</v>
      </c>
      <c r="B67" s="2150" t="s">
        <v>833</v>
      </c>
      <c r="C67" s="2150"/>
      <c r="D67" s="2150"/>
      <c r="E67" s="2150"/>
      <c r="F67" s="2150"/>
      <c r="G67" s="1038"/>
      <c r="H67" s="1039"/>
      <c r="I67" s="1038"/>
      <c r="J67" s="1038"/>
      <c r="K67" s="1038"/>
    </row>
    <row r="68" spans="1:11" s="613" customFormat="1" ht="26.4" customHeight="1">
      <c r="A68" s="1037" t="s">
        <v>321</v>
      </c>
      <c r="B68" s="2037" t="s">
        <v>834</v>
      </c>
      <c r="C68" s="2037"/>
      <c r="D68" s="2037"/>
      <c r="E68" s="2037"/>
      <c r="F68" s="2037"/>
      <c r="G68" s="1038"/>
      <c r="H68" s="1039"/>
      <c r="I68" s="1038"/>
      <c r="J68" s="1038"/>
      <c r="K68" s="1038"/>
    </row>
    <row r="69" spans="1:11">
      <c r="A69" s="1040"/>
      <c r="B69" s="646"/>
      <c r="C69" s="646"/>
      <c r="D69" s="646"/>
      <c r="E69" s="646"/>
      <c r="F69" s="646"/>
    </row>
    <row r="70" spans="1:11">
      <c r="A70" s="1040"/>
      <c r="B70" s="646"/>
      <c r="C70" s="646"/>
      <c r="D70" s="646"/>
      <c r="E70" s="646"/>
      <c r="F70" s="646"/>
    </row>
    <row r="71" spans="1:11">
      <c r="A71" s="1040"/>
      <c r="B71" s="646"/>
      <c r="C71" s="646"/>
      <c r="D71" s="646"/>
      <c r="E71" s="646"/>
      <c r="F71" s="646"/>
    </row>
    <row r="72" spans="1:11">
      <c r="A72" s="169"/>
    </row>
  </sheetData>
  <mergeCells count="5">
    <mergeCell ref="B68:F68"/>
    <mergeCell ref="B67:F67"/>
    <mergeCell ref="A3:F3"/>
    <mergeCell ref="A1:F1"/>
    <mergeCell ref="A2:F2"/>
  </mergeCells>
  <phoneticPr fontId="100" type="noConversion"/>
  <printOptions horizontalCentered="1"/>
  <pageMargins left="0.7" right="0.7" top="0.7" bottom="0.7" header="0.3" footer="0.5"/>
  <pageSetup scale="78" orientation="portrait" r:id="rId1"/>
  <headerFooter>
    <oddFooter>&amp;R&amp;A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L6" sqref="L6"/>
    </sheetView>
  </sheetViews>
  <sheetFormatPr defaultColWidth="8.88671875" defaultRowHeight="13.2"/>
  <cols>
    <col min="1" max="1" width="5.33203125" style="1640" customWidth="1"/>
    <col min="2" max="2" width="23.109375" style="169" customWidth="1"/>
    <col min="3" max="5" width="17" style="169" customWidth="1"/>
    <col min="6" max="6" width="8.88671875" style="169"/>
    <col min="7" max="8" width="10.44140625" style="169" bestFit="1" customWidth="1"/>
    <col min="9" max="16384" width="8.88671875" style="169"/>
  </cols>
  <sheetData>
    <row r="1" spans="1:5">
      <c r="A1" s="2067" t="str">
        <f>+'MISO Cover'!C6</f>
        <v>Entergy New Orleans, Inc.</v>
      </c>
      <c r="B1" s="2067"/>
      <c r="C1" s="2067"/>
      <c r="D1" s="2067"/>
      <c r="E1" s="2067"/>
    </row>
    <row r="2" spans="1:5">
      <c r="A2" s="2039" t="s">
        <v>1338</v>
      </c>
      <c r="B2" s="2039"/>
      <c r="C2" s="2039"/>
      <c r="D2" s="2039"/>
      <c r="E2" s="2039"/>
    </row>
    <row r="3" spans="1:5">
      <c r="A3" s="2067" t="str">
        <f>+'MISO Cover'!K4</f>
        <v>For  the 12 Months Ended 12/31/2016</v>
      </c>
      <c r="B3" s="2067"/>
      <c r="C3" s="2067"/>
      <c r="D3" s="2067"/>
      <c r="E3" s="2067"/>
    </row>
    <row r="4" spans="1:5">
      <c r="A4" s="1631"/>
      <c r="B4" s="1631"/>
      <c r="C4" s="1631"/>
      <c r="D4" s="1631"/>
      <c r="E4" s="1290"/>
    </row>
    <row r="5" spans="1:5">
      <c r="A5" s="1641" t="s">
        <v>281</v>
      </c>
      <c r="B5" s="1733" t="s">
        <v>68</v>
      </c>
      <c r="C5" s="1733" t="s">
        <v>115</v>
      </c>
      <c r="D5" s="1733" t="s">
        <v>56</v>
      </c>
      <c r="E5" s="1642" t="s">
        <v>1339</v>
      </c>
    </row>
    <row r="6" spans="1:5">
      <c r="A6" s="179"/>
      <c r="B6" s="179"/>
      <c r="C6" s="2152" t="s">
        <v>1340</v>
      </c>
      <c r="D6" s="2152"/>
      <c r="E6" s="1643" t="s">
        <v>1341</v>
      </c>
    </row>
    <row r="7" spans="1:5" ht="15">
      <c r="A7" s="1644">
        <v>1</v>
      </c>
      <c r="B7" s="924" t="s">
        <v>1342</v>
      </c>
      <c r="C7" s="1742" t="s">
        <v>1343</v>
      </c>
      <c r="D7" s="1743" t="s">
        <v>1344</v>
      </c>
      <c r="E7" s="1742" t="s">
        <v>1345</v>
      </c>
    </row>
    <row r="8" spans="1:5">
      <c r="A8" s="1645">
        <f>+A7+0.01</f>
        <v>1.01</v>
      </c>
      <c r="B8" s="1733">
        <v>2016</v>
      </c>
      <c r="C8" s="1649">
        <v>9003213</v>
      </c>
      <c r="D8" s="1646">
        <f t="shared" ref="D8:D22" si="0">+C8-E8</f>
        <v>8402998.8000000007</v>
      </c>
      <c r="E8" s="1646">
        <f>+C8/15</f>
        <v>600214.19999999995</v>
      </c>
    </row>
    <row r="9" spans="1:5">
      <c r="A9" s="1645">
        <f t="shared" ref="A9:A22" si="1">+A8+0.01</f>
        <v>1.02</v>
      </c>
      <c r="B9" s="1733">
        <f>+B8+1</f>
        <v>2017</v>
      </c>
      <c r="C9" s="1646">
        <f t="shared" ref="C9:C22" si="2">+D8</f>
        <v>8402998.8000000007</v>
      </c>
      <c r="D9" s="1646">
        <f t="shared" si="0"/>
        <v>7802784.6000000006</v>
      </c>
      <c r="E9" s="1646">
        <f>+E8</f>
        <v>600214.19999999995</v>
      </c>
    </row>
    <row r="10" spans="1:5">
      <c r="A10" s="1645">
        <f t="shared" si="1"/>
        <v>1.03</v>
      </c>
      <c r="B10" s="1733">
        <f t="shared" ref="B10:B22" si="3">+B9+1</f>
        <v>2018</v>
      </c>
      <c r="C10" s="1646">
        <f t="shared" si="2"/>
        <v>7802784.6000000006</v>
      </c>
      <c r="D10" s="1646">
        <f t="shared" si="0"/>
        <v>7202570.4000000004</v>
      </c>
      <c r="E10" s="1646">
        <f t="shared" ref="E10:E22" si="4">+E9</f>
        <v>600214.19999999995</v>
      </c>
    </row>
    <row r="11" spans="1:5">
      <c r="A11" s="1645">
        <f t="shared" si="1"/>
        <v>1.04</v>
      </c>
      <c r="B11" s="1733">
        <f t="shared" si="3"/>
        <v>2019</v>
      </c>
      <c r="C11" s="1646">
        <f t="shared" si="2"/>
        <v>7202570.4000000004</v>
      </c>
      <c r="D11" s="1646">
        <f t="shared" si="0"/>
        <v>6602356.2000000002</v>
      </c>
      <c r="E11" s="1646">
        <f t="shared" si="4"/>
        <v>600214.19999999995</v>
      </c>
    </row>
    <row r="12" spans="1:5">
      <c r="A12" s="1645">
        <f t="shared" si="1"/>
        <v>1.05</v>
      </c>
      <c r="B12" s="1733">
        <f t="shared" si="3"/>
        <v>2020</v>
      </c>
      <c r="C12" s="1646">
        <f t="shared" si="2"/>
        <v>6602356.2000000002</v>
      </c>
      <c r="D12" s="1646">
        <f t="shared" si="0"/>
        <v>6002142</v>
      </c>
      <c r="E12" s="1646">
        <f t="shared" si="4"/>
        <v>600214.19999999995</v>
      </c>
    </row>
    <row r="13" spans="1:5">
      <c r="A13" s="1645">
        <f t="shared" si="1"/>
        <v>1.06</v>
      </c>
      <c r="B13" s="1733">
        <f t="shared" si="3"/>
        <v>2021</v>
      </c>
      <c r="C13" s="1646">
        <f t="shared" si="2"/>
        <v>6002142</v>
      </c>
      <c r="D13" s="1646">
        <f t="shared" si="0"/>
        <v>5401927.7999999998</v>
      </c>
      <c r="E13" s="1646">
        <f t="shared" si="4"/>
        <v>600214.19999999995</v>
      </c>
    </row>
    <row r="14" spans="1:5">
      <c r="A14" s="1645">
        <f t="shared" si="1"/>
        <v>1.07</v>
      </c>
      <c r="B14" s="1733">
        <f t="shared" si="3"/>
        <v>2022</v>
      </c>
      <c r="C14" s="1646">
        <f t="shared" si="2"/>
        <v>5401927.7999999998</v>
      </c>
      <c r="D14" s="1646">
        <f t="shared" si="0"/>
        <v>4801713.5999999996</v>
      </c>
      <c r="E14" s="1646">
        <f t="shared" si="4"/>
        <v>600214.19999999995</v>
      </c>
    </row>
    <row r="15" spans="1:5">
      <c r="A15" s="1645">
        <f t="shared" si="1"/>
        <v>1.08</v>
      </c>
      <c r="B15" s="1733">
        <f t="shared" si="3"/>
        <v>2023</v>
      </c>
      <c r="C15" s="1646">
        <f t="shared" si="2"/>
        <v>4801713.5999999996</v>
      </c>
      <c r="D15" s="1646">
        <f t="shared" si="0"/>
        <v>4201499.3999999994</v>
      </c>
      <c r="E15" s="1646">
        <f t="shared" si="4"/>
        <v>600214.19999999995</v>
      </c>
    </row>
    <row r="16" spans="1:5">
      <c r="A16" s="1645">
        <f t="shared" si="1"/>
        <v>1.0900000000000001</v>
      </c>
      <c r="B16" s="1733">
        <f t="shared" si="3"/>
        <v>2024</v>
      </c>
      <c r="C16" s="1646">
        <f t="shared" si="2"/>
        <v>4201499.3999999994</v>
      </c>
      <c r="D16" s="1646">
        <f t="shared" si="0"/>
        <v>3601285.1999999993</v>
      </c>
      <c r="E16" s="1646">
        <f t="shared" si="4"/>
        <v>600214.19999999995</v>
      </c>
    </row>
    <row r="17" spans="1:8">
      <c r="A17" s="1645">
        <f t="shared" si="1"/>
        <v>1.1000000000000001</v>
      </c>
      <c r="B17" s="1733">
        <f t="shared" si="3"/>
        <v>2025</v>
      </c>
      <c r="C17" s="1646">
        <f t="shared" si="2"/>
        <v>3601285.1999999993</v>
      </c>
      <c r="D17" s="1646">
        <f t="shared" si="0"/>
        <v>3001070.9999999991</v>
      </c>
      <c r="E17" s="1646">
        <f t="shared" si="4"/>
        <v>600214.19999999995</v>
      </c>
    </row>
    <row r="18" spans="1:8">
      <c r="A18" s="1645">
        <f t="shared" si="1"/>
        <v>1.1100000000000001</v>
      </c>
      <c r="B18" s="1733">
        <f t="shared" si="3"/>
        <v>2026</v>
      </c>
      <c r="C18" s="1646">
        <f t="shared" si="2"/>
        <v>3001070.9999999991</v>
      </c>
      <c r="D18" s="1646">
        <f t="shared" si="0"/>
        <v>2400856.7999999989</v>
      </c>
      <c r="E18" s="1646">
        <f t="shared" si="4"/>
        <v>600214.19999999995</v>
      </c>
    </row>
    <row r="19" spans="1:8">
      <c r="A19" s="1645">
        <f t="shared" si="1"/>
        <v>1.1200000000000001</v>
      </c>
      <c r="B19" s="1733">
        <f t="shared" si="3"/>
        <v>2027</v>
      </c>
      <c r="C19" s="1646">
        <f t="shared" si="2"/>
        <v>2400856.7999999989</v>
      </c>
      <c r="D19" s="1646">
        <f t="shared" si="0"/>
        <v>1800642.5999999989</v>
      </c>
      <c r="E19" s="1646">
        <f t="shared" si="4"/>
        <v>600214.19999999995</v>
      </c>
    </row>
    <row r="20" spans="1:8">
      <c r="A20" s="1645">
        <f t="shared" si="1"/>
        <v>1.1300000000000001</v>
      </c>
      <c r="B20" s="1733">
        <f t="shared" si="3"/>
        <v>2028</v>
      </c>
      <c r="C20" s="1646">
        <f t="shared" si="2"/>
        <v>1800642.5999999989</v>
      </c>
      <c r="D20" s="1646">
        <f t="shared" si="0"/>
        <v>1200428.399999999</v>
      </c>
      <c r="E20" s="1646">
        <f t="shared" si="4"/>
        <v>600214.19999999995</v>
      </c>
    </row>
    <row r="21" spans="1:8">
      <c r="A21" s="1645">
        <f t="shared" si="1"/>
        <v>1.1400000000000001</v>
      </c>
      <c r="B21" s="1733">
        <f>+B20+1</f>
        <v>2029</v>
      </c>
      <c r="C21" s="1646">
        <f t="shared" si="2"/>
        <v>1200428.399999999</v>
      </c>
      <c r="D21" s="1646">
        <f t="shared" si="0"/>
        <v>600214.19999999902</v>
      </c>
      <c r="E21" s="1646">
        <f t="shared" si="4"/>
        <v>600214.19999999995</v>
      </c>
    </row>
    <row r="22" spans="1:8">
      <c r="A22" s="1645">
        <f t="shared" si="1"/>
        <v>1.1500000000000001</v>
      </c>
      <c r="B22" s="1733">
        <f t="shared" si="3"/>
        <v>2030</v>
      </c>
      <c r="C22" s="1646">
        <f t="shared" si="2"/>
        <v>600214.19999999902</v>
      </c>
      <c r="D22" s="1646">
        <f t="shared" si="0"/>
        <v>-9.3132257461547852E-10</v>
      </c>
      <c r="E22" s="1646">
        <f t="shared" si="4"/>
        <v>600214.19999999995</v>
      </c>
    </row>
    <row r="23" spans="1:8">
      <c r="A23" s="1733"/>
      <c r="B23" s="646"/>
      <c r="C23" s="1290"/>
      <c r="D23" s="1290"/>
      <c r="E23" s="1290"/>
    </row>
    <row r="24" spans="1:8">
      <c r="A24" s="1733"/>
      <c r="B24" s="646"/>
      <c r="C24" s="1290"/>
      <c r="D24" s="1290"/>
    </row>
    <row r="25" spans="1:8" s="170" customFormat="1">
      <c r="A25" s="1644">
        <f>+A7+1</f>
        <v>2</v>
      </c>
      <c r="B25" s="1734" t="s">
        <v>1346</v>
      </c>
      <c r="C25" s="1290"/>
      <c r="D25" s="1290"/>
      <c r="E25" s="1647">
        <f>+E8</f>
        <v>600214.19999999995</v>
      </c>
    </row>
    <row r="26" spans="1:8" s="170" customFormat="1">
      <c r="A26" s="1278"/>
      <c r="B26" s="1632"/>
      <c r="C26" s="859"/>
      <c r="D26" s="859"/>
      <c r="E26" s="859"/>
      <c r="F26" s="699"/>
      <c r="G26" s="1638"/>
      <c r="H26" s="256"/>
    </row>
    <row r="27" spans="1:8" s="170" customFormat="1">
      <c r="A27" s="170" t="s">
        <v>193</v>
      </c>
      <c r="B27" s="616"/>
      <c r="C27" s="283"/>
      <c r="D27" s="283"/>
      <c r="E27" s="283"/>
      <c r="G27" s="1638"/>
      <c r="H27" s="1638"/>
    </row>
    <row r="28" spans="1:8" s="170" customFormat="1" ht="55.2" customHeight="1">
      <c r="A28" s="1144" t="s">
        <v>171</v>
      </c>
      <c r="B28" s="2110" t="s">
        <v>1347</v>
      </c>
      <c r="C28" s="2110"/>
      <c r="D28" s="2110"/>
      <c r="E28" s="2110"/>
    </row>
    <row r="29" spans="1:8" s="1639" customFormat="1">
      <c r="A29" s="1648" t="s">
        <v>320</v>
      </c>
      <c r="B29" s="169" t="s">
        <v>1348</v>
      </c>
      <c r="C29" s="169"/>
      <c r="D29" s="169"/>
      <c r="E29" s="169"/>
    </row>
    <row r="30" spans="1:8" s="1639" customFormat="1" ht="31.95" customHeight="1">
      <c r="A30" s="1144" t="s">
        <v>321</v>
      </c>
      <c r="B30" s="2110" t="s">
        <v>1349</v>
      </c>
      <c r="C30" s="2110"/>
      <c r="D30" s="2110"/>
      <c r="E30" s="2110"/>
    </row>
    <row r="31" spans="1:8" s="1639" customFormat="1">
      <c r="A31" s="1640"/>
      <c r="B31" s="169"/>
      <c r="C31" s="169"/>
      <c r="D31" s="169"/>
      <c r="E31" s="169"/>
    </row>
  </sheetData>
  <mergeCells count="6">
    <mergeCell ref="B30:E30"/>
    <mergeCell ref="A1:E1"/>
    <mergeCell ref="A2:E2"/>
    <mergeCell ref="A3:E3"/>
    <mergeCell ref="C6:D6"/>
    <mergeCell ref="B28:E28"/>
  </mergeCells>
  <printOptions horizontalCentered="1"/>
  <pageMargins left="0.7" right="0.7" top="0.75" bottom="0.75" header="0.3" footer="0.5"/>
  <pageSetup orientation="portrait"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Q348"/>
  <sheetViews>
    <sheetView tabSelected="1" zoomScale="90" zoomScaleNormal="90" zoomScaleSheetLayoutView="70" workbookViewId="0">
      <selection activeCell="A2" sqref="A2"/>
    </sheetView>
  </sheetViews>
  <sheetFormatPr defaultColWidth="11.5546875" defaultRowHeight="15"/>
  <cols>
    <col min="1" max="1" width="7" style="2" customWidth="1"/>
    <col min="2" max="2" width="2.109375" style="2" customWidth="1"/>
    <col min="3" max="3" width="45" style="209" customWidth="1"/>
    <col min="4" max="5" width="19.5546875" style="266" customWidth="1"/>
    <col min="6" max="6" width="49.5546875" style="266" customWidth="1"/>
    <col min="7" max="8" width="17.5546875" style="266" bestFit="1" customWidth="1"/>
    <col min="9" max="9" width="11.5546875" style="266" customWidth="1"/>
    <col min="10" max="10" width="15.33203125" style="1724" customWidth="1"/>
    <col min="11" max="11" width="3.77734375" style="266" customWidth="1"/>
    <col min="12" max="16384" width="11.5546875" style="266"/>
  </cols>
  <sheetData>
    <row r="1" spans="1:11" ht="23.25" customHeight="1">
      <c r="A1" s="2017" t="str">
        <f>+"ATTACHMENT O - "&amp;'MISO Cover'!C6</f>
        <v>ATTACHMENT O - Entergy New Orleans, Inc.</v>
      </c>
      <c r="B1" s="2017"/>
      <c r="C1" s="2017"/>
      <c r="D1" s="2017"/>
      <c r="E1" s="2017"/>
      <c r="F1" s="2017"/>
      <c r="G1" s="2017"/>
      <c r="H1" s="2017"/>
      <c r="J1" s="1720"/>
    </row>
    <row r="2" spans="1:11" ht="17.25" customHeight="1">
      <c r="A2" s="2153" t="s">
        <v>1813</v>
      </c>
      <c r="C2" s="2"/>
      <c r="J2" s="1721"/>
    </row>
    <row r="3" spans="1:11" s="471" customFormat="1" ht="17.399999999999999">
      <c r="A3" s="2018" t="str">
        <f>+'MISO Cover'!K4</f>
        <v>For  the 12 Months Ended 12/31/2016</v>
      </c>
      <c r="B3" s="2018"/>
      <c r="C3" s="2018"/>
      <c r="D3" s="2018"/>
      <c r="E3" s="2018"/>
      <c r="F3" s="2018"/>
      <c r="G3" s="2018"/>
      <c r="H3" s="2018"/>
      <c r="I3" s="210"/>
      <c r="J3" s="1722"/>
      <c r="K3" s="458"/>
    </row>
    <row r="4" spans="1:11" ht="16.5" customHeight="1" thickBot="1">
      <c r="A4" s="39"/>
      <c r="C4" s="2"/>
      <c r="J4" s="1723"/>
    </row>
    <row r="5" spans="1:11" s="1" customFormat="1" ht="22.8">
      <c r="A5" s="477" t="s">
        <v>135</v>
      </c>
      <c r="B5" s="478"/>
      <c r="C5" s="478"/>
      <c r="D5" s="478"/>
      <c r="E5" s="479" t="s">
        <v>125</v>
      </c>
      <c r="F5" s="480" t="s">
        <v>279</v>
      </c>
      <c r="G5" s="474" t="s">
        <v>285</v>
      </c>
      <c r="H5" s="898" t="s">
        <v>319</v>
      </c>
      <c r="J5" s="1723"/>
    </row>
    <row r="6" spans="1:11" s="37" customFormat="1" ht="15.6">
      <c r="A6" s="1066" t="s">
        <v>68</v>
      </c>
      <c r="B6" s="472" t="s">
        <v>115</v>
      </c>
      <c r="C6" s="472" t="s">
        <v>56</v>
      </c>
      <c r="D6" s="472" t="s">
        <v>69</v>
      </c>
      <c r="E6" s="469" t="s">
        <v>67</v>
      </c>
      <c r="F6" s="470" t="s">
        <v>157</v>
      </c>
      <c r="G6" s="470" t="s">
        <v>70</v>
      </c>
      <c r="H6" s="1493" t="s">
        <v>170</v>
      </c>
      <c r="J6" s="1723"/>
    </row>
    <row r="7" spans="1:11">
      <c r="A7" s="76"/>
      <c r="B7" s="1364"/>
      <c r="C7" s="1365"/>
      <c r="D7" s="1365"/>
      <c r="E7" s="1366"/>
      <c r="F7" s="899"/>
      <c r="G7" s="1362"/>
      <c r="H7" s="1363"/>
    </row>
    <row r="8" spans="1:11" s="267" customFormat="1" ht="16.2" thickBot="1">
      <c r="A8" s="1067" t="s">
        <v>87</v>
      </c>
      <c r="B8" s="247"/>
      <c r="C8" s="245"/>
      <c r="D8" s="245"/>
      <c r="E8" s="1016" t="str">
        <f>"(Note "&amp;A$332&amp;")"</f>
        <v>(Note Y)</v>
      </c>
      <c r="F8" s="246"/>
      <c r="G8" s="475"/>
      <c r="H8" s="476"/>
      <c r="J8" s="1724"/>
    </row>
    <row r="9" spans="1:11" s="267" customFormat="1" ht="15.6">
      <c r="A9" s="101"/>
      <c r="B9" s="102"/>
      <c r="C9" s="102"/>
      <c r="D9" s="102"/>
      <c r="E9" s="103"/>
      <c r="F9" s="129"/>
      <c r="G9" s="104"/>
      <c r="H9" s="1071"/>
      <c r="J9" s="1724"/>
    </row>
    <row r="10" spans="1:11" ht="15.6">
      <c r="A10" s="105"/>
      <c r="B10" s="5" t="s">
        <v>88</v>
      </c>
      <c r="C10" s="9"/>
      <c r="D10" s="9"/>
      <c r="E10" s="108"/>
      <c r="F10" s="135"/>
      <c r="G10" s="70"/>
      <c r="H10" s="1072"/>
    </row>
    <row r="11" spans="1:11">
      <c r="A11" s="76">
        <v>1</v>
      </c>
      <c r="B11" s="33"/>
      <c r="C11" s="15" t="s">
        <v>64</v>
      </c>
      <c r="D11" s="107"/>
      <c r="E11" s="36"/>
      <c r="F11" s="135" t="str">
        <f>+"WP03 W&amp;S Line "&amp;'WP03 W&amp;S'!A10&amp;" Column "&amp;'WP03 W&amp;S'!C5</f>
        <v>WP03 W&amp;S Line 2 Column B</v>
      </c>
      <c r="G11" s="100">
        <f>'WP03 W&amp;S'!C10</f>
        <v>1295458.9200000006</v>
      </c>
      <c r="H11" s="1073">
        <f>'WP03 W&amp;S'!C10</f>
        <v>1295458.9200000006</v>
      </c>
    </row>
    <row r="12" spans="1:11">
      <c r="A12" s="76">
        <f>+A11+1</f>
        <v>2</v>
      </c>
      <c r="B12" s="33"/>
      <c r="C12" s="465" t="s">
        <v>492</v>
      </c>
      <c r="D12" s="894"/>
      <c r="E12" s="75" t="str">
        <f>"(Note "&amp;A$339&amp;")"</f>
        <v>(Note FF)</v>
      </c>
      <c r="F12" s="136" t="str">
        <f>+"WP02 Support Line "&amp;'WP02 Support'!A19&amp;" Column "&amp;'WP02 Support'!D5</f>
        <v>WP02 Support Line 5 Column C</v>
      </c>
      <c r="G12" s="663">
        <f>+'WP02 Support'!D19</f>
        <v>17804.040000000015</v>
      </c>
      <c r="H12" s="1074">
        <f>+'WP02 Support'!D19</f>
        <v>17804.040000000015</v>
      </c>
    </row>
    <row r="13" spans="1:11">
      <c r="A13" s="76">
        <f>+A12+1</f>
        <v>3</v>
      </c>
      <c r="B13" s="33"/>
      <c r="C13" s="15" t="s">
        <v>491</v>
      </c>
      <c r="D13" s="107"/>
      <c r="E13" s="36"/>
      <c r="F13" s="895" t="str">
        <f>"(Line "&amp;A11&amp;" + Line "&amp;A12&amp;")"</f>
        <v>(Line 1 + Line 2)</v>
      </c>
      <c r="G13" s="731">
        <f>+G11+G12</f>
        <v>1313262.9600000007</v>
      </c>
      <c r="H13" s="1073">
        <f>+H11+H12</f>
        <v>1313262.9600000007</v>
      </c>
    </row>
    <row r="14" spans="1:11">
      <c r="A14" s="76"/>
      <c r="B14" s="33"/>
      <c r="C14" s="15"/>
      <c r="D14" s="107"/>
      <c r="E14" s="36"/>
      <c r="F14" s="135"/>
      <c r="G14" s="457"/>
      <c r="H14" s="1073"/>
    </row>
    <row r="15" spans="1:11">
      <c r="A15" s="76">
        <f>+A13+1</f>
        <v>4</v>
      </c>
      <c r="B15" s="33"/>
      <c r="C15" s="15" t="s">
        <v>65</v>
      </c>
      <c r="D15" s="15"/>
      <c r="E15" s="36"/>
      <c r="F15" s="135" t="str">
        <f>+"WP03 W&amp;S Line "&amp;'WP03 W&amp;S'!A27&amp;" Column "&amp;'WP03 W&amp;S'!C5</f>
        <v>WP03 W&amp;S Line 5 Column B</v>
      </c>
      <c r="G15" s="100">
        <f>'WP03 W&amp;S'!C27</f>
        <v>23374733.390000004</v>
      </c>
      <c r="H15" s="1073">
        <f>'WP03 W&amp;S'!C27</f>
        <v>23374733.390000004</v>
      </c>
    </row>
    <row r="16" spans="1:11">
      <c r="A16" s="76">
        <f>+A15+1</f>
        <v>5</v>
      </c>
      <c r="B16" s="33"/>
      <c r="C16" s="465" t="s">
        <v>494</v>
      </c>
      <c r="D16" s="894"/>
      <c r="E16" s="75" t="str">
        <f>"(Note "&amp;A$339&amp;")"</f>
        <v>(Note FF)</v>
      </c>
      <c r="F16" s="136" t="str">
        <f>+"WP02 Support Line "&amp;'WP02 Support'!A30&amp;" Column "&amp;'WP02 Support'!D5</f>
        <v>WP02 Support Line 8 Column C</v>
      </c>
      <c r="G16" s="663">
        <f>+'WP02 Support'!D30</f>
        <v>-224498.44999999998</v>
      </c>
      <c r="H16" s="1074">
        <f>+'WP02 Support'!D30</f>
        <v>-224498.44999999998</v>
      </c>
    </row>
    <row r="17" spans="1:8" s="266" customFormat="1">
      <c r="A17" s="76">
        <f>+A16+1</f>
        <v>6</v>
      </c>
      <c r="B17" s="33"/>
      <c r="C17" s="15" t="s">
        <v>493</v>
      </c>
      <c r="D17" s="107"/>
      <c r="E17" s="36"/>
      <c r="F17" s="50" t="str">
        <f>"(Line "&amp;A15&amp;" + Line "&amp;A16&amp;")"</f>
        <v>(Line 4 + Line 5)</v>
      </c>
      <c r="G17" s="100">
        <f>+G15+G16</f>
        <v>23150234.940000005</v>
      </c>
      <c r="H17" s="1073">
        <f>+H15+H16</f>
        <v>23150234.940000005</v>
      </c>
    </row>
    <row r="18" spans="1:8" s="266" customFormat="1">
      <c r="A18" s="76"/>
      <c r="B18" s="33"/>
      <c r="C18" s="15"/>
      <c r="D18" s="15"/>
      <c r="E18" s="36"/>
      <c r="F18" s="135"/>
      <c r="G18" s="100"/>
      <c r="H18" s="1073"/>
    </row>
    <row r="19" spans="1:8" s="266" customFormat="1">
      <c r="A19" s="76">
        <f>+A17+1</f>
        <v>7</v>
      </c>
      <c r="B19" s="33"/>
      <c r="C19" s="15" t="s">
        <v>496</v>
      </c>
      <c r="D19" s="15"/>
      <c r="E19" s="36"/>
      <c r="F19" s="135" t="str">
        <f>+"WP03 W&amp;S Line "&amp;'WP03 W&amp;S'!A33&amp;" Column "&amp;'WP03 W&amp;S'!C5</f>
        <v>WP03 W&amp;S Line 8 Column B</v>
      </c>
      <c r="G19" s="100">
        <f>'WP03 W&amp;S'!C33</f>
        <v>8619633.820000004</v>
      </c>
      <c r="H19" s="1073">
        <f>'WP03 W&amp;S'!C33</f>
        <v>8619633.820000004</v>
      </c>
    </row>
    <row r="20" spans="1:8" s="266" customFormat="1">
      <c r="A20" s="76">
        <f>+A19+1</f>
        <v>8</v>
      </c>
      <c r="B20" s="33"/>
      <c r="C20" s="465" t="s">
        <v>490</v>
      </c>
      <c r="D20" s="894"/>
      <c r="E20" s="75" t="str">
        <f>"(Note "&amp;A$339&amp;")"</f>
        <v>(Note FF)</v>
      </c>
      <c r="F20" s="136" t="str">
        <f>+"WP02 Support Line "&amp;'WP02 Support'!A41&amp;" Column "&amp;'WP02 Support'!D5</f>
        <v>WP02 Support Line 11 Column C</v>
      </c>
      <c r="G20" s="663">
        <f>+'WP02 Support'!D41</f>
        <v>-245411.28999999998</v>
      </c>
      <c r="H20" s="1074">
        <f>+'WP02 Support'!D41</f>
        <v>-245411.28999999998</v>
      </c>
    </row>
    <row r="21" spans="1:8" s="266" customFormat="1">
      <c r="A21" s="76">
        <f>+A20+1</f>
        <v>9</v>
      </c>
      <c r="B21" s="33"/>
      <c r="C21" s="15" t="s">
        <v>741</v>
      </c>
      <c r="D21" s="107"/>
      <c r="E21" s="36"/>
      <c r="F21" s="50" t="str">
        <f>"(Line "&amp;A19&amp;" + Line "&amp;A20&amp;")"</f>
        <v>(Line 7 + Line 8)</v>
      </c>
      <c r="G21" s="100">
        <f>+G19+G20</f>
        <v>8374222.530000004</v>
      </c>
      <c r="H21" s="1073">
        <f>+H19+H20</f>
        <v>8374222.530000004</v>
      </c>
    </row>
    <row r="22" spans="1:8" s="266" customFormat="1">
      <c r="A22" s="76"/>
      <c r="B22" s="33"/>
      <c r="C22" s="15"/>
      <c r="D22" s="15"/>
      <c r="E22" s="36"/>
      <c r="F22" s="135"/>
      <c r="G22" s="100"/>
      <c r="H22" s="1073"/>
    </row>
    <row r="23" spans="1:8" s="266" customFormat="1">
      <c r="A23" s="76">
        <f>+A21+1</f>
        <v>10</v>
      </c>
      <c r="B23" s="33"/>
      <c r="C23" s="286" t="s">
        <v>495</v>
      </c>
      <c r="D23" s="287"/>
      <c r="E23" s="288"/>
      <c r="F23" s="899" t="str">
        <f>"(Line "&amp;A17&amp;" - Line "&amp;A21&amp;")"</f>
        <v>(Line 6 - Line 9)</v>
      </c>
      <c r="G23" s="901">
        <f>+G17-G21</f>
        <v>14776012.41</v>
      </c>
      <c r="H23" s="1075">
        <f>+H17-H21</f>
        <v>14776012.41</v>
      </c>
    </row>
    <row r="24" spans="1:8" s="266" customFormat="1" ht="16.2" thickBot="1">
      <c r="A24" s="76">
        <f>+A23+1</f>
        <v>11</v>
      </c>
      <c r="B24" s="3" t="s">
        <v>102</v>
      </c>
      <c r="C24" s="3"/>
      <c r="D24" s="19"/>
      <c r="E24" s="53"/>
      <c r="F24" s="900" t="str">
        <f>"(Line "&amp;A13&amp;" / Line "&amp;A23&amp;")"</f>
        <v>(Line 3 / Line 10)</v>
      </c>
      <c r="G24" s="1367">
        <f>IF(G23=0,0,+G13/G23)</f>
        <v>8.8878035802894981E-2</v>
      </c>
      <c r="H24" s="1475">
        <f>IF(H23=0,0,+H13/H23)</f>
        <v>8.8878035802894981E-2</v>
      </c>
    </row>
    <row r="25" spans="1:8" s="266" customFormat="1" ht="16.2" thickTop="1">
      <c r="A25" s="76"/>
      <c r="B25" s="33"/>
      <c r="C25" s="5"/>
      <c r="D25" s="9"/>
      <c r="E25" s="108"/>
      <c r="F25" s="142"/>
      <c r="G25" s="86"/>
      <c r="H25" s="1076"/>
    </row>
    <row r="26" spans="1:8" s="266" customFormat="1" ht="15.6">
      <c r="A26" s="112"/>
      <c r="B26" s="5" t="s">
        <v>110</v>
      </c>
      <c r="C26" s="9"/>
      <c r="D26" s="15"/>
      <c r="E26" s="15"/>
      <c r="F26" s="131"/>
      <c r="G26" s="87"/>
      <c r="H26" s="1077"/>
    </row>
    <row r="27" spans="1:8" s="266" customFormat="1">
      <c r="A27" s="76">
        <f>+A24+1</f>
        <v>12</v>
      </c>
      <c r="B27" s="15"/>
      <c r="C27" s="15" t="s">
        <v>300</v>
      </c>
      <c r="D27" s="459"/>
      <c r="E27" s="36" t="str">
        <f>"(Notes "&amp;A$309&amp;" "&amp;"&amp; "&amp;A$326&amp;")"</f>
        <v>(Notes B &amp; S)</v>
      </c>
      <c r="F27" s="135" t="str">
        <f>+"WP04 PIS Line "&amp;'WP04 PIS'!$A$23&amp;", Line "&amp;'WP04 PIS'!$A$21&amp;" Column "&amp;'WP04 PIS'!$L$5</f>
        <v>WP04 PIS Line 18, Line 16 Column K</v>
      </c>
      <c r="G27" s="100">
        <f>+'WP04 PIS'!L23</f>
        <v>1220749364.0130768</v>
      </c>
      <c r="H27" s="1073">
        <f>+'WP04 PIS'!L21</f>
        <v>1237255138.55</v>
      </c>
    </row>
    <row r="28" spans="1:8" s="266" customFormat="1">
      <c r="A28" s="76">
        <f>+A27+1</f>
        <v>13</v>
      </c>
      <c r="B28" s="9"/>
      <c r="C28" s="465" t="s">
        <v>301</v>
      </c>
      <c r="D28" s="67"/>
      <c r="E28" s="75" t="str">
        <f>"(Notes "&amp;A$309&amp;" "&amp;"&amp; "&amp;A$326&amp;")"</f>
        <v>(Notes B &amp; S)</v>
      </c>
      <c r="F28" s="136" t="str">
        <f>+"WP04 PIS Line "&amp;'WP04 PIS'!$A$42&amp;", Line "&amp;'WP04 PIS'!$A$40&amp;" Column "&amp;'WP04 PIS'!$L$5</f>
        <v>WP04 PIS Line 37, Line 35 Column K</v>
      </c>
      <c r="G28" s="663">
        <f>+'WP04 PIS'!L42</f>
        <v>504164050.46153843</v>
      </c>
      <c r="H28" s="1074">
        <f>+'WP04 PIS'!L40</f>
        <v>455252814</v>
      </c>
    </row>
    <row r="29" spans="1:8" s="266" customFormat="1">
      <c r="A29" s="76">
        <f>+A28+1</f>
        <v>14</v>
      </c>
      <c r="B29" s="15"/>
      <c r="C29" s="15" t="s">
        <v>302</v>
      </c>
      <c r="D29" s="15"/>
      <c r="E29" s="36"/>
      <c r="F29" s="135" t="str">
        <f>"(Line "&amp;A27&amp;" - Line "&amp;A28&amp;")"</f>
        <v>(Line 12 - Line 13)</v>
      </c>
      <c r="G29" s="100">
        <f>+G27-G28</f>
        <v>716585313.55153835</v>
      </c>
      <c r="H29" s="1073">
        <f>+H27-H28</f>
        <v>782002324.54999995</v>
      </c>
    </row>
    <row r="30" spans="1:8" s="266" customFormat="1">
      <c r="A30" s="112"/>
      <c r="B30" s="15"/>
      <c r="C30" s="15"/>
      <c r="D30" s="15"/>
      <c r="E30" s="36"/>
      <c r="F30" s="131"/>
      <c r="G30" s="654"/>
      <c r="H30" s="1078"/>
    </row>
    <row r="31" spans="1:8" s="266" customFormat="1">
      <c r="A31" s="76">
        <f>+A29+1</f>
        <v>15</v>
      </c>
      <c r="B31" s="15"/>
      <c r="C31" s="15" t="str">
        <f>+B50</f>
        <v>TOTAL Plant In Service - Transmission</v>
      </c>
      <c r="D31" s="459"/>
      <c r="E31" s="36"/>
      <c r="F31" s="136" t="str">
        <f>"(Line "&amp;A50&amp;")"</f>
        <v>(Line 27)</v>
      </c>
      <c r="G31" s="654">
        <f>+G50</f>
        <v>158017726.54255676</v>
      </c>
      <c r="H31" s="1078">
        <f>+H50</f>
        <v>161082435.34942302</v>
      </c>
    </row>
    <row r="32" spans="1:8" s="266" customFormat="1" ht="16.2" thickBot="1">
      <c r="A32" s="76">
        <f>+A31+1</f>
        <v>16</v>
      </c>
      <c r="B32" s="161" t="s">
        <v>57</v>
      </c>
      <c r="C32" s="161"/>
      <c r="D32" s="460"/>
      <c r="E32" s="461"/>
      <c r="F32" s="132" t="str">
        <f>"(Line "&amp;A31&amp;" / Line "&amp;A27&amp;")"</f>
        <v>(Line 15 / Line 12)</v>
      </c>
      <c r="G32" s="1367">
        <f>IF(G27=0,0,+G31/G27)</f>
        <v>0.12944321840405568</v>
      </c>
      <c r="H32" s="1475">
        <f>IF(H27=0,0,+H31/H27)</f>
        <v>0.13019338560856852</v>
      </c>
    </row>
    <row r="33" spans="1:10" ht="15.6" thickTop="1">
      <c r="A33" s="112"/>
      <c r="B33" s="9"/>
      <c r="C33" s="9"/>
      <c r="D33" s="9"/>
      <c r="E33" s="36"/>
      <c r="F33" s="131"/>
      <c r="G33" s="87"/>
      <c r="H33" s="1077"/>
    </row>
    <row r="34" spans="1:10">
      <c r="A34" s="76">
        <f>+A32+1</f>
        <v>17</v>
      </c>
      <c r="B34" s="33"/>
      <c r="C34" s="61" t="str">
        <f>+B63</f>
        <v>TOTAL Net Property, Plant &amp; Equipment - Transmission</v>
      </c>
      <c r="D34" s="9"/>
      <c r="E34" s="36" t="str">
        <f>"(Notes "&amp;A$309&amp;" &amp; "&amp;A$326&amp;")"</f>
        <v>(Notes B &amp; S)</v>
      </c>
      <c r="F34" s="136" t="str">
        <f>"(Line "&amp;A63&amp;")"</f>
        <v>(Line 35)</v>
      </c>
      <c r="G34" s="654">
        <f>+G63</f>
        <v>85543450.521634534</v>
      </c>
      <c r="H34" s="1078">
        <f>+H63</f>
        <v>90183002.309150055</v>
      </c>
    </row>
    <row r="35" spans="1:10" ht="16.2" thickBot="1">
      <c r="A35" s="76">
        <f>+A34+1</f>
        <v>18</v>
      </c>
      <c r="B35" s="161" t="s">
        <v>107</v>
      </c>
      <c r="C35" s="161"/>
      <c r="D35" s="460"/>
      <c r="E35" s="461"/>
      <c r="F35" s="132" t="str">
        <f>"(Line "&amp;A34&amp;" / Line "&amp;A29&amp;")"</f>
        <v>(Line 17 / Line 14)</v>
      </c>
      <c r="G35" s="1367">
        <f>IF(G29=0,0,+G34/G29)</f>
        <v>0.11937650535658385</v>
      </c>
      <c r="H35" s="1475">
        <f>IF(H29=0,0,+H34/H29)</f>
        <v>0.11532318955835009</v>
      </c>
    </row>
    <row r="36" spans="1:10" ht="16.2" thickTop="1">
      <c r="A36" s="125"/>
      <c r="B36" s="33"/>
      <c r="C36" s="5"/>
      <c r="D36" s="9"/>
      <c r="E36" s="108"/>
      <c r="F36" s="142"/>
      <c r="G36" s="86"/>
      <c r="H36" s="1079"/>
    </row>
    <row r="37" spans="1:10" s="267" customFormat="1" ht="15.6">
      <c r="A37" s="1068" t="s">
        <v>106</v>
      </c>
      <c r="B37" s="249"/>
      <c r="C37" s="250"/>
      <c r="D37" s="250"/>
      <c r="E37" s="251"/>
      <c r="F37" s="252"/>
      <c r="G37" s="253"/>
      <c r="H37" s="1080"/>
      <c r="J37" s="1724"/>
    </row>
    <row r="38" spans="1:10" s="267" customFormat="1" ht="15.6">
      <c r="A38" s="111"/>
      <c r="B38" s="20"/>
      <c r="C38" s="9"/>
      <c r="D38" s="9"/>
      <c r="E38" s="52"/>
      <c r="F38" s="131"/>
      <c r="G38" s="88"/>
      <c r="H38" s="1081"/>
      <c r="J38" s="1724"/>
    </row>
    <row r="39" spans="1:10" ht="15.6">
      <c r="A39" s="112"/>
      <c r="B39" s="5" t="str">
        <f>"Plant In Service "</f>
        <v xml:space="preserve">Plant In Service </v>
      </c>
      <c r="C39" s="9"/>
      <c r="D39" s="9"/>
      <c r="E39" s="108"/>
      <c r="F39" s="135"/>
      <c r="G39" s="70"/>
      <c r="H39" s="1082"/>
    </row>
    <row r="40" spans="1:10" ht="15.6">
      <c r="A40" s="112">
        <f>+A35+1</f>
        <v>19</v>
      </c>
      <c r="B40" s="5"/>
      <c r="C40" s="9" t="s">
        <v>469</v>
      </c>
      <c r="D40" s="9"/>
      <c r="E40" s="36" t="str">
        <f>"(Notes "&amp;A$309&amp;" &amp; "&amp;A$326&amp;")"</f>
        <v>(Notes B &amp; S)</v>
      </c>
      <c r="F40" s="135" t="str">
        <f>+"WP04 PIS Line "&amp;'WP04 PIS'!$A$23&amp;", Line "&amp;'WP04 PIS'!$A$21&amp;" Column "&amp;'WP04 PIS'!$G$5</f>
        <v>WP04 PIS Line 18, Line 16 Column F</v>
      </c>
      <c r="G40" s="100">
        <f>+'WP04 PIS'!G23</f>
        <v>146329558.58307692</v>
      </c>
      <c r="H40" s="1073">
        <f>+'WP04 PIS'!G21</f>
        <v>147718471.46000001</v>
      </c>
      <c r="I40" s="996"/>
    </row>
    <row r="41" spans="1:10" ht="15.6">
      <c r="A41" s="112">
        <f>+A40+1</f>
        <v>20</v>
      </c>
      <c r="B41" s="5"/>
      <c r="C41" s="67" t="s">
        <v>470</v>
      </c>
      <c r="D41" s="67"/>
      <c r="E41" s="1008" t="str">
        <f>"(Notes "&amp;A$309&amp;" &amp; "&amp;A$326&amp;")"</f>
        <v>(Notes B &amp; S)</v>
      </c>
      <c r="F41" s="265" t="str">
        <f>+"WP05 CapAds Line "&amp;'WP05 CapAds'!$A$22&amp;" Column "&amp;'WP05 CapAds'!$D$6</f>
        <v>WP05 CapAds Line 16 Column C</v>
      </c>
      <c r="G41" s="663"/>
      <c r="H41" s="1074">
        <f>+'WP05 CapAds'!D22</f>
        <v>1393062.4798782372</v>
      </c>
    </row>
    <row r="42" spans="1:10">
      <c r="A42" s="112">
        <f>+A41+1</f>
        <v>21</v>
      </c>
      <c r="B42" s="33"/>
      <c r="C42" s="61" t="s">
        <v>39</v>
      </c>
      <c r="D42" s="9"/>
      <c r="E42" s="997"/>
      <c r="F42" s="135" t="str">
        <f>"(Line"&amp;A40&amp;" + Line "&amp;A41&amp;")"</f>
        <v>(Line19 + Line 20)</v>
      </c>
      <c r="G42" s="100">
        <f>+G40+G41</f>
        <v>146329558.58307692</v>
      </c>
      <c r="H42" s="1073">
        <f>+H40+H41</f>
        <v>149111533.93987826</v>
      </c>
    </row>
    <row r="43" spans="1:10" ht="15.6">
      <c r="A43" s="76"/>
      <c r="B43" s="33"/>
      <c r="C43" s="5"/>
      <c r="D43" s="9"/>
      <c r="E43" s="36"/>
      <c r="F43" s="135"/>
      <c r="G43" s="73"/>
      <c r="H43" s="1083"/>
    </row>
    <row r="44" spans="1:10">
      <c r="A44" s="76">
        <f>+A42+1</f>
        <v>22</v>
      </c>
      <c r="B44" s="33"/>
      <c r="C44" s="61" t="s">
        <v>192</v>
      </c>
      <c r="D44" s="9"/>
      <c r="E44" s="36" t="str">
        <f>"(Notes "&amp;A$309&amp;" &amp; "&amp;A$326&amp;")"</f>
        <v>(Notes B &amp; S)</v>
      </c>
      <c r="F44" s="135" t="str">
        <f>+"WP04 PIS Line "&amp;'WP04 PIS'!$A$23&amp;", Line "&amp;'WP04 PIS'!$A$21&amp;" Column "&amp;'WP04 PIS'!$K$5</f>
        <v>WP04 PIS Line 18, Line 16 Column J</v>
      </c>
      <c r="G44" s="100">
        <f>+'WP04 PIS'!K23</f>
        <v>44372481.933076926</v>
      </c>
      <c r="H44" s="1073">
        <f>+'WP04 PIS'!K21</f>
        <v>45882379.719999999</v>
      </c>
    </row>
    <row r="45" spans="1:10">
      <c r="A45" s="76">
        <f>+A44+1</f>
        <v>23</v>
      </c>
      <c r="B45" s="33"/>
      <c r="C45" s="61" t="s">
        <v>262</v>
      </c>
      <c r="D45" s="9"/>
      <c r="E45" s="36" t="str">
        <f>"(Notes "&amp;A$309&amp;" &amp; "&amp;A$326&amp;")"</f>
        <v>(Notes B &amp; S)</v>
      </c>
      <c r="F45" s="136" t="str">
        <f>+"WP04 PIS Line "&amp;'WP04 PIS'!$A$23&amp;", Line "&amp;'WP04 PIS'!$A$21&amp;" Column "&amp;'WP04 PIS'!$C$5</f>
        <v>WP04 PIS Line 18, Line 16 Column B</v>
      </c>
      <c r="G45" s="663">
        <f>+'WP04 PIS'!C23</f>
        <v>87135464.365384519</v>
      </c>
      <c r="H45" s="1074">
        <f>+'WP04 PIS'!C21</f>
        <v>88806706.299999893</v>
      </c>
    </row>
    <row r="46" spans="1:10">
      <c r="A46" s="76">
        <f>+A45+1</f>
        <v>24</v>
      </c>
      <c r="B46" s="33"/>
      <c r="C46" s="286" t="s">
        <v>261</v>
      </c>
      <c r="D46" s="289"/>
      <c r="E46" s="290"/>
      <c r="F46" s="135" t="str">
        <f>"(Line"&amp;A44&amp;" + Line "&amp;A45&amp;")"</f>
        <v>(Line22 + Line 23)</v>
      </c>
      <c r="G46" s="100">
        <f>SUM(G44:G45)</f>
        <v>131507946.29846144</v>
      </c>
      <c r="H46" s="1073">
        <f>SUM(H44:H45)</f>
        <v>134689086.01999989</v>
      </c>
    </row>
    <row r="47" spans="1:10">
      <c r="A47" s="76">
        <f>+A46+1</f>
        <v>25</v>
      </c>
      <c r="B47" s="33"/>
      <c r="C47" s="58" t="s">
        <v>111</v>
      </c>
      <c r="D47" s="61"/>
      <c r="E47" s="108"/>
      <c r="F47" s="136" t="str">
        <f>"(Line "&amp;A$24&amp;")"</f>
        <v>(Line 11)</v>
      </c>
      <c r="G47" s="81">
        <f>+G24</f>
        <v>8.8878035802894981E-2</v>
      </c>
      <c r="H47" s="1084">
        <f>H$24</f>
        <v>8.8878035802894981E-2</v>
      </c>
    </row>
    <row r="48" spans="1:10">
      <c r="A48" s="76">
        <f>+A47+1</f>
        <v>26</v>
      </c>
      <c r="B48" s="15"/>
      <c r="C48" s="286" t="s">
        <v>263</v>
      </c>
      <c r="D48" s="292"/>
      <c r="E48" s="288"/>
      <c r="F48" s="135" t="str">
        <f>"(Line "&amp;A46&amp;" * Line "&amp;A47&amp;")"</f>
        <v>(Line 24 * Line 25)</v>
      </c>
      <c r="G48" s="100">
        <f>+G46*G47</f>
        <v>11688167.959479846</v>
      </c>
      <c r="H48" s="1073">
        <f>+H46*H47</f>
        <v>11970901.409544753</v>
      </c>
    </row>
    <row r="49" spans="1:10" ht="15.6">
      <c r="A49" s="112"/>
      <c r="B49" s="15"/>
      <c r="C49" s="5"/>
      <c r="D49" s="15"/>
      <c r="E49" s="36"/>
      <c r="F49" s="131"/>
      <c r="G49" s="100"/>
      <c r="H49" s="1073"/>
    </row>
    <row r="50" spans="1:10" s="1" customFormat="1" ht="16.2" thickBot="1">
      <c r="A50" s="76">
        <f>+A48+1</f>
        <v>27</v>
      </c>
      <c r="B50" s="161" t="s">
        <v>303</v>
      </c>
      <c r="C50" s="161"/>
      <c r="D50" s="161"/>
      <c r="E50" s="162"/>
      <c r="F50" s="462" t="str">
        <f>"(Line "&amp;A42&amp;" + Line "&amp;A48&amp;")"</f>
        <v>(Line 21 + Line 26)</v>
      </c>
      <c r="G50" s="594">
        <f>+G48+G42</f>
        <v>158017726.54255676</v>
      </c>
      <c r="H50" s="1085">
        <f>+H48+H42</f>
        <v>161082435.34942302</v>
      </c>
      <c r="J50" s="1723"/>
    </row>
    <row r="51" spans="1:10" ht="15.6" thickTop="1">
      <c r="A51" s="112"/>
      <c r="B51" s="15"/>
      <c r="C51" s="15"/>
      <c r="D51" s="15"/>
      <c r="E51" s="36"/>
      <c r="F51" s="131"/>
      <c r="G51" s="654"/>
      <c r="H51" s="1078"/>
    </row>
    <row r="52" spans="1:10" ht="15.6">
      <c r="A52" s="76"/>
      <c r="B52" s="5" t="s">
        <v>84</v>
      </c>
      <c r="C52" s="5"/>
      <c r="D52" s="50"/>
      <c r="E52" s="108"/>
      <c r="F52" s="135"/>
      <c r="G52" s="100"/>
      <c r="H52" s="1073"/>
    </row>
    <row r="53" spans="1:10" s="267" customFormat="1">
      <c r="A53" s="76">
        <f>+A50+1</f>
        <v>28</v>
      </c>
      <c r="B53" s="33"/>
      <c r="C53" s="61" t="s">
        <v>165</v>
      </c>
      <c r="D53" s="34"/>
      <c r="E53" s="36" t="str">
        <f>"(Notes "&amp;A$309&amp;" &amp; "&amp;A$326&amp;")"</f>
        <v>(Notes B &amp; S)</v>
      </c>
      <c r="F53" s="135" t="str">
        <f>+"WP04 PIS Line "&amp;'WP04 PIS'!$A$42&amp;", Line "&amp;'WP04 PIS'!$A$40&amp;" Column "&amp;'WP04 PIS'!$G$5</f>
        <v>WP04 PIS Line 37, Line 35 Column F</v>
      </c>
      <c r="G53" s="730">
        <f>+'WP04 PIS'!G42</f>
        <v>65746526.846153848</v>
      </c>
      <c r="H53" s="1074">
        <f>+'WP04 PIS'!G40</f>
        <v>63839585</v>
      </c>
      <c r="J53" s="1724"/>
    </row>
    <row r="54" spans="1:10" s="267" customFormat="1">
      <c r="A54" s="76"/>
      <c r="B54" s="33"/>
      <c r="C54" s="61"/>
      <c r="D54" s="34"/>
      <c r="E54" s="15"/>
      <c r="F54" s="135"/>
      <c r="G54" s="731"/>
      <c r="H54" s="1073"/>
      <c r="J54" s="1724"/>
    </row>
    <row r="55" spans="1:10">
      <c r="A55" s="76">
        <f>+A53+1</f>
        <v>29</v>
      </c>
      <c r="B55" s="33"/>
      <c r="C55" s="61" t="s">
        <v>133</v>
      </c>
      <c r="D55" s="9"/>
      <c r="E55" s="36" t="str">
        <f>"(Notes "&amp;A$309&amp;", "&amp;A$326&amp;" &amp; "&amp;A$345&amp;")"</f>
        <v>(Notes B, S &amp; LL)</v>
      </c>
      <c r="F55" s="135" t="str">
        <f>+"WP04 PIS Line "&amp;'WP04 PIS'!$A$42&amp;", Line "&amp;'WP04 PIS'!$A$40&amp;" Column "&amp;'WP04 PIS'!$K$5</f>
        <v>WP04 PIS Line 37, Line 35 Column J</v>
      </c>
      <c r="G55" s="100">
        <f>+'WP04 PIS'!K42</f>
        <v>4975498.615384615</v>
      </c>
      <c r="H55" s="1073">
        <f>+'WP04 PIS'!K40</f>
        <v>6358391.9999999991</v>
      </c>
      <c r="J55" s="457" t="s">
        <v>1452</v>
      </c>
    </row>
    <row r="56" spans="1:10">
      <c r="A56" s="76">
        <f>+A55+1</f>
        <v>30</v>
      </c>
      <c r="B56" s="33"/>
      <c r="C56" s="63" t="s">
        <v>164</v>
      </c>
      <c r="D56" s="67"/>
      <c r="E56" s="75" t="str">
        <f>"(Notes "&amp;A$309&amp;" &amp; "&amp;A$326&amp;")"</f>
        <v>(Notes B &amp; S)</v>
      </c>
      <c r="F56" s="136" t="str">
        <f>+"WP04 PIS Line "&amp;'WP04 PIS'!$A$42&amp;", Line "&amp;'WP04 PIS'!$A$40&amp;" Column "&amp;'WP04 PIS'!$C$5</f>
        <v>WP04 PIS Line 37, Line 35 Column B</v>
      </c>
      <c r="G56" s="663">
        <f>+'WP04 PIS'!C42</f>
        <v>70720921.923076928</v>
      </c>
      <c r="H56" s="1074">
        <f>+'WP04 PIS'!C40</f>
        <v>73074597</v>
      </c>
    </row>
    <row r="57" spans="1:10">
      <c r="A57" s="76">
        <f>+A56+1</f>
        <v>31</v>
      </c>
      <c r="B57" s="33"/>
      <c r="C57" s="61" t="s">
        <v>463</v>
      </c>
      <c r="D57" s="9"/>
      <c r="E57" s="108"/>
      <c r="F57" s="135" t="str">
        <f>"(Sum Line "&amp;A55&amp;" + Line "&amp;A56&amp;")"</f>
        <v>(Sum Line 29 + Line 30)</v>
      </c>
      <c r="G57" s="100">
        <f>SUM(G55:G56)</f>
        <v>75696420.538461536</v>
      </c>
      <c r="H57" s="1073">
        <f>SUM(H55:H56)</f>
        <v>79432989</v>
      </c>
    </row>
    <row r="58" spans="1:10">
      <c r="A58" s="76">
        <f>+A57+1</f>
        <v>32</v>
      </c>
      <c r="B58" s="33"/>
      <c r="C58" s="61" t="str">
        <f>+C47</f>
        <v>Wage &amp; Salary Allocation Factor</v>
      </c>
      <c r="D58" s="9"/>
      <c r="E58" s="108"/>
      <c r="F58" s="136" t="str">
        <f>"(Line "&amp;A$24&amp;")"</f>
        <v>(Line 11)</v>
      </c>
      <c r="G58" s="81">
        <f>+G24</f>
        <v>8.8878035802894981E-2</v>
      </c>
      <c r="H58" s="1084">
        <f>H$24</f>
        <v>8.8878035802894981E-2</v>
      </c>
    </row>
    <row r="59" spans="1:10">
      <c r="A59" s="76">
        <f>+A58+1</f>
        <v>33</v>
      </c>
      <c r="B59" s="15"/>
      <c r="C59" s="286" t="s">
        <v>264</v>
      </c>
      <c r="D59" s="292"/>
      <c r="E59" s="290"/>
      <c r="F59" s="135" t="str">
        <f>"(Line "&amp;A57&amp;" * Line "&amp;A58&amp;")"</f>
        <v>(Line 31 * Line 32)</v>
      </c>
      <c r="G59" s="100">
        <f>+G58*G57</f>
        <v>6727749.174768379</v>
      </c>
      <c r="H59" s="1073">
        <f>+H58*H57</f>
        <v>7059848.0402729632</v>
      </c>
    </row>
    <row r="60" spans="1:10">
      <c r="A60" s="112"/>
      <c r="B60" s="15"/>
      <c r="C60" s="15"/>
      <c r="D60" s="15"/>
      <c r="E60" s="36"/>
      <c r="F60" s="131"/>
      <c r="G60" s="683"/>
      <c r="H60" s="1086"/>
    </row>
    <row r="61" spans="1:10" ht="16.2" thickBot="1">
      <c r="A61" s="76">
        <f>+A59+1</f>
        <v>34</v>
      </c>
      <c r="B61" s="161" t="s">
        <v>304</v>
      </c>
      <c r="C61" s="161"/>
      <c r="D61" s="161"/>
      <c r="E61" s="162"/>
      <c r="F61" s="462" t="str">
        <f>"(Line "&amp;A53&amp;" + Line "&amp;A59&amp;")"</f>
        <v>(Line 28 + Line 33)</v>
      </c>
      <c r="G61" s="594">
        <f>+G59+G53</f>
        <v>72474276.020922229</v>
      </c>
      <c r="H61" s="1085">
        <f>+H59+H53</f>
        <v>70899433.040272966</v>
      </c>
    </row>
    <row r="62" spans="1:10" ht="15.6" thickTop="1">
      <c r="A62" s="112"/>
      <c r="B62" s="15"/>
      <c r="C62" s="15"/>
      <c r="D62" s="15"/>
      <c r="E62" s="36"/>
      <c r="F62" s="131"/>
      <c r="G62" s="654"/>
      <c r="H62" s="1078"/>
    </row>
    <row r="63" spans="1:10" ht="16.2" thickBot="1">
      <c r="A63" s="76">
        <f>+A61+1</f>
        <v>35</v>
      </c>
      <c r="B63" s="161" t="s">
        <v>305</v>
      </c>
      <c r="C63" s="161"/>
      <c r="D63" s="161"/>
      <c r="E63" s="162"/>
      <c r="F63" s="462" t="str">
        <f>"(Line "&amp;A50&amp;" - Line "&amp;A61&amp;")"</f>
        <v>(Line 27 - Line 34)</v>
      </c>
      <c r="G63" s="594">
        <f>+G50-G61</f>
        <v>85543450.521634534</v>
      </c>
      <c r="H63" s="1085">
        <f>+H50-H61</f>
        <v>90183002.309150055</v>
      </c>
    </row>
    <row r="64" spans="1:10" ht="15.6" thickTop="1">
      <c r="A64" s="112"/>
      <c r="B64" s="15"/>
      <c r="C64" s="15"/>
      <c r="D64" s="15"/>
      <c r="E64" s="36"/>
      <c r="F64" s="131"/>
      <c r="G64" s="69"/>
      <c r="H64" s="1087"/>
    </row>
    <row r="65" spans="1:11" ht="15.6">
      <c r="A65" s="1068" t="s">
        <v>417</v>
      </c>
      <c r="B65" s="249"/>
      <c r="C65" s="250"/>
      <c r="D65" s="250"/>
      <c r="E65" s="251"/>
      <c r="F65" s="252"/>
      <c r="G65" s="253"/>
      <c r="H65" s="1080"/>
    </row>
    <row r="66" spans="1:11" ht="15.6">
      <c r="A66" s="113"/>
      <c r="B66" s="114"/>
      <c r="C66" s="114"/>
      <c r="D66" s="114"/>
      <c r="E66" s="28"/>
      <c r="F66" s="134"/>
      <c r="G66" s="85"/>
      <c r="H66" s="1077"/>
    </row>
    <row r="67" spans="1:11" ht="15.6">
      <c r="A67" s="109"/>
      <c r="B67" s="5" t="s">
        <v>146</v>
      </c>
      <c r="C67" s="1005"/>
      <c r="D67" s="1005"/>
      <c r="E67" s="464" t="str">
        <f>"(Note "&amp;A$336&amp;")"</f>
        <v>(Note CC)</v>
      </c>
      <c r="F67" s="131"/>
      <c r="G67" s="85"/>
      <c r="H67" s="1077"/>
    </row>
    <row r="68" spans="1:11" ht="15.6">
      <c r="A68" s="109">
        <f>+A63+1</f>
        <v>36</v>
      </c>
      <c r="B68" s="114"/>
      <c r="C68" s="9" t="s">
        <v>137</v>
      </c>
      <c r="D68" s="9"/>
      <c r="E68" s="36" t="str">
        <f>"(Note "&amp;A$343&amp;")"</f>
        <v>(Note JJ)</v>
      </c>
      <c r="F68" s="131" t="str">
        <f>+"WP06 ADIT Line "&amp;'WP06 ADIT'!$A$13&amp;" Columns "&amp;'WP06 ADIT'!$G$5&amp;", "&amp;'WP06 ADIT'!$K$5</f>
        <v>WP06 ADIT Line 7 Columns F, J</v>
      </c>
      <c r="G68" s="654">
        <f>+'WP06 ADIT'!G$13</f>
        <v>-2303408.2399999998</v>
      </c>
      <c r="H68" s="1078">
        <f>+'WP06 ADIT'!K13</f>
        <v>-2036127.14</v>
      </c>
    </row>
    <row r="69" spans="1:11" ht="15.6">
      <c r="A69" s="109">
        <f t="shared" ref="A69:A75" si="0">+A68+1</f>
        <v>37</v>
      </c>
      <c r="B69" s="114"/>
      <c r="C69" s="9" t="s">
        <v>160</v>
      </c>
      <c r="D69" s="9"/>
      <c r="E69" s="36" t="str">
        <f>"(Note "&amp;A$343&amp;")"</f>
        <v>(Note JJ)</v>
      </c>
      <c r="F69" s="131" t="str">
        <f>+"WP06 ADIT Line "&amp;'WP06 ADIT'!$A$13&amp;" Columns "&amp;'WP06 ADIT'!$H$5&amp;", "&amp;'WP06 ADIT'!$L$5</f>
        <v>WP06 ADIT Line 7 Columns G, K</v>
      </c>
      <c r="G69" s="654">
        <f>+'WP06 ADIT'!H13</f>
        <v>-88198287.597222209</v>
      </c>
      <c r="H69" s="1078">
        <f>+'WP06 ADIT'!L13</f>
        <v>-86484391.52967082</v>
      </c>
    </row>
    <row r="70" spans="1:11" ht="15.6">
      <c r="A70" s="109">
        <f t="shared" si="0"/>
        <v>38</v>
      </c>
      <c r="B70" s="114"/>
      <c r="C70" s="58" t="str">
        <f>+B32</f>
        <v>Gross Plant Allocator</v>
      </c>
      <c r="D70" s="14"/>
      <c r="E70" s="33"/>
      <c r="F70" s="135" t="str">
        <f>"(Line "&amp;A$32&amp;")"</f>
        <v>(Line 16)</v>
      </c>
      <c r="G70" s="92">
        <f>+G$32</f>
        <v>0.12944321840405568</v>
      </c>
      <c r="H70" s="1088">
        <f>+H$32</f>
        <v>0.13019338560856852</v>
      </c>
    </row>
    <row r="71" spans="1:11" ht="15.6">
      <c r="A71" s="109">
        <f t="shared" si="0"/>
        <v>39</v>
      </c>
      <c r="B71" s="114"/>
      <c r="C71" s="58" t="str">
        <f>+"Total Transmission Allocated "&amp;C69</f>
        <v>Total Transmission Allocated Plant</v>
      </c>
      <c r="D71" s="9"/>
      <c r="E71" s="36"/>
      <c r="F71" s="135" t="str">
        <f>"(Line "&amp;A69&amp;" * Line "&amp;A70&amp;")"</f>
        <v>(Line 37 * Line 38)</v>
      </c>
      <c r="G71" s="635">
        <f>+G69*G70</f>
        <v>-11416670.20431095</v>
      </c>
      <c r="H71" s="1089">
        <f>+H69*H70</f>
        <v>-11259695.735544851</v>
      </c>
    </row>
    <row r="72" spans="1:11" ht="15.6">
      <c r="A72" s="109">
        <f t="shared" si="0"/>
        <v>40</v>
      </c>
      <c r="B72" s="114"/>
      <c r="C72" s="9" t="s">
        <v>145</v>
      </c>
      <c r="D72" s="9"/>
      <c r="E72" s="36" t="str">
        <f>"(Note "&amp;A$343&amp;")"</f>
        <v>(Note JJ)</v>
      </c>
      <c r="F72" s="131" t="str">
        <f>+"WP06 ADIT Line "&amp;'WP06 ADIT'!$A$13&amp;" Columns "&amp;'WP06 ADIT'!$I$5&amp;", "&amp;'WP06 ADIT'!$M$5</f>
        <v>WP06 ADIT Line 7 Columns H, L</v>
      </c>
      <c r="G72" s="654">
        <f>+'WP06 ADIT'!I13</f>
        <v>-11654909.669999998</v>
      </c>
      <c r="H72" s="1078">
        <f>+'WP06 ADIT'!M13</f>
        <v>-11514824.060000002</v>
      </c>
    </row>
    <row r="73" spans="1:11" ht="15.6">
      <c r="A73" s="109">
        <f t="shared" si="0"/>
        <v>41</v>
      </c>
      <c r="B73" s="114"/>
      <c r="C73" s="9" t="s">
        <v>111</v>
      </c>
      <c r="D73" s="9"/>
      <c r="E73" s="52"/>
      <c r="F73" s="131" t="str">
        <f>"(Line "&amp;A$24&amp;")"</f>
        <v>(Line 11)</v>
      </c>
      <c r="G73" s="257">
        <f>+G$24</f>
        <v>8.8878035802894981E-2</v>
      </c>
      <c r="H73" s="1084">
        <f>H$24</f>
        <v>8.8878035802894981E-2</v>
      </c>
    </row>
    <row r="74" spans="1:11">
      <c r="A74" s="109">
        <f t="shared" si="0"/>
        <v>42</v>
      </c>
      <c r="B74" s="115"/>
      <c r="C74" s="25" t="str">
        <f>+"Total Transmission Allocated "&amp;C72</f>
        <v>Total Transmission Allocated Labor</v>
      </c>
      <c r="D74" s="67"/>
      <c r="E74" s="75"/>
      <c r="F74" s="136" t="str">
        <f>"(Line "&amp;A72&amp;" * Line "&amp;A73&amp;")"</f>
        <v>(Line 40 * Line 41)</v>
      </c>
      <c r="G74" s="902">
        <f>+G72*G73</f>
        <v>-1035865.4789297668</v>
      </c>
      <c r="H74" s="1090">
        <f>+H72*H73</f>
        <v>-1023414.9450687168</v>
      </c>
      <c r="K74" s="267"/>
    </row>
    <row r="75" spans="1:11" s="267" customFormat="1">
      <c r="A75" s="109">
        <f t="shared" si="0"/>
        <v>43</v>
      </c>
      <c r="B75" s="9" t="s">
        <v>928</v>
      </c>
      <c r="C75" s="9"/>
      <c r="D75" s="15"/>
      <c r="F75" s="135" t="str">
        <f>"(Line "&amp;A68&amp;" + Line "&amp;A71&amp;" + Line "&amp;A74&amp;")"</f>
        <v>(Line 36 + Line 39 + Line 42)</v>
      </c>
      <c r="G75" s="100">
        <f>+G68+G71+G74</f>
        <v>-14755943.923240718</v>
      </c>
      <c r="H75" s="1073">
        <f>+H68+H71+H74</f>
        <v>-14319237.820613569</v>
      </c>
      <c r="J75" s="1724"/>
    </row>
    <row r="76" spans="1:11">
      <c r="A76" s="112"/>
      <c r="B76" s="15"/>
      <c r="C76" s="58"/>
      <c r="D76" s="15"/>
      <c r="E76" s="36"/>
      <c r="F76" s="131"/>
      <c r="G76" s="90"/>
      <c r="H76" s="1091"/>
      <c r="K76" s="267"/>
    </row>
    <row r="77" spans="1:11">
      <c r="A77" s="112">
        <f>+A75+1</f>
        <v>44</v>
      </c>
      <c r="B77" s="15" t="s">
        <v>486</v>
      </c>
      <c r="C77" s="58"/>
      <c r="D77" s="15"/>
      <c r="E77" s="36" t="str">
        <f>"(Note "&amp;A316&amp;")"</f>
        <v>(Note I)</v>
      </c>
      <c r="F77" s="137" t="s">
        <v>653</v>
      </c>
      <c r="G77" s="212">
        <v>0</v>
      </c>
      <c r="H77" s="1092">
        <v>0</v>
      </c>
      <c r="J77" s="1724" t="s">
        <v>1516</v>
      </c>
      <c r="K77" s="267"/>
    </row>
    <row r="78" spans="1:11">
      <c r="A78" s="112"/>
      <c r="B78" s="15"/>
      <c r="C78" s="58"/>
      <c r="D78" s="15"/>
      <c r="E78" s="36"/>
      <c r="F78" s="131"/>
      <c r="G78" s="90"/>
      <c r="H78" s="1091"/>
      <c r="K78" s="267"/>
    </row>
    <row r="79" spans="1:11" ht="15.6">
      <c r="A79" s="76"/>
      <c r="B79" s="37" t="s">
        <v>687</v>
      </c>
      <c r="C79" s="9"/>
      <c r="D79" s="9"/>
      <c r="E79" s="36"/>
      <c r="F79" s="140"/>
      <c r="G79" s="87"/>
      <c r="H79" s="1077"/>
      <c r="K79" s="267"/>
    </row>
    <row r="80" spans="1:11" ht="15.6">
      <c r="A80" s="76">
        <f>+A77+1</f>
        <v>45</v>
      </c>
      <c r="B80" s="41"/>
      <c r="C80" s="9" t="s">
        <v>137</v>
      </c>
      <c r="D80" s="9"/>
      <c r="E80" s="36" t="str">
        <f>"(Notes "&amp;A$339&amp;" &amp; "&amp;A$344&amp;")"</f>
        <v>(Notes FF &amp; KK)</v>
      </c>
      <c r="F80" s="131" t="str">
        <f>+"WP02 Support Line "&amp;'WP02 Support'!A$89&amp;" Column "&amp;'WP02 Support'!F$44</f>
        <v>WP02 Support Line 27 Column E</v>
      </c>
      <c r="G80" s="654">
        <f>+'WP02 Support'!F89</f>
        <v>0</v>
      </c>
      <c r="H80" s="1078">
        <f>+'WP02 Support'!F89</f>
        <v>0</v>
      </c>
      <c r="K80" s="267"/>
    </row>
    <row r="81" spans="1:11">
      <c r="A81" s="76">
        <f>+A80+1</f>
        <v>46</v>
      </c>
      <c r="B81" s="115"/>
      <c r="C81" s="9" t="s">
        <v>160</v>
      </c>
      <c r="D81" s="9"/>
      <c r="E81" s="36" t="str">
        <f>"(Notes "&amp;A$339&amp;" &amp; "&amp;A$344&amp;")"</f>
        <v>(Notes FF &amp; KK)</v>
      </c>
      <c r="F81" s="131" t="str">
        <f>+"WP02 Support Line "&amp;'WP02 Support'!A$89&amp;" Column "&amp;'WP02 Support'!G$44</f>
        <v>WP02 Support Line 27 Column F</v>
      </c>
      <c r="G81" s="654">
        <f>+'WP02 Support'!G89</f>
        <v>0</v>
      </c>
      <c r="H81" s="1078">
        <f>+'WP02 Support'!G89</f>
        <v>0</v>
      </c>
      <c r="K81" s="267"/>
    </row>
    <row r="82" spans="1:11">
      <c r="A82" s="76">
        <f t="shared" ref="A82:A87" si="1">+A81+1</f>
        <v>47</v>
      </c>
      <c r="B82" s="33"/>
      <c r="C82" s="58" t="s">
        <v>89</v>
      </c>
      <c r="D82" s="14"/>
      <c r="E82" s="33"/>
      <c r="F82" s="135" t="str">
        <f>"(Line "&amp;A$35&amp;")"</f>
        <v>(Line 18)</v>
      </c>
      <c r="G82" s="92">
        <f>+G$35</f>
        <v>0.11937650535658385</v>
      </c>
      <c r="H82" s="1088">
        <f>+H$35</f>
        <v>0.11532318955835009</v>
      </c>
      <c r="K82" s="267"/>
    </row>
    <row r="83" spans="1:11">
      <c r="A83" s="76">
        <f t="shared" si="1"/>
        <v>48</v>
      </c>
      <c r="B83" s="115"/>
      <c r="C83" s="58" t="str">
        <f>+"Total Transmission Allocated "&amp;C81</f>
        <v>Total Transmission Allocated Plant</v>
      </c>
      <c r="D83" s="9"/>
      <c r="E83" s="36"/>
      <c r="F83" s="135" t="str">
        <f>"(Line "&amp;A81&amp;" * Line "&amp;A82&amp;")"</f>
        <v>(Line 46 * Line 47)</v>
      </c>
      <c r="G83" s="635">
        <f>+G81*G82</f>
        <v>0</v>
      </c>
      <c r="H83" s="1089">
        <f>+H81*H82</f>
        <v>0</v>
      </c>
      <c r="K83" s="267"/>
    </row>
    <row r="84" spans="1:11">
      <c r="A84" s="76">
        <f t="shared" si="1"/>
        <v>49</v>
      </c>
      <c r="B84" s="115"/>
      <c r="C84" s="9" t="s">
        <v>145</v>
      </c>
      <c r="D84" s="9"/>
      <c r="E84" s="36" t="str">
        <f>"(Notes "&amp;A$339&amp;" &amp; "&amp;A$344&amp;")"</f>
        <v>(Notes FF &amp; KK)</v>
      </c>
      <c r="F84" s="131" t="str">
        <f>+"WP02 Support Line "&amp;'WP02 Support'!A$89&amp;" Column "&amp;'WP02 Support'!H$44</f>
        <v>WP02 Support Line 27 Column G</v>
      </c>
      <c r="G84" s="654">
        <f>+'WP02 Support'!H89</f>
        <v>31851203.483846169</v>
      </c>
      <c r="H84" s="1078">
        <f>+'WP02 Support'!H89</f>
        <v>31851203.483846169</v>
      </c>
      <c r="K84" s="267"/>
    </row>
    <row r="85" spans="1:11" s="267" customFormat="1" ht="15.6">
      <c r="A85" s="76">
        <f t="shared" si="1"/>
        <v>50</v>
      </c>
      <c r="B85" s="51"/>
      <c r="C85" s="9" t="s">
        <v>111</v>
      </c>
      <c r="D85" s="9"/>
      <c r="E85" s="52"/>
      <c r="F85" s="131" t="str">
        <f>"(Line "&amp;A$24&amp;")"</f>
        <v>(Line 11)</v>
      </c>
      <c r="G85" s="257">
        <f>+G$24</f>
        <v>8.8878035802894981E-2</v>
      </c>
      <c r="H85" s="1084">
        <f>H$24</f>
        <v>8.8878035802894981E-2</v>
      </c>
      <c r="J85" s="1724"/>
    </row>
    <row r="86" spans="1:11">
      <c r="A86" s="76">
        <f t="shared" si="1"/>
        <v>51</v>
      </c>
      <c r="B86" s="115"/>
      <c r="C86" s="25" t="str">
        <f>+"Total Transmission Allocated "&amp;C84</f>
        <v>Total Transmission Allocated Labor</v>
      </c>
      <c r="D86" s="67"/>
      <c r="E86" s="75"/>
      <c r="F86" s="136" t="str">
        <f>"(Line "&amp;A84&amp;" * Line "&amp;A85&amp;")"</f>
        <v>(Line 49 * Line 50)</v>
      </c>
      <c r="G86" s="902">
        <f>+G84*G85</f>
        <v>2830872.4036025731</v>
      </c>
      <c r="H86" s="1090">
        <f>+H84*H85</f>
        <v>2830872.4036025731</v>
      </c>
      <c r="K86" s="267"/>
    </row>
    <row r="87" spans="1:11">
      <c r="A87" s="112">
        <f t="shared" si="1"/>
        <v>52</v>
      </c>
      <c r="B87" s="15" t="s">
        <v>306</v>
      </c>
      <c r="C87" s="15"/>
      <c r="D87" s="15"/>
      <c r="E87" s="36" t="str">
        <f>"(Note "&amp;A$329&amp;")"</f>
        <v>(Note V)</v>
      </c>
      <c r="F87" s="135" t="str">
        <f>"(Line "&amp;A80&amp;" + Line "&amp;A83&amp;" + Line "&amp;A86&amp;")"</f>
        <v>(Line 45 + Line 48 + Line 51)</v>
      </c>
      <c r="G87" s="635">
        <f>+G80+G83+G86</f>
        <v>2830872.4036025731</v>
      </c>
      <c r="H87" s="1089">
        <f>+H80+H83+H86</f>
        <v>2830872.4036025731</v>
      </c>
      <c r="K87" s="267"/>
    </row>
    <row r="88" spans="1:11" ht="15.6">
      <c r="A88" s="76"/>
      <c r="B88" s="5"/>
      <c r="C88" s="9"/>
      <c r="D88" s="82"/>
      <c r="E88" s="36"/>
      <c r="F88" s="135"/>
      <c r="G88" s="89"/>
      <c r="H88" s="1093"/>
      <c r="K88" s="267"/>
    </row>
    <row r="89" spans="1:11" ht="15.6">
      <c r="A89" s="76"/>
      <c r="B89" s="41" t="s">
        <v>83</v>
      </c>
      <c r="C89" s="15"/>
      <c r="D89" s="15"/>
      <c r="E89" s="36"/>
      <c r="F89" s="141"/>
      <c r="G89" s="91"/>
      <c r="H89" s="1094"/>
      <c r="K89" s="267"/>
    </row>
    <row r="90" spans="1:11">
      <c r="A90" s="76">
        <f>+A87+1</f>
        <v>53</v>
      </c>
      <c r="B90" s="115"/>
      <c r="C90" s="58" t="s">
        <v>74</v>
      </c>
      <c r="D90" s="9"/>
      <c r="E90" s="36" t="str">
        <f>"(Note "&amp;A$344&amp;")"</f>
        <v>(Note KK)</v>
      </c>
      <c r="F90" s="15" t="str">
        <f>+"WP07 M&amp;S Line "&amp;'WP07 M&amp;S'!A9&amp;" Column "&amp;'WP07 M&amp;S'!Q$6</f>
        <v>WP07 M&amp;S Line 2 Column P</v>
      </c>
      <c r="G90" s="655">
        <f>'WP07 M&amp;S'!Q9</f>
        <v>0</v>
      </c>
      <c r="H90" s="1095">
        <f>'WP07 M&amp;S'!Q9</f>
        <v>0</v>
      </c>
      <c r="K90" s="267"/>
    </row>
    <row r="91" spans="1:11">
      <c r="A91" s="112">
        <f>+A90+1</f>
        <v>54</v>
      </c>
      <c r="B91" s="15"/>
      <c r="C91" s="15" t="s">
        <v>600</v>
      </c>
      <c r="D91" s="9"/>
      <c r="E91" s="36" t="str">
        <f>"(Notes "&amp;A$308&amp;" &amp; "&amp;A$344&amp;")"</f>
        <v>(Notes A &amp; KK)</v>
      </c>
      <c r="F91" s="15" t="str">
        <f>+"WP07 M&amp;S Line "&amp;'WP07 M&amp;S'!A10&amp;" Column "&amp;'WP07 M&amp;S'!Q$6</f>
        <v>WP07 M&amp;S Line 3 Column P</v>
      </c>
      <c r="G91" s="668">
        <f>'WP07 M&amp;S'!Q10</f>
        <v>1171401.0963115385</v>
      </c>
      <c r="H91" s="1096">
        <f>'WP07 M&amp;S'!Q10</f>
        <v>1171401.0963115385</v>
      </c>
      <c r="K91" s="267"/>
    </row>
    <row r="92" spans="1:11" s="267" customFormat="1" ht="15.6">
      <c r="A92" s="112">
        <f>+A91+1</f>
        <v>55</v>
      </c>
      <c r="B92" s="51"/>
      <c r="C92" s="9" t="s">
        <v>111</v>
      </c>
      <c r="D92" s="9"/>
      <c r="E92" s="52"/>
      <c r="F92" s="15" t="str">
        <f>"(Line "&amp;A$24&amp;")"</f>
        <v>(Line 11)</v>
      </c>
      <c r="G92" s="257">
        <f>+G$24</f>
        <v>8.8878035802894981E-2</v>
      </c>
      <c r="H92" s="1084">
        <f>H$24</f>
        <v>8.8878035802894981E-2</v>
      </c>
      <c r="J92" s="1724"/>
    </row>
    <row r="93" spans="1:11">
      <c r="A93" s="76">
        <f>+A92+1</f>
        <v>56</v>
      </c>
      <c r="B93" s="115"/>
      <c r="C93" s="58" t="s">
        <v>118</v>
      </c>
      <c r="D93" s="9"/>
      <c r="E93" s="36"/>
      <c r="F93" s="136" t="str">
        <f>"(Line "&amp;A91&amp;" * Line "&amp;A92&amp;")"</f>
        <v>(Line 54 * Line 55)</v>
      </c>
      <c r="G93" s="655">
        <f>+G91*G92</f>
        <v>104111.82857752735</v>
      </c>
      <c r="H93" s="1095">
        <f>+H91*H92</f>
        <v>104111.82857752735</v>
      </c>
      <c r="K93" s="267"/>
    </row>
    <row r="94" spans="1:11" ht="15.6">
      <c r="A94" s="76">
        <f>+A93+1</f>
        <v>57</v>
      </c>
      <c r="B94" s="115"/>
      <c r="C94" s="293" t="s">
        <v>82</v>
      </c>
      <c r="D94" s="294"/>
      <c r="E94" s="295"/>
      <c r="F94" s="135" t="str">
        <f>"(Line "&amp;A93&amp;" + Line "&amp;A90&amp;")"</f>
        <v>(Line 56 + Line 53)</v>
      </c>
      <c r="G94" s="656">
        <f>+G90+G93</f>
        <v>104111.82857752735</v>
      </c>
      <c r="H94" s="1097">
        <f>+H90+H93</f>
        <v>104111.82857752735</v>
      </c>
      <c r="K94" s="267"/>
    </row>
    <row r="95" spans="1:11">
      <c r="A95" s="76"/>
      <c r="B95" s="115"/>
      <c r="C95" s="9"/>
      <c r="D95" s="9"/>
      <c r="E95" s="36"/>
      <c r="F95" s="140"/>
      <c r="G95" s="87"/>
      <c r="H95" s="1077"/>
      <c r="K95" s="267"/>
    </row>
    <row r="96" spans="1:11" ht="15.6">
      <c r="A96" s="76"/>
      <c r="B96" s="41" t="s">
        <v>85</v>
      </c>
      <c r="C96" s="9"/>
      <c r="D96" s="9"/>
      <c r="E96" s="36"/>
      <c r="F96" s="140"/>
      <c r="G96" s="87"/>
      <c r="H96" s="1077"/>
      <c r="K96" s="267"/>
    </row>
    <row r="97" spans="1:12" ht="15.6">
      <c r="A97" s="76">
        <f>+A94+1</f>
        <v>58</v>
      </c>
      <c r="B97" s="41"/>
      <c r="C97" s="9" t="s">
        <v>137</v>
      </c>
      <c r="D97" s="9"/>
      <c r="E97" s="36" t="str">
        <f>"(Note "&amp;A$344&amp;")"</f>
        <v>(Note KK)</v>
      </c>
      <c r="F97" s="131" t="str">
        <f>+"WP08 Prepay Line "&amp;'WP08 Prepay'!A$51&amp;" Column "&amp;'WP08 Prepay'!F$5</f>
        <v>WP08 Prepay Line 8 Column E</v>
      </c>
      <c r="G97" s="654">
        <f>+'WP08 Prepay'!F$51</f>
        <v>0</v>
      </c>
      <c r="H97" s="1078">
        <f>+'WP08 Prepay'!F51</f>
        <v>0</v>
      </c>
      <c r="K97" s="267"/>
    </row>
    <row r="98" spans="1:12">
      <c r="A98" s="76">
        <f>+A97+1</f>
        <v>59</v>
      </c>
      <c r="B98" s="115"/>
      <c r="C98" s="9" t="s">
        <v>160</v>
      </c>
      <c r="D98" s="9"/>
      <c r="E98" s="36" t="str">
        <f>"(Note "&amp;A$344&amp;")"</f>
        <v>(Note KK)</v>
      </c>
      <c r="F98" s="131" t="str">
        <f>+"WP08 Prepay Line "&amp;'WP08 Prepay'!A51&amp;" Column "&amp;'WP08 Prepay'!G$5</f>
        <v>WP08 Prepay Line 8 Column F</v>
      </c>
      <c r="G98" s="654">
        <f>+'WP08 Prepay'!G51</f>
        <v>7650278.4823076902</v>
      </c>
      <c r="H98" s="1078">
        <f>+'WP08 Prepay'!G51</f>
        <v>7650278.4823076902</v>
      </c>
      <c r="K98" s="267"/>
    </row>
    <row r="99" spans="1:12">
      <c r="A99" s="76">
        <f t="shared" ref="A99:A104" si="2">+A98+1</f>
        <v>60</v>
      </c>
      <c r="B99" s="33"/>
      <c r="C99" s="58" t="s">
        <v>89</v>
      </c>
      <c r="D99" s="14"/>
      <c r="E99" s="33"/>
      <c r="F99" s="135" t="str">
        <f>"(Line "&amp;A$35&amp;")"</f>
        <v>(Line 18)</v>
      </c>
      <c r="G99" s="92">
        <f>+G$35</f>
        <v>0.11937650535658385</v>
      </c>
      <c r="H99" s="1088">
        <f>+H$35</f>
        <v>0.11532318955835009</v>
      </c>
      <c r="K99" s="267"/>
    </row>
    <row r="100" spans="1:12">
      <c r="A100" s="76">
        <f t="shared" si="2"/>
        <v>61</v>
      </c>
      <c r="B100" s="115"/>
      <c r="C100" s="58" t="str">
        <f>+"Total Transmission Allocated "&amp;C98</f>
        <v>Total Transmission Allocated Plant</v>
      </c>
      <c r="D100" s="9"/>
      <c r="E100" s="36"/>
      <c r="F100" s="135" t="str">
        <f>"(Line "&amp;A98&amp;" * Line "&amp;A99&amp;")"</f>
        <v>(Line 59 * Line 60)</v>
      </c>
      <c r="G100" s="635">
        <f>+G98*G99</f>
        <v>913263.51022256212</v>
      </c>
      <c r="H100" s="1089">
        <f>+H98*H99</f>
        <v>882254.51558933663</v>
      </c>
      <c r="K100" s="267"/>
    </row>
    <row r="101" spans="1:12">
      <c r="A101" s="76">
        <f t="shared" si="2"/>
        <v>62</v>
      </c>
      <c r="B101" s="115"/>
      <c r="C101" s="9" t="s">
        <v>145</v>
      </c>
      <c r="D101" s="9"/>
      <c r="E101" s="36" t="str">
        <f>"(Note "&amp;A$344&amp;")"</f>
        <v>(Note KK)</v>
      </c>
      <c r="F101" s="131" t="str">
        <f>+"WP08 Prepay Line "&amp;'WP08 Prepay'!A$51&amp;" Column "&amp;'WP08 Prepay'!H$5</f>
        <v>WP08 Prepay Line 8 Column G</v>
      </c>
      <c r="G101" s="654">
        <f>+'WP08 Prepay'!H51</f>
        <v>199405.10153846178</v>
      </c>
      <c r="H101" s="1078">
        <f>+'WP08 Prepay'!H51</f>
        <v>199405.10153846178</v>
      </c>
      <c r="K101" s="267"/>
    </row>
    <row r="102" spans="1:12" s="267" customFormat="1" ht="15.6">
      <c r="A102" s="112">
        <f t="shared" si="2"/>
        <v>63</v>
      </c>
      <c r="B102" s="51"/>
      <c r="C102" s="9" t="s">
        <v>111</v>
      </c>
      <c r="D102" s="9"/>
      <c r="E102" s="52"/>
      <c r="F102" s="131" t="str">
        <f>"(Line "&amp;A$24&amp;")"</f>
        <v>(Line 11)</v>
      </c>
      <c r="G102" s="257">
        <f>+G$24</f>
        <v>8.8878035802894981E-2</v>
      </c>
      <c r="H102" s="1084">
        <f>H$24</f>
        <v>8.8878035802894981E-2</v>
      </c>
      <c r="J102" s="1724"/>
    </row>
    <row r="103" spans="1:12">
      <c r="A103" s="76">
        <f t="shared" si="2"/>
        <v>64</v>
      </c>
      <c r="B103" s="115"/>
      <c r="C103" s="25" t="str">
        <f>+"Total Transmission Allocated "&amp;C101</f>
        <v>Total Transmission Allocated Labor</v>
      </c>
      <c r="D103" s="67"/>
      <c r="E103" s="75"/>
      <c r="F103" s="136" t="str">
        <f>"(Line "&amp;A101&amp;" * Line "&amp;A102&amp;")"</f>
        <v>(Line 62 * Line 63)</v>
      </c>
      <c r="G103" s="902">
        <f>+G101*G102</f>
        <v>17722.733753815315</v>
      </c>
      <c r="H103" s="1090">
        <f>+H101*H102</f>
        <v>17722.733753815315</v>
      </c>
      <c r="K103" s="267"/>
    </row>
    <row r="104" spans="1:12">
      <c r="A104" s="76">
        <f t="shared" si="2"/>
        <v>65</v>
      </c>
      <c r="B104" s="58" t="s">
        <v>307</v>
      </c>
      <c r="C104" s="58"/>
      <c r="D104" s="34"/>
      <c r="E104" s="464" t="str">
        <f>"(Note "&amp;A$308&amp;")"</f>
        <v>(Note A)</v>
      </c>
      <c r="F104" s="135" t="str">
        <f>"(Line "&amp;A97&amp;" + Line "&amp;A100&amp;" + Line "&amp;A103&amp;")"</f>
        <v>(Line 58 + Line 61 + Line 64)</v>
      </c>
      <c r="G104" s="635">
        <f>+G97+G100+G103</f>
        <v>930986.24397637742</v>
      </c>
      <c r="H104" s="1089">
        <f>+H97+H100+H103</f>
        <v>899977.24934315193</v>
      </c>
      <c r="K104" s="267"/>
    </row>
    <row r="105" spans="1:12">
      <c r="A105" s="76"/>
      <c r="B105" s="115"/>
      <c r="C105" s="15"/>
      <c r="D105" s="9"/>
      <c r="E105" s="33"/>
      <c r="F105" s="135"/>
      <c r="G105" s="90"/>
      <c r="H105" s="1091"/>
      <c r="K105" s="267"/>
    </row>
    <row r="106" spans="1:12">
      <c r="A106" s="76">
        <f>+A104+1</f>
        <v>66</v>
      </c>
      <c r="B106" s="61" t="s">
        <v>308</v>
      </c>
      <c r="C106" s="9"/>
      <c r="D106" s="82"/>
      <c r="E106" s="36" t="str">
        <f>"(Notes "&amp;A$309&amp;" &amp; "&amp;A$310&amp;")"</f>
        <v>(Notes B &amp; C)</v>
      </c>
      <c r="F106" s="1006" t="str">
        <f>+"WP09 PHFU Line "&amp;'WP09 PHFU'!A11&amp;" Columns "&amp;'WP09 PHFU'!P5&amp;", "&amp;'WP09 PHFU'!O5</f>
        <v>WP09 PHFU Line 5 Columns O, N</v>
      </c>
      <c r="G106" s="70">
        <f>+'WP09 PHFU'!P11</f>
        <v>0</v>
      </c>
      <c r="H106" s="1082">
        <f>+'WP09 PHFU'!O11</f>
        <v>0</v>
      </c>
      <c r="K106" s="267"/>
    </row>
    <row r="107" spans="1:12">
      <c r="A107" s="76"/>
      <c r="B107" s="115"/>
      <c r="C107" s="58"/>
      <c r="D107" s="9"/>
      <c r="E107" s="33"/>
      <c r="F107" s="141"/>
      <c r="G107" s="87"/>
      <c r="H107" s="1077"/>
      <c r="K107" s="267"/>
    </row>
    <row r="108" spans="1:12" ht="15.6">
      <c r="A108" s="76"/>
      <c r="B108" s="41" t="s">
        <v>86</v>
      </c>
      <c r="C108" s="15"/>
      <c r="D108" s="9"/>
      <c r="E108" s="36"/>
      <c r="F108" s="141"/>
      <c r="G108" s="87"/>
      <c r="H108" s="1077"/>
      <c r="K108" s="267"/>
    </row>
    <row r="109" spans="1:12">
      <c r="A109" s="76">
        <f>+A106+1</f>
        <v>67</v>
      </c>
      <c r="B109" s="115"/>
      <c r="C109" s="58" t="s">
        <v>117</v>
      </c>
      <c r="D109" s="14"/>
      <c r="E109" s="36"/>
      <c r="F109" s="135" t="str">
        <f>"(Line "&amp;A$156&amp;")"</f>
        <v>(Line 102)</v>
      </c>
      <c r="G109" s="635">
        <f>+G156</f>
        <v>6594891.8824043535</v>
      </c>
      <c r="H109" s="1089">
        <f>+H156</f>
        <v>6589089.0440008845</v>
      </c>
      <c r="K109" s="267"/>
      <c r="L109" s="267"/>
    </row>
    <row r="110" spans="1:12">
      <c r="A110" s="76">
        <f>+A109+1</f>
        <v>68</v>
      </c>
      <c r="B110" s="115"/>
      <c r="C110" s="14" t="s">
        <v>143</v>
      </c>
      <c r="D110" s="14"/>
      <c r="E110" s="36" t="str">
        <f>"(Note "&amp;A$315&amp;")"</f>
        <v>(Note H)</v>
      </c>
      <c r="F110" s="906"/>
      <c r="G110" s="666">
        <v>0</v>
      </c>
      <c r="H110" s="1109">
        <v>0</v>
      </c>
      <c r="J110" s="1724" t="s">
        <v>1517</v>
      </c>
      <c r="K110" s="267"/>
    </row>
    <row r="111" spans="1:12" s="1" customFormat="1" ht="15.6">
      <c r="A111" s="76">
        <f>+A110+1</f>
        <v>69</v>
      </c>
      <c r="B111" s="116"/>
      <c r="C111" s="903" t="s">
        <v>73</v>
      </c>
      <c r="D111" s="904"/>
      <c r="E111" s="905"/>
      <c r="F111" s="135" t="str">
        <f>"(Line "&amp;A109&amp;" * Line "&amp;A110&amp;")"</f>
        <v>(Line 67 * Line 68)</v>
      </c>
      <c r="G111" s="635">
        <f>+G109*G110</f>
        <v>0</v>
      </c>
      <c r="H111" s="1089">
        <f>+H109*H110</f>
        <v>0</v>
      </c>
      <c r="J111" s="1723"/>
      <c r="K111" s="37"/>
    </row>
    <row r="112" spans="1:12" s="1" customFormat="1" ht="15.6">
      <c r="A112" s="76"/>
      <c r="B112" s="116"/>
      <c r="C112" s="41"/>
      <c r="D112" s="1007"/>
      <c r="E112" s="192"/>
      <c r="F112" s="135"/>
      <c r="G112" s="657"/>
      <c r="H112" s="1099"/>
      <c r="J112" s="1723"/>
      <c r="K112" s="37"/>
    </row>
    <row r="113" spans="1:11" s="1" customFormat="1" ht="15.6">
      <c r="A113" s="117"/>
      <c r="B113" s="41" t="s">
        <v>150</v>
      </c>
      <c r="C113" s="38"/>
      <c r="D113" s="56"/>
      <c r="E113" s="38"/>
      <c r="F113" s="130"/>
      <c r="G113" s="657"/>
      <c r="H113" s="1099"/>
      <c r="J113" s="1723"/>
      <c r="K113" s="37"/>
    </row>
    <row r="114" spans="1:11" ht="15.6">
      <c r="A114" s="76">
        <f>+A111+1</f>
        <v>70</v>
      </c>
      <c r="B114" s="10"/>
      <c r="C114" s="15" t="s">
        <v>152</v>
      </c>
      <c r="D114" s="10"/>
      <c r="E114" s="36" t="str">
        <f>"(Notes "&amp;A$309&amp;" &amp; "&amp;A$321&amp;")"</f>
        <v>(Notes B &amp; N)</v>
      </c>
      <c r="F114" s="131"/>
      <c r="G114" s="212">
        <v>0</v>
      </c>
      <c r="H114" s="1092">
        <v>0</v>
      </c>
      <c r="J114" s="1724" t="s">
        <v>1518</v>
      </c>
      <c r="K114" s="37"/>
    </row>
    <row r="115" spans="1:11" ht="15.6">
      <c r="A115" s="109">
        <f>+A114+1</f>
        <v>71</v>
      </c>
      <c r="B115" s="15"/>
      <c r="C115" s="465" t="s">
        <v>601</v>
      </c>
      <c r="D115" s="465"/>
      <c r="E115" s="75" t="str">
        <f>"(Notes "&amp;A$309&amp;" &amp; "&amp;A$321&amp;")"</f>
        <v>(Notes B &amp; N)</v>
      </c>
      <c r="F115" s="265"/>
      <c r="G115" s="716">
        <v>0</v>
      </c>
      <c r="H115" s="1100">
        <v>0</v>
      </c>
      <c r="J115" s="1724" t="s">
        <v>1518</v>
      </c>
      <c r="K115" s="37"/>
    </row>
    <row r="116" spans="1:11" ht="15.6">
      <c r="A116" s="109">
        <f>+A115+1</f>
        <v>72</v>
      </c>
      <c r="B116" s="10"/>
      <c r="C116" s="10" t="s">
        <v>153</v>
      </c>
      <c r="D116" s="10"/>
      <c r="E116" s="36"/>
      <c r="F116" s="130" t="str">
        <f>"(Line "&amp;A114&amp;" - Line "&amp;A115&amp;")"</f>
        <v>(Line 70 - Line 71)</v>
      </c>
      <c r="G116" s="656">
        <f>+G114-G115</f>
        <v>0</v>
      </c>
      <c r="H116" s="1097">
        <f>+H114-H115</f>
        <v>0</v>
      </c>
      <c r="K116" s="37"/>
    </row>
    <row r="117" spans="1:11" ht="15.6">
      <c r="A117" s="109"/>
      <c r="B117" s="10"/>
      <c r="C117" s="10"/>
      <c r="D117" s="10"/>
      <c r="E117" s="36"/>
      <c r="F117" s="134"/>
      <c r="G117" s="658"/>
      <c r="H117" s="1101"/>
      <c r="K117" s="37"/>
    </row>
    <row r="118" spans="1:11" ht="16.2" thickBot="1">
      <c r="A118" s="109">
        <f>+A116+1</f>
        <v>73</v>
      </c>
      <c r="B118" s="4" t="s">
        <v>112</v>
      </c>
      <c r="C118" s="4"/>
      <c r="D118" s="4"/>
      <c r="E118" s="162"/>
      <c r="F118" s="1015" t="str">
        <f>"(Line "&amp;A75&amp;" + Line "&amp;A77&amp;" + Line "&amp;A87&amp;" + Line "&amp;A94&amp;" + Line "&amp;A104&amp;" + Line "&amp;A106&amp;" + Line "&amp;A111&amp;" - Line "&amp;A116&amp;" )"</f>
        <v>(Line 43 + Line 44 + Line 52 + Line 57 + Line 65 + Line 66 + Line 69 - Line 72 )</v>
      </c>
      <c r="G118" s="594">
        <f>SUM(G75,G77,G87,G104,G106,G94,G111)-G116</f>
        <v>-10889973.447084239</v>
      </c>
      <c r="H118" s="1085">
        <f>SUM(H75,H87,H104,H106,H94,H111)-H116+H77</f>
        <v>-10484276.339090317</v>
      </c>
      <c r="K118" s="37"/>
    </row>
    <row r="119" spans="1:11" ht="16.2" thickTop="1">
      <c r="A119" s="109"/>
      <c r="B119" s="10"/>
      <c r="C119" s="10"/>
      <c r="D119" s="10"/>
      <c r="E119" s="28"/>
      <c r="F119" s="134"/>
      <c r="G119" s="658"/>
      <c r="H119" s="1101"/>
      <c r="K119" s="37"/>
    </row>
    <row r="120" spans="1:11" ht="16.2" thickBot="1">
      <c r="A120" s="106">
        <f>+A118+1</f>
        <v>74</v>
      </c>
      <c r="B120" s="4" t="s">
        <v>108</v>
      </c>
      <c r="C120" s="4"/>
      <c r="D120" s="4"/>
      <c r="E120" s="29"/>
      <c r="F120" s="132" t="str">
        <f>"(Line "&amp;A63&amp;" + Line "&amp;A118&amp;")"</f>
        <v>(Line 35 + Line 73)</v>
      </c>
      <c r="G120" s="659">
        <f>+G63+G118</f>
        <v>74653477.074550301</v>
      </c>
      <c r="H120" s="1102">
        <f>+H63+H118</f>
        <v>79698725.970059738</v>
      </c>
      <c r="K120" s="37"/>
    </row>
    <row r="121" spans="1:11" ht="16.2" thickTop="1">
      <c r="A121" s="118"/>
      <c r="B121" s="10"/>
      <c r="C121" s="10"/>
      <c r="D121" s="10"/>
      <c r="E121" s="28"/>
      <c r="F121" s="134"/>
      <c r="G121" s="658"/>
      <c r="H121" s="1101"/>
      <c r="K121" s="37"/>
    </row>
    <row r="122" spans="1:11" s="267" customFormat="1" ht="15.6">
      <c r="A122" s="1068" t="s">
        <v>127</v>
      </c>
      <c r="B122" s="249"/>
      <c r="C122" s="250"/>
      <c r="D122" s="250"/>
      <c r="E122" s="896"/>
      <c r="F122" s="252"/>
      <c r="G122" s="660"/>
      <c r="H122" s="1103"/>
      <c r="J122" s="1724"/>
      <c r="K122" s="37"/>
    </row>
    <row r="123" spans="1:11" s="267" customFormat="1" ht="15.6">
      <c r="A123" s="119"/>
      <c r="B123" s="9"/>
      <c r="C123" s="9"/>
      <c r="D123" s="9"/>
      <c r="E123" s="52"/>
      <c r="F123" s="131"/>
      <c r="G123" s="661"/>
      <c r="H123" s="1104"/>
      <c r="J123" s="1724"/>
      <c r="K123" s="37"/>
    </row>
    <row r="124" spans="1:11" ht="15.6">
      <c r="A124" s="106"/>
      <c r="B124" s="5" t="s">
        <v>464</v>
      </c>
      <c r="C124" s="6"/>
      <c r="D124" s="49"/>
      <c r="E124" s="55"/>
      <c r="F124" s="134"/>
      <c r="G124" s="662"/>
      <c r="H124" s="1105"/>
      <c r="K124" s="37"/>
    </row>
    <row r="125" spans="1:11" ht="15.6">
      <c r="A125" s="76">
        <f>+A120+1</f>
        <v>75</v>
      </c>
      <c r="B125" s="33"/>
      <c r="C125" s="61" t="s">
        <v>101</v>
      </c>
      <c r="D125" s="9"/>
      <c r="E125" s="36" t="str">
        <f>"(Note "&amp;A$322&amp;")"</f>
        <v>(Note O)</v>
      </c>
      <c r="F125" s="135" t="s">
        <v>656</v>
      </c>
      <c r="G125" s="212">
        <v>9255374.0099999923</v>
      </c>
      <c r="H125" s="1092">
        <v>9255374.0099999923</v>
      </c>
      <c r="K125" s="37"/>
    </row>
    <row r="126" spans="1:11" ht="15.6">
      <c r="A126" s="76">
        <f>+A125+1</f>
        <v>76</v>
      </c>
      <c r="B126" s="33"/>
      <c r="C126" s="186" t="s">
        <v>475</v>
      </c>
      <c r="D126" s="9"/>
      <c r="E126" s="36" t="str">
        <f>"(Note "&amp;A$338&amp;")"</f>
        <v>(Note EE)</v>
      </c>
      <c r="F126" s="135" t="s">
        <v>919</v>
      </c>
      <c r="G126" s="212">
        <v>2444663</v>
      </c>
      <c r="H126" s="1092">
        <v>2444663</v>
      </c>
      <c r="K126" s="37"/>
    </row>
    <row r="127" spans="1:11" ht="15.6">
      <c r="A127" s="76">
        <f>+A126+1</f>
        <v>77</v>
      </c>
      <c r="B127" s="33"/>
      <c r="C127" s="186" t="s">
        <v>602</v>
      </c>
      <c r="D127" s="9"/>
      <c r="E127" s="907"/>
      <c r="F127" s="61" t="s">
        <v>742</v>
      </c>
      <c r="G127" s="212">
        <v>4327932.43</v>
      </c>
      <c r="H127" s="1092">
        <v>4327932.43</v>
      </c>
      <c r="K127" s="37"/>
    </row>
    <row r="128" spans="1:11" ht="15.6">
      <c r="A128" s="76">
        <f t="shared" ref="A128:A129" si="3">+A127+1</f>
        <v>78</v>
      </c>
      <c r="B128" s="33"/>
      <c r="C128" s="186" t="s">
        <v>925</v>
      </c>
      <c r="D128" s="9"/>
      <c r="E128" s="907"/>
      <c r="F128" s="61" t="s">
        <v>926</v>
      </c>
      <c r="G128" s="212">
        <v>2301282</v>
      </c>
      <c r="H128" s="1092">
        <v>2301282</v>
      </c>
      <c r="J128" s="1724" t="s">
        <v>1522</v>
      </c>
      <c r="K128" s="37"/>
    </row>
    <row r="129" spans="1:11" ht="15.6">
      <c r="A129" s="76">
        <f t="shared" si="3"/>
        <v>79</v>
      </c>
      <c r="B129" s="33"/>
      <c r="C129" s="908" t="s">
        <v>502</v>
      </c>
      <c r="D129" s="9"/>
      <c r="E129" s="36" t="str">
        <f>"(Note "&amp;A$339&amp;")"</f>
        <v>(Note FF)</v>
      </c>
      <c r="F129" s="678" t="str">
        <f>+"WP02 Support Line "&amp;'WP02 Support'!A103&amp;" Column "&amp;'WP02 Support'!D92</f>
        <v>WP02 Support Line 32 Column C</v>
      </c>
      <c r="G129" s="663">
        <f>+'WP02 Support'!D103</f>
        <v>-849660.21999999986</v>
      </c>
      <c r="H129" s="1074">
        <f>+'WP02 Support'!D103</f>
        <v>-849660.21999999986</v>
      </c>
      <c r="K129" s="37"/>
    </row>
    <row r="130" spans="1:11" ht="15.6">
      <c r="A130" s="76">
        <f>+A129+1</f>
        <v>80</v>
      </c>
      <c r="B130" s="9"/>
      <c r="C130" s="291" t="s">
        <v>101</v>
      </c>
      <c r="D130" s="289"/>
      <c r="E130" s="290"/>
      <c r="F130" s="135" t="str">
        <f>"(Line "&amp;A125&amp;" - Line "&amp;A126&amp;" - Line "&amp;A127&amp;" + Line "&amp;A128&amp;" + "&amp;" Line "&amp;A129&amp;")"</f>
        <v>(Line 75 - Line 76 - Line 77 + Line 78 +  Line 79)</v>
      </c>
      <c r="G130" s="73">
        <f>+G125-G126-G127+G128+G129</f>
        <v>3934400.3599999929</v>
      </c>
      <c r="H130" s="1476">
        <f>+H125-H126-H127+H128+H129</f>
        <v>3934400.3599999929</v>
      </c>
      <c r="K130" s="37"/>
    </row>
    <row r="131" spans="1:11" ht="15.6">
      <c r="A131" s="76"/>
      <c r="B131" s="33"/>
      <c r="C131" s="5"/>
      <c r="D131" s="9"/>
      <c r="E131" s="108"/>
      <c r="F131" s="142"/>
      <c r="G131" s="73"/>
      <c r="H131" s="1083"/>
      <c r="K131" s="37"/>
    </row>
    <row r="132" spans="1:11" ht="15.6">
      <c r="A132" s="76"/>
      <c r="B132" s="5" t="s">
        <v>465</v>
      </c>
      <c r="C132" s="9"/>
      <c r="D132" s="9"/>
      <c r="E132" s="108"/>
      <c r="F132" s="142"/>
      <c r="G132" s="73"/>
      <c r="H132" s="1083"/>
      <c r="K132" s="37"/>
    </row>
    <row r="133" spans="1:11" ht="15.6">
      <c r="A133" s="76">
        <f>+A130+1</f>
        <v>81</v>
      </c>
      <c r="B133" s="33"/>
      <c r="C133" s="61" t="s">
        <v>104</v>
      </c>
      <c r="D133" s="9"/>
      <c r="E133" s="36" t="str">
        <f>"(Note "&amp;A$322&amp;")"</f>
        <v>(Note O)</v>
      </c>
      <c r="F133" s="135" t="s">
        <v>657</v>
      </c>
      <c r="G133" s="212">
        <v>38690682.609999947</v>
      </c>
      <c r="H133" s="1092">
        <v>38690682.609999947</v>
      </c>
      <c r="K133" s="37"/>
    </row>
    <row r="134" spans="1:11">
      <c r="A134" s="76">
        <f>+A133+1</f>
        <v>82</v>
      </c>
      <c r="B134" s="33"/>
      <c r="C134" s="186" t="s">
        <v>716</v>
      </c>
      <c r="D134" s="9"/>
      <c r="E134" s="36" t="str">
        <f>"(Note "&amp;A$311&amp;")"</f>
        <v>(Note D)</v>
      </c>
      <c r="F134" s="1014" t="str">
        <f>+"WP12 PBOP Line "&amp;'WP12 PBOP'!A11&amp;" Column "&amp;'WP12 PBOP'!C6</f>
        <v>WP12 PBOP Line 3 Column B</v>
      </c>
      <c r="G134" s="1456">
        <f>+'WP12 PBOP'!$C11</f>
        <v>0</v>
      </c>
      <c r="H134" s="1073">
        <f>+'WP12 PBOP'!$C11</f>
        <v>0</v>
      </c>
      <c r="K134" s="267"/>
    </row>
    <row r="135" spans="1:11">
      <c r="A135" s="76">
        <f>+A134+1</f>
        <v>83</v>
      </c>
      <c r="B135" s="33"/>
      <c r="C135" s="186" t="s">
        <v>498</v>
      </c>
      <c r="D135" s="50"/>
      <c r="E135" s="36"/>
      <c r="F135" s="143" t="s">
        <v>658</v>
      </c>
      <c r="G135" s="212">
        <v>1431159.7800000007</v>
      </c>
      <c r="H135" s="1092">
        <v>1431159.7800000007</v>
      </c>
      <c r="K135" s="267"/>
    </row>
    <row r="136" spans="1:11">
      <c r="A136" s="76">
        <f t="shared" ref="A136:A143" si="4">+A135+1</f>
        <v>84</v>
      </c>
      <c r="B136" s="33"/>
      <c r="C136" s="186" t="s">
        <v>603</v>
      </c>
      <c r="D136" s="50"/>
      <c r="E136" s="36" t="str">
        <f>"(Note "&amp;A$312&amp;")"</f>
        <v>(Note E)</v>
      </c>
      <c r="F136" s="143" t="s">
        <v>659</v>
      </c>
      <c r="G136" s="212">
        <v>6905483.2200000044</v>
      </c>
      <c r="H136" s="1092">
        <v>6905483.2200000044</v>
      </c>
      <c r="K136" s="267"/>
    </row>
    <row r="137" spans="1:11">
      <c r="A137" s="76">
        <f t="shared" si="4"/>
        <v>85</v>
      </c>
      <c r="B137" s="33"/>
      <c r="C137" s="186" t="s">
        <v>604</v>
      </c>
      <c r="D137" s="50"/>
      <c r="E137" s="36"/>
      <c r="F137" s="143" t="s">
        <v>660</v>
      </c>
      <c r="G137" s="212">
        <v>895582.9800000001</v>
      </c>
      <c r="H137" s="1092">
        <v>895582.9800000001</v>
      </c>
      <c r="K137" s="267"/>
    </row>
    <row r="138" spans="1:11">
      <c r="A138" s="76">
        <f>+A137+1</f>
        <v>86</v>
      </c>
      <c r="B138" s="33"/>
      <c r="C138" s="186" t="s">
        <v>499</v>
      </c>
      <c r="D138" s="50"/>
      <c r="E138" s="36" t="str">
        <f>"(Notes "&amp;A$331&amp;" &amp; "&amp;A$339&amp;")"</f>
        <v>(Notes X &amp; FF)</v>
      </c>
      <c r="F138" s="131" t="str">
        <f>+"WP02 Support Line "&amp;'WP02 Support'!A122&amp;" Column "&amp;'WP02 Support'!$D$5</f>
        <v>WP02 Support Line 38 Column C</v>
      </c>
      <c r="G138" s="100">
        <f>'WP02 Support'!D122</f>
        <v>-80000</v>
      </c>
      <c r="H138" s="1073">
        <f>+G138</f>
        <v>-80000</v>
      </c>
      <c r="K138" s="267"/>
    </row>
    <row r="139" spans="1:11">
      <c r="A139" s="76">
        <f>+A138+1</f>
        <v>87</v>
      </c>
      <c r="B139" s="33"/>
      <c r="C139" s="186" t="s">
        <v>497</v>
      </c>
      <c r="D139" s="15"/>
      <c r="E139" s="36"/>
      <c r="F139" s="135" t="s">
        <v>654</v>
      </c>
      <c r="G139" s="212">
        <v>30285</v>
      </c>
      <c r="H139" s="1092">
        <v>30285</v>
      </c>
      <c r="K139" s="267"/>
    </row>
    <row r="140" spans="1:11">
      <c r="A140" s="76">
        <f>+A139+1</f>
        <v>88</v>
      </c>
      <c r="B140" s="33"/>
      <c r="C140" s="186" t="s">
        <v>743</v>
      </c>
      <c r="D140" s="9"/>
      <c r="E140" s="36" t="str">
        <f>"(Note "&amp;A$339&amp;")"</f>
        <v>(Note FF)</v>
      </c>
      <c r="F140" s="678" t="str">
        <f>+"WP02 Support Line "&amp;'WP02 Support'!A114&amp;" Column "&amp;'WP02 Support'!D5</f>
        <v>WP02 Support Line 35 Column C</v>
      </c>
      <c r="G140" s="663">
        <f>+'WP02 Support'!D114</f>
        <v>-1812736.9699999997</v>
      </c>
      <c r="H140" s="1074">
        <f>+'WP02 Support'!D114</f>
        <v>-1812736.9699999997</v>
      </c>
      <c r="K140" s="267"/>
    </row>
    <row r="141" spans="1:11" ht="15.6">
      <c r="A141" s="76">
        <f>+A140+1</f>
        <v>89</v>
      </c>
      <c r="B141" s="33"/>
      <c r="C141" s="291" t="s">
        <v>466</v>
      </c>
      <c r="D141" s="289"/>
      <c r="E141" s="288"/>
      <c r="F141" s="130" t="str">
        <f>"(Line "&amp;A133&amp;" -  Sum ("&amp;A134&amp;" to "&amp;A139&amp;")"&amp;" + "&amp;A140&amp;")"</f>
        <v>(Line 81 -  Sum (82 to 87) + 88)</v>
      </c>
      <c r="G141" s="100">
        <f>+G133-G134-G135-G136-G137-G138-G139+G140</f>
        <v>27695434.659999941</v>
      </c>
      <c r="H141" s="1073">
        <f>+H133-H134-H135-H136-H137-H138-H139+H140</f>
        <v>27695434.659999941</v>
      </c>
      <c r="K141" s="267"/>
    </row>
    <row r="142" spans="1:11">
      <c r="A142" s="76">
        <f t="shared" si="4"/>
        <v>90</v>
      </c>
      <c r="B142" s="33"/>
      <c r="C142" s="61" t="s">
        <v>111</v>
      </c>
      <c r="D142" s="12"/>
      <c r="E142" s="75"/>
      <c r="F142" s="144" t="str">
        <f>"(Line "&amp;A$24&amp;")"</f>
        <v>(Line 11)</v>
      </c>
      <c r="G142" s="679">
        <f>+G24</f>
        <v>8.8878035802894981E-2</v>
      </c>
      <c r="H142" s="1084">
        <f>H$24</f>
        <v>8.8878035802894981E-2</v>
      </c>
      <c r="K142" s="267"/>
    </row>
    <row r="143" spans="1:11" ht="15.6">
      <c r="A143" s="76">
        <f t="shared" si="4"/>
        <v>91</v>
      </c>
      <c r="B143" s="33"/>
      <c r="C143" s="286" t="str">
        <f>+B132</f>
        <v>Allocated General Expenses (EOY)</v>
      </c>
      <c r="D143" s="9"/>
      <c r="E143" s="9"/>
      <c r="F143" s="135" t="str">
        <f>"(Line "&amp;A141&amp;" * "&amp;A142&amp;")"</f>
        <v>(Line 89 * 90)</v>
      </c>
      <c r="G143" s="73">
        <f>+G142*G141</f>
        <v>2461515.8332882132</v>
      </c>
      <c r="H143" s="1083">
        <f>+H142*H141</f>
        <v>2461515.8332882132</v>
      </c>
      <c r="K143" s="267"/>
    </row>
    <row r="144" spans="1:11" ht="15.6">
      <c r="A144" s="76"/>
      <c r="B144" s="33"/>
      <c r="C144" s="5"/>
      <c r="D144" s="9"/>
      <c r="E144" s="108"/>
      <c r="F144" s="142"/>
      <c r="G144" s="100"/>
      <c r="H144" s="1073"/>
      <c r="K144" s="267"/>
    </row>
    <row r="145" spans="1:11" ht="15.6">
      <c r="A145" s="76"/>
      <c r="B145" s="5" t="s">
        <v>75</v>
      </c>
      <c r="C145" s="15"/>
      <c r="D145" s="9"/>
      <c r="E145" s="108"/>
      <c r="F145" s="142"/>
      <c r="G145" s="100"/>
      <c r="H145" s="1073"/>
      <c r="K145" s="267"/>
    </row>
    <row r="146" spans="1:11">
      <c r="A146" s="76">
        <f>+A143+1</f>
        <v>92</v>
      </c>
      <c r="B146" s="115"/>
      <c r="C146" s="58" t="s">
        <v>504</v>
      </c>
      <c r="D146" s="34"/>
      <c r="E146" s="36" t="str">
        <f>"(Notes "&amp;A$314&amp;" &amp; "&amp;A$339&amp;")"</f>
        <v>(Notes G &amp; FF)</v>
      </c>
      <c r="F146" s="131" t="str">
        <f>+"WP02 Support Line "&amp;'WP02 Support'!A131&amp;" Column "&amp;'WP02 Support'!$D$5</f>
        <v>WP02 Support Line 42 Column C</v>
      </c>
      <c r="G146" s="100">
        <f>+'WP02 Support'!D131</f>
        <v>28073</v>
      </c>
      <c r="H146" s="1073">
        <f>+'WP02 Support'!D131</f>
        <v>28073</v>
      </c>
      <c r="K146" s="267"/>
    </row>
    <row r="147" spans="1:11">
      <c r="A147" s="76">
        <f t="shared" ref="A147:A156" si="5">+A146+1</f>
        <v>93</v>
      </c>
      <c r="B147" s="115"/>
      <c r="C147" s="25" t="s">
        <v>605</v>
      </c>
      <c r="D147" s="35"/>
      <c r="E147" s="75" t="str">
        <f>"(Notes "&amp;A$318&amp;" &amp; "&amp;A$339&amp;")"</f>
        <v>(Notes K &amp; FF)</v>
      </c>
      <c r="F147" s="678"/>
      <c r="G147" s="716">
        <v>0</v>
      </c>
      <c r="H147" s="1100">
        <v>0</v>
      </c>
      <c r="J147" s="1724" t="s">
        <v>1519</v>
      </c>
      <c r="K147" s="267"/>
    </row>
    <row r="148" spans="1:11" ht="15.6">
      <c r="A148" s="76">
        <f t="shared" si="5"/>
        <v>94</v>
      </c>
      <c r="B148" s="115"/>
      <c r="C148" s="58" t="s">
        <v>123</v>
      </c>
      <c r="D148" s="120"/>
      <c r="E148" s="36"/>
      <c r="F148" s="135" t="str">
        <f>"(Line "&amp;A146&amp;" + "&amp;A147&amp;")"</f>
        <v>(Line 92 + 93)</v>
      </c>
      <c r="G148" s="657">
        <f>+G147+G146</f>
        <v>28073</v>
      </c>
      <c r="H148" s="1099">
        <f>+H147+H146</f>
        <v>28073</v>
      </c>
      <c r="K148" s="267"/>
    </row>
    <row r="149" spans="1:11">
      <c r="A149" s="76">
        <f t="shared" si="5"/>
        <v>95</v>
      </c>
      <c r="B149" s="115"/>
      <c r="C149" s="58"/>
      <c r="D149" s="120"/>
      <c r="E149" s="36"/>
      <c r="F149" s="145"/>
      <c r="G149" s="664"/>
      <c r="H149" s="1106"/>
      <c r="K149" s="267"/>
    </row>
    <row r="150" spans="1:11">
      <c r="A150" s="76">
        <f t="shared" si="5"/>
        <v>96</v>
      </c>
      <c r="B150" s="115"/>
      <c r="C150" s="58" t="s">
        <v>728</v>
      </c>
      <c r="D150" s="120"/>
      <c r="E150" s="36" t="str">
        <f>"(Note "&amp;A$313&amp;")"</f>
        <v>(Note F)</v>
      </c>
      <c r="F150" s="1014" t="str">
        <f>+"WP10 Storm Line "&amp;'WP10 Storm'!A65&amp;" Column "&amp;'WP10 Storm'!E6</f>
        <v xml:space="preserve">WP10 Storm Line 28 Column D </v>
      </c>
      <c r="G150" s="635">
        <f>+'WP10 Storm'!$E$65</f>
        <v>1431627.51</v>
      </c>
      <c r="H150" s="1089">
        <f>+'WP10 Storm'!$E$65</f>
        <v>1431627.51</v>
      </c>
      <c r="K150" s="267"/>
    </row>
    <row r="151" spans="1:11">
      <c r="A151" s="76">
        <f t="shared" si="5"/>
        <v>97</v>
      </c>
      <c r="B151" s="115"/>
      <c r="C151" s="61" t="s">
        <v>544</v>
      </c>
      <c r="D151" s="12"/>
      <c r="E151" s="75" t="str">
        <f>"(Notes "&amp;A$342&amp;" &amp; "&amp;A$339&amp;")"</f>
        <v>(Notes II &amp; FF)</v>
      </c>
      <c r="F151" s="1368"/>
      <c r="G151" s="716">
        <v>0</v>
      </c>
      <c r="H151" s="1100">
        <v>0</v>
      </c>
      <c r="J151" s="1724" t="s">
        <v>1519</v>
      </c>
      <c r="K151" s="267"/>
    </row>
    <row r="152" spans="1:11">
      <c r="A152" s="76">
        <f t="shared" si="5"/>
        <v>98</v>
      </c>
      <c r="B152" s="115"/>
      <c r="C152" s="634" t="s">
        <v>114</v>
      </c>
      <c r="D152" s="296"/>
      <c r="E152" s="290"/>
      <c r="F152" s="135" t="str">
        <f>"(Line "&amp;A150&amp;" + "&amp;A151&amp;")"</f>
        <v>(Line 96 + 97)</v>
      </c>
      <c r="G152" s="635">
        <f>+G150+G151</f>
        <v>1431627.51</v>
      </c>
      <c r="H152" s="1089">
        <f>+H150+H151</f>
        <v>1431627.51</v>
      </c>
      <c r="K152" s="267"/>
    </row>
    <row r="153" spans="1:11">
      <c r="A153" s="76">
        <f t="shared" si="5"/>
        <v>99</v>
      </c>
      <c r="B153" s="33"/>
      <c r="C153" s="25" t="s">
        <v>89</v>
      </c>
      <c r="D153" s="14"/>
      <c r="E153" s="30"/>
      <c r="F153" s="136" t="str">
        <f>"(Line "&amp;A$35&amp;")"</f>
        <v>(Line 18)</v>
      </c>
      <c r="G153" s="92">
        <f>+G$35</f>
        <v>0.11937650535658385</v>
      </c>
      <c r="H153" s="1088">
        <f>+H$35</f>
        <v>0.11532318955835009</v>
      </c>
      <c r="K153" s="267"/>
    </row>
    <row r="154" spans="1:11" ht="15.6">
      <c r="A154" s="76">
        <f t="shared" si="5"/>
        <v>100</v>
      </c>
      <c r="B154" s="33"/>
      <c r="C154" s="291" t="s">
        <v>76</v>
      </c>
      <c r="D154" s="289"/>
      <c r="E154" s="36"/>
      <c r="F154" s="135" t="str">
        <f>"(Line "&amp;A152&amp;" * "&amp;A153&amp;")"</f>
        <v>(Line 98 * 99)</v>
      </c>
      <c r="G154" s="657">
        <f>+G153*G152</f>
        <v>170902.68911614781</v>
      </c>
      <c r="H154" s="1099">
        <f>+H153*H152</f>
        <v>165099.85071267874</v>
      </c>
      <c r="K154" s="267"/>
    </row>
    <row r="155" spans="1:11" ht="15.6">
      <c r="A155" s="76">
        <f t="shared" si="5"/>
        <v>101</v>
      </c>
      <c r="B155" s="7"/>
      <c r="C155" s="5"/>
      <c r="D155" s="9"/>
      <c r="E155" s="55"/>
      <c r="F155" s="133"/>
      <c r="G155" s="662"/>
      <c r="H155" s="1105"/>
      <c r="K155" s="267"/>
    </row>
    <row r="156" spans="1:11" ht="16.2" thickBot="1">
      <c r="A156" s="76">
        <f t="shared" si="5"/>
        <v>102</v>
      </c>
      <c r="B156" s="3" t="s">
        <v>103</v>
      </c>
      <c r="C156" s="3"/>
      <c r="D156" s="19"/>
      <c r="E156" s="57"/>
      <c r="F156" s="71" t="str">
        <f>"(Line "&amp;A130&amp;" + "&amp;A143&amp;" + "&amp;A148&amp;" + "&amp;A154&amp;")"</f>
        <v>(Line 80 + 91 + 94 + 100)</v>
      </c>
      <c r="G156" s="665">
        <f>+G130+G143+G148+G154</f>
        <v>6594891.8824043535</v>
      </c>
      <c r="H156" s="1107">
        <f>+H130+H143+H148+H154</f>
        <v>6589089.0440008845</v>
      </c>
      <c r="K156" s="267"/>
    </row>
    <row r="157" spans="1:11" ht="16.2" thickTop="1">
      <c r="A157" s="110"/>
      <c r="B157" s="7"/>
      <c r="C157" s="5"/>
      <c r="D157" s="9"/>
      <c r="E157" s="55"/>
      <c r="F157" s="133"/>
      <c r="G157" s="72"/>
      <c r="H157" s="1079"/>
      <c r="K157" s="267"/>
    </row>
    <row r="158" spans="1:11" ht="15.6">
      <c r="A158" s="1068" t="s">
        <v>97</v>
      </c>
      <c r="B158" s="249"/>
      <c r="C158" s="250"/>
      <c r="D158" s="250"/>
      <c r="E158" s="251"/>
      <c r="F158" s="252"/>
      <c r="G158" s="253"/>
      <c r="H158" s="1080"/>
      <c r="K158" s="267"/>
    </row>
    <row r="159" spans="1:11" ht="15.6">
      <c r="A159" s="121"/>
      <c r="B159" s="7"/>
      <c r="C159" s="5"/>
      <c r="D159" s="9"/>
      <c r="E159" s="55"/>
      <c r="F159" s="133"/>
      <c r="G159" s="72"/>
      <c r="H159" s="1079"/>
      <c r="K159" s="267"/>
    </row>
    <row r="160" spans="1:11" ht="15.6">
      <c r="A160" s="109"/>
      <c r="B160" s="26" t="s">
        <v>467</v>
      </c>
      <c r="C160" s="15"/>
      <c r="D160" s="9"/>
      <c r="E160" s="36"/>
      <c r="F160" s="159"/>
      <c r="G160" s="160"/>
      <c r="H160" s="1108"/>
      <c r="K160" s="267"/>
    </row>
    <row r="161" spans="1:11">
      <c r="A161" s="106">
        <f>+A156+1</f>
        <v>103</v>
      </c>
      <c r="B161" s="122"/>
      <c r="C161" s="61" t="s">
        <v>63</v>
      </c>
      <c r="D161" s="33"/>
      <c r="E161" s="36" t="str">
        <f>"(Note "&amp;A$323&amp;")"</f>
        <v>(Note P)</v>
      </c>
      <c r="F161" s="1943" t="str">
        <f>+"WP18 Deprec Line "&amp;'WP18 Deprec'!A50&amp;" Column C"</f>
        <v>WP18 Deprec Line 6.13 Column C</v>
      </c>
      <c r="G161" s="1673">
        <f>+'WP18 Deprec'!$E50</f>
        <v>2288023.85</v>
      </c>
      <c r="H161" s="1674">
        <f>+'WP18 Deprec'!$E50</f>
        <v>2288023.85</v>
      </c>
      <c r="J161" s="457" t="s">
        <v>1450</v>
      </c>
      <c r="K161" s="267"/>
    </row>
    <row r="162" spans="1:11">
      <c r="A162" s="106">
        <f t="shared" ref="A162:A170" si="6">+A161+1</f>
        <v>104</v>
      </c>
      <c r="B162" s="122"/>
      <c r="C162" s="58"/>
      <c r="D162" s="9"/>
      <c r="E162" s="33"/>
      <c r="F162" s="145"/>
      <c r="G162" s="635"/>
      <c r="H162" s="1089"/>
      <c r="J162" s="457"/>
      <c r="K162" s="267"/>
    </row>
    <row r="163" spans="1:11">
      <c r="A163" s="106">
        <f t="shared" si="6"/>
        <v>105</v>
      </c>
      <c r="B163" s="115"/>
      <c r="C163" s="58" t="s">
        <v>90</v>
      </c>
      <c r="D163" s="9"/>
      <c r="E163" s="36" t="str">
        <f>"(Note "&amp;A$308&amp;")"</f>
        <v>(Note A)</v>
      </c>
      <c r="F163" s="1943" t="str">
        <f>+"WP18 Deprec Line "&amp;'WP18 Deprec'!A35&amp;"0 Column C"</f>
        <v>WP18 Deprec Line 4.10 Column C</v>
      </c>
      <c r="G163" s="1675">
        <f>+'WP18 Deprec'!E35</f>
        <v>4615630.43</v>
      </c>
      <c r="H163" s="1676">
        <f>+'WP18 Deprec'!E35</f>
        <v>4615630.43</v>
      </c>
      <c r="J163" s="457" t="s">
        <v>1450</v>
      </c>
      <c r="K163" s="267"/>
    </row>
    <row r="164" spans="1:11" s="267" customFormat="1">
      <c r="A164" s="106">
        <f t="shared" si="6"/>
        <v>106</v>
      </c>
      <c r="B164" s="122"/>
      <c r="C164" s="58" t="s">
        <v>545</v>
      </c>
      <c r="D164" s="9"/>
      <c r="E164" s="1944" t="str">
        <f>"(Notes "&amp;A$308&amp;" &amp; "&amp;A$323&amp;")"</f>
        <v>(Notes A &amp; P)</v>
      </c>
      <c r="F164" s="1943" t="str">
        <f>+"WP18 Deprec Line "&amp;'WP18 Deprec'!A22&amp;" Column C"</f>
        <v>WP18 Deprec Line 2.14 Column C</v>
      </c>
      <c r="G164" s="1677">
        <f>+'WP18 Deprec'!$E22</f>
        <v>1591319.27</v>
      </c>
      <c r="H164" s="1678">
        <f>+'WP18 Deprec'!$E22</f>
        <v>1591319.27</v>
      </c>
      <c r="J164" s="457" t="s">
        <v>1450</v>
      </c>
    </row>
    <row r="165" spans="1:11" s="267" customFormat="1">
      <c r="A165" s="106">
        <f t="shared" si="6"/>
        <v>107</v>
      </c>
      <c r="B165" s="466"/>
      <c r="C165" s="25" t="s">
        <v>1451</v>
      </c>
      <c r="D165" s="465"/>
      <c r="E165" s="1945" t="str">
        <f>"(Notes "&amp;A$339&amp;" &amp; "&amp;A$345&amp;")"</f>
        <v>(Notes FF &amp; LL)</v>
      </c>
      <c r="F165" s="265" t="str">
        <f>+"WP02 Support Line "&amp;'WP02 Support'!A147&amp;" Column "&amp;'WP02 Support'!$D$5</f>
        <v>WP02 Support Line 48 Column C</v>
      </c>
      <c r="G165" s="918">
        <f>+'WP02 Support'!D147</f>
        <v>2326530.4300000002</v>
      </c>
      <c r="H165" s="1110">
        <f>+'WP02 Support'!D147</f>
        <v>2326530.4300000002</v>
      </c>
      <c r="J165" s="457" t="s">
        <v>1809</v>
      </c>
    </row>
    <row r="166" spans="1:11">
      <c r="A166" s="106">
        <f t="shared" si="6"/>
        <v>108</v>
      </c>
      <c r="B166" s="115"/>
      <c r="C166" s="58" t="s">
        <v>114</v>
      </c>
      <c r="D166" s="9"/>
      <c r="E166" s="33"/>
      <c r="F166" s="1017" t="str">
        <f>"(Line "&amp;A163&amp;" + "&amp;A164&amp;" + "&amp;A165&amp;")"</f>
        <v>(Line 105 + 106 + 107)</v>
      </c>
      <c r="G166" s="635">
        <f>+G164+G165+G163</f>
        <v>8533480.129999999</v>
      </c>
      <c r="H166" s="1089">
        <f>+H164+H165+H163</f>
        <v>8533480.129999999</v>
      </c>
      <c r="K166" s="267"/>
    </row>
    <row r="167" spans="1:11">
      <c r="A167" s="76">
        <f t="shared" si="6"/>
        <v>109</v>
      </c>
      <c r="B167" s="115"/>
      <c r="C167" s="25" t="s">
        <v>111</v>
      </c>
      <c r="D167" s="12"/>
      <c r="E167" s="75"/>
      <c r="F167" s="144" t="str">
        <f>"(Line "&amp;A$24&amp;")"</f>
        <v>(Line 11)</v>
      </c>
      <c r="G167" s="92">
        <f>+G24</f>
        <v>8.8878035802894981E-2</v>
      </c>
      <c r="H167" s="1084">
        <f>H$24</f>
        <v>8.8878035802894981E-2</v>
      </c>
      <c r="K167" s="267"/>
    </row>
    <row r="168" spans="1:11" ht="15.6">
      <c r="A168" s="76">
        <f t="shared" si="6"/>
        <v>110</v>
      </c>
      <c r="B168" s="115"/>
      <c r="C168" s="41" t="s">
        <v>264</v>
      </c>
      <c r="D168" s="9"/>
      <c r="E168" s="9"/>
      <c r="F168" s="135" t="str">
        <f>"(Line "&amp;A166&amp;" * "&amp;A167&amp;")"</f>
        <v>(Line 108 * 109)</v>
      </c>
      <c r="G168" s="657">
        <f>(+G166*G167)</f>
        <v>758438.95251743286</v>
      </c>
      <c r="H168" s="1099">
        <f>(+H166*H167)</f>
        <v>758438.95251743286</v>
      </c>
      <c r="K168" s="267"/>
    </row>
    <row r="169" spans="1:11">
      <c r="A169" s="76">
        <f t="shared" si="6"/>
        <v>111</v>
      </c>
      <c r="B169" s="123"/>
      <c r="C169" s="58"/>
      <c r="D169" s="9"/>
      <c r="E169" s="33"/>
      <c r="F169" s="145"/>
      <c r="G169" s="635"/>
      <c r="H169" s="1089"/>
      <c r="K169" s="267"/>
    </row>
    <row r="170" spans="1:11" s="1" customFormat="1" ht="16.2" thickBot="1">
      <c r="A170" s="76">
        <f t="shared" si="6"/>
        <v>112</v>
      </c>
      <c r="B170" s="59" t="s">
        <v>98</v>
      </c>
      <c r="C170" s="59"/>
      <c r="D170" s="16"/>
      <c r="E170" s="60"/>
      <c r="F170" s="71" t="str">
        <f>"(Line "&amp;A161&amp;" + "&amp;A168&amp;")"</f>
        <v>(Line 103 + 110)</v>
      </c>
      <c r="G170" s="99">
        <f>+G161+G168</f>
        <v>3046462.8025174327</v>
      </c>
      <c r="H170" s="1111">
        <f>+H161+H168</f>
        <v>3046462.8025174327</v>
      </c>
      <c r="J170" s="1723"/>
      <c r="K170" s="37"/>
    </row>
    <row r="171" spans="1:11" ht="15.6" thickTop="1">
      <c r="A171" s="118"/>
      <c r="B171" s="6"/>
      <c r="C171" s="6"/>
      <c r="D171" s="6"/>
      <c r="E171" s="28"/>
      <c r="F171" s="134"/>
      <c r="G171" s="658"/>
      <c r="H171" s="1101"/>
      <c r="K171" s="267"/>
    </row>
    <row r="172" spans="1:11" ht="15.6">
      <c r="A172" s="1068" t="s">
        <v>40</v>
      </c>
      <c r="B172" s="249"/>
      <c r="C172" s="250"/>
      <c r="D172" s="250"/>
      <c r="E172" s="251"/>
      <c r="F172" s="252"/>
      <c r="G172" s="660"/>
      <c r="H172" s="1112"/>
      <c r="K172" s="267"/>
    </row>
    <row r="173" spans="1:11" ht="15.6">
      <c r="A173" s="113"/>
      <c r="B173" s="7"/>
      <c r="C173" s="5"/>
      <c r="D173" s="9"/>
      <c r="E173" s="108"/>
      <c r="F173" s="133"/>
      <c r="G173" s="667"/>
      <c r="H173" s="1113"/>
      <c r="K173" s="267"/>
    </row>
    <row r="174" spans="1:11" ht="15.6">
      <c r="A174" s="76">
        <f>+A170+1</f>
        <v>113</v>
      </c>
      <c r="B174" s="41"/>
      <c r="C174" s="9" t="s">
        <v>539</v>
      </c>
      <c r="D174" s="9"/>
      <c r="E174" s="36"/>
      <c r="F174" s="131" t="str">
        <f>+"WP13 TOTI Line "&amp;'WP13 TOTI'!A39&amp;" Column "&amp;'WP13 TOTI'!E$5</f>
        <v>WP13 TOTI Line 2 Column D</v>
      </c>
      <c r="G174" s="654">
        <f>+'WP13 TOTI'!E39</f>
        <v>0</v>
      </c>
      <c r="H174" s="1078">
        <f>+'WP13 TOTI'!E39</f>
        <v>0</v>
      </c>
      <c r="K174" s="267"/>
    </row>
    <row r="175" spans="1:11">
      <c r="A175" s="76">
        <f t="shared" ref="A175:A185" si="7">+A174+1</f>
        <v>114</v>
      </c>
      <c r="B175" s="115"/>
      <c r="C175" s="9"/>
      <c r="D175" s="9"/>
      <c r="E175" s="36"/>
      <c r="F175" s="131"/>
      <c r="G175" s="654"/>
      <c r="H175" s="1078"/>
      <c r="K175" s="267"/>
    </row>
    <row r="176" spans="1:11">
      <c r="A176" s="76">
        <f t="shared" si="7"/>
        <v>115</v>
      </c>
      <c r="B176" s="115"/>
      <c r="C176" s="9" t="s">
        <v>546</v>
      </c>
      <c r="D176" s="9"/>
      <c r="E176" s="36"/>
      <c r="F176" s="131" t="str">
        <f>+"WP13 TOTI Line "&amp;'WP13 TOTI'!A$39&amp;" Column "&amp;'WP13 TOTI'!F$5</f>
        <v>WP13 TOTI Line 2 Column E</v>
      </c>
      <c r="G176" s="654">
        <f>+'WP13 TOTI'!F39</f>
        <v>13362523.950000001</v>
      </c>
      <c r="H176" s="1078">
        <f>+'WP13 TOTI'!F39</f>
        <v>13362523.950000001</v>
      </c>
      <c r="K176" s="267"/>
    </row>
    <row r="177" spans="1:11">
      <c r="A177" s="76">
        <f t="shared" si="7"/>
        <v>116</v>
      </c>
      <c r="B177" s="115"/>
      <c r="C177" s="915" t="s">
        <v>547</v>
      </c>
      <c r="D177" s="9"/>
      <c r="E177" s="36" t="str">
        <f>"(Note "&amp;A$339&amp;")"</f>
        <v>(Note FF)</v>
      </c>
      <c r="F177" s="131" t="str">
        <f>+"WP02 Support Line "&amp;'WP02 Support'!A160&amp;" Column "&amp;'WP02 Support'!$D$5</f>
        <v>WP02 Support Line 53 Column C</v>
      </c>
      <c r="G177" s="463">
        <f>+'WP02 Support'!D160</f>
        <v>-16063.779999999999</v>
      </c>
      <c r="H177" s="1114">
        <f>+'WP02 Support'!D160</f>
        <v>-16063.779999999999</v>
      </c>
      <c r="I177" s="267"/>
      <c r="K177" s="267"/>
    </row>
    <row r="178" spans="1:11">
      <c r="A178" s="76">
        <f t="shared" si="7"/>
        <v>117</v>
      </c>
      <c r="B178" s="115"/>
      <c r="C178" s="916" t="s">
        <v>548</v>
      </c>
      <c r="D178" s="9"/>
      <c r="E178" s="36"/>
      <c r="F178" s="135" t="str">
        <f>"(Line "&amp;A176&amp;" + "&amp;A177&amp;")"</f>
        <v>(Line 115 + 116)</v>
      </c>
      <c r="G178" s="654">
        <f>+G176+G177</f>
        <v>13346460.170000002</v>
      </c>
      <c r="H178" s="1078">
        <f>+H176+H177</f>
        <v>13346460.170000002</v>
      </c>
      <c r="K178" s="267"/>
    </row>
    <row r="179" spans="1:11">
      <c r="A179" s="76">
        <f t="shared" si="7"/>
        <v>118</v>
      </c>
      <c r="B179" s="33"/>
      <c r="C179" s="58" t="str">
        <f>+B32</f>
        <v>Gross Plant Allocator</v>
      </c>
      <c r="D179" s="14"/>
      <c r="E179" s="33"/>
      <c r="F179" s="135" t="str">
        <f>"(Line "&amp;A$32&amp;")"</f>
        <v>(Line 16)</v>
      </c>
      <c r="G179" s="92">
        <f>+G$32</f>
        <v>0.12944321840405568</v>
      </c>
      <c r="H179" s="1088">
        <f>+H$32</f>
        <v>0.13019338560856852</v>
      </c>
      <c r="K179" s="267"/>
    </row>
    <row r="180" spans="1:11">
      <c r="A180" s="76">
        <f t="shared" si="7"/>
        <v>119</v>
      </c>
      <c r="B180" s="115"/>
      <c r="C180" s="186" t="str">
        <f>+"Total Transmission Allocated "&amp;C178</f>
        <v>Total Transmission Allocated Total Plant Associated</v>
      </c>
      <c r="D180" s="9"/>
      <c r="E180" s="36"/>
      <c r="F180" s="135" t="str">
        <f>"(Line "&amp;A178&amp;" * "&amp;A179&amp;")"</f>
        <v>(Line 117 * 118)</v>
      </c>
      <c r="G180" s="635">
        <f>+G178*G179</f>
        <v>1727608.7587063403</v>
      </c>
      <c r="H180" s="1089">
        <f>+H178*H179</f>
        <v>1737620.8354222113</v>
      </c>
      <c r="K180" s="267"/>
    </row>
    <row r="181" spans="1:11">
      <c r="A181" s="76">
        <f t="shared" si="7"/>
        <v>120</v>
      </c>
      <c r="B181" s="115"/>
      <c r="C181" s="9"/>
      <c r="D181" s="9"/>
      <c r="E181" s="36"/>
      <c r="F181" s="131"/>
      <c r="G181" s="654"/>
      <c r="H181" s="1078"/>
      <c r="K181" s="267"/>
    </row>
    <row r="182" spans="1:11">
      <c r="A182" s="76">
        <f t="shared" si="7"/>
        <v>121</v>
      </c>
      <c r="B182" s="115"/>
      <c r="C182" s="9" t="s">
        <v>145</v>
      </c>
      <c r="D182" s="9"/>
      <c r="E182" s="36"/>
      <c r="F182" s="131" t="str">
        <f>+"WP13 TOTI Line "&amp;'WP13 TOTI'!A$39&amp;" Column "&amp;'WP13 TOTI'!G$5</f>
        <v>WP13 TOTI Line 2 Column F</v>
      </c>
      <c r="G182" s="654">
        <f>+'WP13 TOTI'!G39</f>
        <v>1500772.820000001</v>
      </c>
      <c r="H182" s="1078">
        <f>+'WP13 TOTI'!G39</f>
        <v>1500772.820000001</v>
      </c>
      <c r="K182" s="267"/>
    </row>
    <row r="183" spans="1:11" s="267" customFormat="1" ht="15.6">
      <c r="A183" s="112">
        <f t="shared" si="7"/>
        <v>122</v>
      </c>
      <c r="B183" s="51"/>
      <c r="C183" s="9" t="s">
        <v>111</v>
      </c>
      <c r="D183" s="9"/>
      <c r="E183" s="52"/>
      <c r="F183" s="131" t="str">
        <f>"(Line "&amp;A$24&amp;")"</f>
        <v>(Line 11)</v>
      </c>
      <c r="G183" s="257">
        <f>+G$24</f>
        <v>8.8878035802894981E-2</v>
      </c>
      <c r="H183" s="1084">
        <f>H$24</f>
        <v>8.8878035802894981E-2</v>
      </c>
      <c r="J183" s="1724"/>
    </row>
    <row r="184" spans="1:11">
      <c r="A184" s="76">
        <f t="shared" si="7"/>
        <v>123</v>
      </c>
      <c r="B184" s="115"/>
      <c r="C184" s="25" t="str">
        <f>+"Total Transmission Allocated "&amp;C182</f>
        <v>Total Transmission Allocated Labor</v>
      </c>
      <c r="D184" s="67"/>
      <c r="E184" s="75"/>
      <c r="F184" s="136" t="str">
        <f>"(Line "&amp;A182&amp;" * "&amp;A183&amp;")"</f>
        <v>(Line 121 * 122)</v>
      </c>
      <c r="G184" s="902">
        <f>+G182*G183</f>
        <v>133385.74042797176</v>
      </c>
      <c r="H184" s="1090">
        <f>+H182*H183</f>
        <v>133385.74042797176</v>
      </c>
      <c r="K184" s="267"/>
    </row>
    <row r="185" spans="1:11" s="1" customFormat="1" ht="16.2" thickBot="1">
      <c r="A185" s="76">
        <f t="shared" si="7"/>
        <v>124</v>
      </c>
      <c r="B185" s="3" t="s">
        <v>468</v>
      </c>
      <c r="C185" s="3"/>
      <c r="D185" s="467"/>
      <c r="E185" s="162"/>
      <c r="F185" s="71" t="str">
        <f>"(Line "&amp;A174&amp;" + "&amp;A180&amp;" + "&amp;A184&amp;")"</f>
        <v>(Line 113 + 119 + 123)</v>
      </c>
      <c r="G185" s="594">
        <f>+G174+G180+G184</f>
        <v>1860994.4991343122</v>
      </c>
      <c r="H185" s="1085">
        <f>+H174+H180+H184</f>
        <v>1871006.5758501831</v>
      </c>
      <c r="J185" s="1724"/>
      <c r="K185" s="37"/>
    </row>
    <row r="186" spans="1:11" ht="15.6" thickTop="1">
      <c r="A186" s="109"/>
      <c r="B186" s="6"/>
      <c r="C186" s="6"/>
      <c r="D186" s="6"/>
      <c r="E186" s="28"/>
      <c r="F186" s="134"/>
      <c r="G186" s="85"/>
      <c r="H186" s="1098"/>
      <c r="K186" s="267"/>
    </row>
    <row r="187" spans="1:11" ht="15.6">
      <c r="A187" s="1069" t="s">
        <v>747</v>
      </c>
      <c r="B187" s="249"/>
      <c r="C187" s="249"/>
      <c r="D187" s="250"/>
      <c r="E187" s="251"/>
      <c r="F187" s="254"/>
      <c r="G187" s="248"/>
      <c r="H187" s="1115"/>
      <c r="J187" s="1725"/>
      <c r="K187" s="267"/>
    </row>
    <row r="188" spans="1:11" ht="15.6">
      <c r="A188" s="113"/>
      <c r="B188" s="7"/>
      <c r="C188" s="5"/>
      <c r="D188" s="9"/>
      <c r="E188" s="55"/>
      <c r="F188" s="133"/>
      <c r="G188" s="72"/>
      <c r="H188" s="1079"/>
      <c r="J188" s="1725"/>
      <c r="K188" s="267"/>
    </row>
    <row r="189" spans="1:11" ht="15.6">
      <c r="A189" s="76">
        <f>+A185+1</f>
        <v>125</v>
      </c>
      <c r="B189" s="33"/>
      <c r="C189" s="58" t="s">
        <v>748</v>
      </c>
      <c r="D189" s="9"/>
      <c r="E189" s="158" t="s">
        <v>751</v>
      </c>
      <c r="F189" s="131"/>
      <c r="G189" s="212">
        <v>0</v>
      </c>
      <c r="H189" s="1092">
        <v>0</v>
      </c>
      <c r="J189" s="1725"/>
      <c r="K189" s="267"/>
    </row>
    <row r="190" spans="1:11" ht="15.6">
      <c r="A190" s="76">
        <f>+A189+1</f>
        <v>126</v>
      </c>
      <c r="B190" s="33"/>
      <c r="C190" s="58" t="s">
        <v>749</v>
      </c>
      <c r="D190" s="9"/>
      <c r="E190" s="158" t="s">
        <v>751</v>
      </c>
      <c r="F190" s="131"/>
      <c r="G190" s="212">
        <v>0</v>
      </c>
      <c r="H190" s="1092">
        <v>0</v>
      </c>
      <c r="J190" s="1725"/>
      <c r="K190" s="267"/>
    </row>
    <row r="191" spans="1:11" ht="15.6">
      <c r="A191" s="76">
        <f>+A190+1</f>
        <v>127</v>
      </c>
      <c r="B191" s="33"/>
      <c r="C191" s="9" t="s">
        <v>111</v>
      </c>
      <c r="D191" s="9"/>
      <c r="E191" s="52"/>
      <c r="F191" s="131" t="str">
        <f>"(Line "&amp;A$24&amp;")"</f>
        <v>(Line 11)</v>
      </c>
      <c r="G191" s="257">
        <f>+G$24</f>
        <v>8.8878035802894981E-2</v>
      </c>
      <c r="H191" s="1084">
        <f>H$24</f>
        <v>8.8878035802894981E-2</v>
      </c>
      <c r="K191" s="267"/>
    </row>
    <row r="192" spans="1:11">
      <c r="A192" s="76">
        <f>+A191+1</f>
        <v>128</v>
      </c>
      <c r="B192" s="33"/>
      <c r="C192" s="25" t="str">
        <f>+"Total Allocated "&amp;C190</f>
        <v>Total Allocated (Gain) or Loss on Sales of General Plant Assets</v>
      </c>
      <c r="D192" s="67"/>
      <c r="E192" s="75"/>
      <c r="F192" s="136" t="str">
        <f>"(Line "&amp;A190&amp;" * "&amp;A191&amp;")"</f>
        <v>(Line 126 * 127)</v>
      </c>
      <c r="G192" s="902">
        <f>+G190*G191</f>
        <v>0</v>
      </c>
      <c r="H192" s="1090">
        <f>+H190*H191</f>
        <v>0</v>
      </c>
      <c r="K192" s="267"/>
    </row>
    <row r="193" spans="1:11" ht="16.2" thickBot="1">
      <c r="A193" s="76">
        <f>+A192+1</f>
        <v>129</v>
      </c>
      <c r="B193" s="1166" t="s">
        <v>750</v>
      </c>
      <c r="C193" s="1166"/>
      <c r="D193" s="467"/>
      <c r="E193" s="897" t="str">
        <f>"(Note "&amp;A$337&amp;")"</f>
        <v>(Note DD)</v>
      </c>
      <c r="F193" s="71" t="str">
        <f>"(Line "&amp;A189&amp;" + "&amp;A192&amp;")"</f>
        <v>(Line 125 + 128)</v>
      </c>
      <c r="G193" s="99">
        <f>+G189+G192</f>
        <v>0</v>
      </c>
      <c r="H193" s="1111">
        <f>+H189+H192</f>
        <v>0</v>
      </c>
      <c r="K193" s="267"/>
    </row>
    <row r="194" spans="1:11" ht="15.6" thickTop="1">
      <c r="A194" s="109"/>
      <c r="B194" s="6"/>
      <c r="C194" s="6"/>
      <c r="D194" s="6"/>
      <c r="E194" s="28"/>
      <c r="F194" s="134"/>
      <c r="G194" s="658"/>
      <c r="H194" s="1101"/>
      <c r="K194" s="267"/>
    </row>
    <row r="195" spans="1:11" ht="15.6">
      <c r="A195" s="1068" t="s">
        <v>91</v>
      </c>
      <c r="B195" s="249"/>
      <c r="C195" s="250"/>
      <c r="D195" s="250"/>
      <c r="E195" s="251"/>
      <c r="F195" s="252"/>
      <c r="G195" s="660"/>
      <c r="H195" s="1112"/>
      <c r="K195" s="267"/>
    </row>
    <row r="196" spans="1:11" ht="15.6">
      <c r="A196" s="125"/>
      <c r="B196" s="33"/>
      <c r="C196" s="5"/>
      <c r="D196" s="9"/>
      <c r="E196" s="108"/>
      <c r="F196" s="142"/>
      <c r="G196" s="667"/>
      <c r="H196" s="1113"/>
      <c r="K196" s="267"/>
    </row>
    <row r="197" spans="1:11">
      <c r="A197" s="76">
        <f>+A193+1</f>
        <v>130</v>
      </c>
      <c r="B197" s="156" t="s">
        <v>445</v>
      </c>
      <c r="C197" s="156"/>
      <c r="D197" s="267"/>
      <c r="E197" s="36" t="str">
        <f>"(Notes "&amp;A$325&amp;" &amp; "&amp;A$341&amp;")"</f>
        <v>(Notes R &amp; HH)</v>
      </c>
      <c r="F197" s="1018" t="str">
        <f>+"WP14 COC Line "&amp;'WP14 COC'!A12&amp;" Column "&amp;'WP14 COC'!Q5&amp;", Column O"</f>
        <v>WP14 COC Line 6 Column P, Column O</v>
      </c>
      <c r="G197" s="654">
        <f>+'WP14 COC'!$Q12</f>
        <v>324735230.76923078</v>
      </c>
      <c r="H197" s="1078">
        <f>+'WP14 COC'!$P12</f>
        <v>350000000</v>
      </c>
      <c r="K197" s="267"/>
    </row>
    <row r="198" spans="1:11">
      <c r="A198" s="76">
        <f>+A197+1</f>
        <v>131</v>
      </c>
      <c r="B198" s="156" t="s">
        <v>446</v>
      </c>
      <c r="C198" s="156"/>
      <c r="D198" s="267"/>
      <c r="E198" s="36" t="str">
        <f>"(Notes "&amp;A$325&amp;" &amp; "&amp;A$341&amp;")"</f>
        <v>(Notes R &amp; HH)</v>
      </c>
      <c r="F198" s="1018" t="str">
        <f>+"WP14 COC Line "&amp;'WP14 COC'!A20&amp;" Column "&amp;'WP14 COC'!Q5&amp;", Column O"</f>
        <v>WP14 COC Line 14 Column P, Column O</v>
      </c>
      <c r="G198" s="654">
        <f>+'WP14 COC'!Q20</f>
        <v>315765911.44</v>
      </c>
      <c r="H198" s="1078">
        <f>+'WP14 COC'!P20</f>
        <v>340214323.20999998</v>
      </c>
      <c r="K198" s="267"/>
    </row>
    <row r="199" spans="1:11">
      <c r="A199" s="76">
        <f>+A198+1</f>
        <v>132</v>
      </c>
      <c r="B199" s="156" t="s">
        <v>309</v>
      </c>
      <c r="C199" s="156"/>
      <c r="D199" s="267"/>
      <c r="E199" s="36" t="str">
        <f>"(Notes "&amp;A$324&amp;" &amp; "&amp;A$325&amp;")"</f>
        <v>(Notes Q &amp; R)</v>
      </c>
      <c r="F199" s="1018" t="str">
        <f>+"WP14 COC Line "&amp;'WP14 COC'!A30&amp;" Column O"</f>
        <v>WP14 COC Line 24 Column O</v>
      </c>
      <c r="G199" s="654">
        <f>'WP14 COC'!$P30</f>
        <v>16359507.030000001</v>
      </c>
      <c r="H199" s="1078">
        <f>'WP14 COC'!$P30</f>
        <v>16359507.030000001</v>
      </c>
      <c r="K199" s="267"/>
    </row>
    <row r="200" spans="1:11">
      <c r="A200" s="76">
        <f>+A199+1</f>
        <v>133</v>
      </c>
      <c r="B200" s="156" t="s">
        <v>71</v>
      </c>
      <c r="C200" s="156"/>
      <c r="D200" s="267"/>
      <c r="E200" s="36" t="str">
        <f>"(Note "&amp;A$341&amp;")"</f>
        <v>(Note HH)</v>
      </c>
      <c r="F200" s="1018" t="str">
        <f>+"WP14 COC Line "&amp;'WP14 COC'!A39&amp;" Column P, Column O"</f>
        <v>WP14 COC Line 33 Column P, Column O</v>
      </c>
      <c r="G200" s="100">
        <f>+'WP14 COC'!Q39</f>
        <v>20003721.100000001</v>
      </c>
      <c r="H200" s="1078">
        <f>+'WP14 COC'!P39</f>
        <v>20003721.100000001</v>
      </c>
      <c r="K200" s="267"/>
    </row>
    <row r="201" spans="1:11">
      <c r="A201" s="76">
        <f>+A200+1</f>
        <v>134</v>
      </c>
      <c r="B201" s="156" t="s">
        <v>44</v>
      </c>
      <c r="C201" s="917"/>
      <c r="D201" s="267"/>
      <c r="E201" s="1167"/>
      <c r="F201" s="1018" t="str">
        <f>+"WP14 COC Line "&amp;'WP14 COC'!A41&amp;" Column O"</f>
        <v>WP14 COC Line 35 Column O</v>
      </c>
      <c r="G201" s="100">
        <f>+'WP14 COC'!P41</f>
        <v>964740.5199999999</v>
      </c>
      <c r="H201" s="1078">
        <f>+'WP14 COC'!P41</f>
        <v>964740.5199999999</v>
      </c>
      <c r="K201" s="267"/>
    </row>
    <row r="202" spans="1:11">
      <c r="A202" s="76">
        <f>+A201+1</f>
        <v>135</v>
      </c>
      <c r="B202" s="156" t="s">
        <v>310</v>
      </c>
      <c r="C202" s="156"/>
      <c r="D202" s="267"/>
      <c r="E202" s="36" t="str">
        <f>"(Note "&amp;A$341&amp;")"</f>
        <v>(Note HH)</v>
      </c>
      <c r="F202" s="1018" t="str">
        <f>+"WP14 COC Line "&amp;'WP14 COC'!A48&amp;" Column P, Column O"</f>
        <v>WP14 COC Line 42 Column P, Column O</v>
      </c>
      <c r="G202" s="100">
        <f>+'WP14 COC'!Q48</f>
        <v>404640891.01384598</v>
      </c>
      <c r="H202" s="1078">
        <f>+'WP14 COC'!P48</f>
        <v>426721512.22999996</v>
      </c>
      <c r="K202" s="267"/>
    </row>
    <row r="203" spans="1:11">
      <c r="A203" s="76"/>
      <c r="B203" s="156"/>
      <c r="C203" s="156"/>
      <c r="D203" s="156"/>
      <c r="E203" s="156"/>
      <c r="F203" s="155"/>
      <c r="G203" s="157"/>
      <c r="H203" s="1116"/>
      <c r="K203" s="267"/>
    </row>
    <row r="204" spans="1:11">
      <c r="A204" s="76">
        <f>+A202+1</f>
        <v>136</v>
      </c>
      <c r="B204" s="15"/>
      <c r="C204" s="58" t="s">
        <v>282</v>
      </c>
      <c r="D204" s="61" t="s">
        <v>58</v>
      </c>
      <c r="E204" s="36"/>
      <c r="F204" s="261" t="str">
        <f>"(1 - (Line "&amp;A205&amp;" + Line "&amp;A206&amp;"))"</f>
        <v>(1 - (Line 137 + Line 138))</v>
      </c>
      <c r="G204" s="93">
        <f>IF((1-G205-G206)=1,0,1-G205-G206)</f>
        <v>0.4333386250688066</v>
      </c>
      <c r="H204" s="1117">
        <f>IF((1-H205-H206)=1,0,1-H205-H206)</f>
        <v>0.43929824908034709</v>
      </c>
      <c r="K204" s="267"/>
    </row>
    <row r="205" spans="1:11">
      <c r="A205" s="76">
        <f>+A204+1</f>
        <v>137</v>
      </c>
      <c r="B205" s="15"/>
      <c r="C205" s="58" t="s">
        <v>283</v>
      </c>
      <c r="D205" s="61" t="s">
        <v>71</v>
      </c>
      <c r="E205" s="36"/>
      <c r="F205" s="261" t="str">
        <f>"(Line "&amp;A200&amp;" / (Line "&amp;A$197&amp;" + Line "&amp;A$200&amp;" + Line "&amp;A$202&amp;"))"</f>
        <v>(Line 133 / (Line 130 + Line 133 + Line 135))</v>
      </c>
      <c r="G205" s="278">
        <f>IF((G197+G200+G202)=0,0,G200/(G197+G200+G202))</f>
        <v>2.6693700517804179E-2</v>
      </c>
      <c r="H205" s="1118">
        <f>IF((H197+H200+H202)=0,0,H200/(H197+H200+H202))</f>
        <v>2.5107427583775991E-2</v>
      </c>
      <c r="K205" s="267"/>
    </row>
    <row r="206" spans="1:11">
      <c r="A206" s="76">
        <f>+A205+1</f>
        <v>138</v>
      </c>
      <c r="B206" s="15"/>
      <c r="C206" s="58" t="s">
        <v>284</v>
      </c>
      <c r="D206" s="61" t="s">
        <v>54</v>
      </c>
      <c r="E206" s="36"/>
      <c r="F206" s="261" t="str">
        <f>"(Line "&amp;A202&amp;" / (Line "&amp;A$197&amp;" + Line "&amp;A$200&amp;" + Line "&amp;A$202&amp;"))"</f>
        <v>(Line 135 / (Line 130 + Line 133 + Line 135))</v>
      </c>
      <c r="G206" s="278">
        <f>IF((G197+G200+G202)=0,0,G202/(G197+G200+G202))</f>
        <v>0.53996767441338922</v>
      </c>
      <c r="H206" s="1118">
        <f>IF((H197+H200+H202)=0,0,H202/(H197+H200+H202))</f>
        <v>0.53559432333587687</v>
      </c>
      <c r="K206" s="267"/>
    </row>
    <row r="207" spans="1:11" ht="15.6">
      <c r="A207" s="76"/>
      <c r="B207" s="15"/>
      <c r="C207" s="158"/>
      <c r="D207" s="9"/>
      <c r="E207" s="36"/>
      <c r="F207" s="135"/>
      <c r="G207" s="539"/>
      <c r="H207" s="1118"/>
      <c r="K207" s="267"/>
    </row>
    <row r="208" spans="1:11" ht="31.2" customHeight="1">
      <c r="A208" s="240">
        <f>+A206+1</f>
        <v>139</v>
      </c>
      <c r="B208" s="241"/>
      <c r="C208" s="242" t="s">
        <v>129</v>
      </c>
      <c r="D208" s="2028" t="s">
        <v>511</v>
      </c>
      <c r="E208" s="2028"/>
      <c r="F208" s="255" t="str">
        <f>"(Line "&amp;A199&amp;" / Line "&amp;A198&amp;")"</f>
        <v>(Line 132 / Line 131)</v>
      </c>
      <c r="G208" s="93">
        <f>IF(G198=0,0,G199/G198)</f>
        <v>5.1808971257838073E-2</v>
      </c>
      <c r="H208" s="1117">
        <f>IF(H198=0,0,H199/H198)</f>
        <v>4.8085885613645858E-2</v>
      </c>
      <c r="J208" s="1751" t="s">
        <v>1560</v>
      </c>
      <c r="K208" s="267"/>
    </row>
    <row r="209" spans="1:11" ht="31.2" customHeight="1">
      <c r="A209" s="240">
        <f>+A208+1</f>
        <v>140</v>
      </c>
      <c r="B209" s="241"/>
      <c r="C209" s="242" t="s">
        <v>134</v>
      </c>
      <c r="D209" s="2028" t="s">
        <v>510</v>
      </c>
      <c r="E209" s="2028"/>
      <c r="F209" s="255" t="str">
        <f>"(Line "&amp;A201&amp;" / Line "&amp;A200&amp;")"</f>
        <v>(Line 134 / Line 133)</v>
      </c>
      <c r="G209" s="93">
        <f>IF(G201=0,0,G201/G200)</f>
        <v>4.8228052929612172E-2</v>
      </c>
      <c r="H209" s="1117">
        <f>IF(H201=0,0,H201/H200)</f>
        <v>4.8228052929612172E-2</v>
      </c>
      <c r="J209" s="1751" t="s">
        <v>1560</v>
      </c>
      <c r="K209" s="267"/>
    </row>
    <row r="210" spans="1:11">
      <c r="A210" s="76">
        <f>+A209+1</f>
        <v>141</v>
      </c>
      <c r="B210" s="15"/>
      <c r="C210" s="158" t="s">
        <v>130</v>
      </c>
      <c r="D210" s="61" t="s">
        <v>54</v>
      </c>
      <c r="E210" s="36" t="str">
        <f>"(Note "&amp;A317&amp;")"</f>
        <v>(Note J)</v>
      </c>
      <c r="F210" s="135"/>
      <c r="G210" s="211">
        <f>'App A Support'!D9</f>
        <v>0.11975081967213114</v>
      </c>
      <c r="H210" s="1119">
        <f>'App A Support'!B8</f>
        <v>0.1082</v>
      </c>
      <c r="J210" s="1726" t="s">
        <v>1520</v>
      </c>
      <c r="K210" s="267"/>
    </row>
    <row r="211" spans="1:11">
      <c r="A211" s="76"/>
      <c r="B211" s="15"/>
      <c r="C211" s="158"/>
      <c r="D211" s="61"/>
      <c r="E211" s="36"/>
      <c r="F211" s="135"/>
      <c r="G211" s="93"/>
      <c r="H211" s="1117"/>
      <c r="K211" s="267"/>
    </row>
    <row r="212" spans="1:11">
      <c r="A212" s="76">
        <f>+A210+1</f>
        <v>142</v>
      </c>
      <c r="B212" s="33"/>
      <c r="C212" s="58" t="s">
        <v>131</v>
      </c>
      <c r="D212" s="61"/>
      <c r="E212" s="36"/>
      <c r="F212" s="135" t="str">
        <f>"(Line "&amp;A204&amp;" * "&amp;A208&amp;")"</f>
        <v>(Line 136 * 139)</v>
      </c>
      <c r="G212" s="93">
        <f t="shared" ref="G212:H214" si="8">+G204*G208</f>
        <v>2.2450828371100871E-2</v>
      </c>
      <c r="H212" s="1117">
        <f t="shared" si="8"/>
        <v>2.1124045355552477E-2</v>
      </c>
      <c r="K212" s="267"/>
    </row>
    <row r="213" spans="1:11">
      <c r="A213" s="76">
        <f>+A212+1</f>
        <v>143</v>
      </c>
      <c r="B213" s="33"/>
      <c r="C213" s="58" t="s">
        <v>136</v>
      </c>
      <c r="D213" s="61"/>
      <c r="E213" s="36"/>
      <c r="F213" s="135" t="str">
        <f>"(Line "&amp;A205&amp;" * "&amp;A209&amp;")"</f>
        <v>(Line 137 * 140)</v>
      </c>
      <c r="G213" s="93">
        <f t="shared" si="8"/>
        <v>1.2873852014598757E-3</v>
      </c>
      <c r="H213" s="1117">
        <f t="shared" si="8"/>
        <v>1.2108823464367531E-3</v>
      </c>
      <c r="K213" s="267"/>
    </row>
    <row r="214" spans="1:11">
      <c r="A214" s="76">
        <f>+A213+1</f>
        <v>144</v>
      </c>
      <c r="B214" s="27"/>
      <c r="C214" s="13" t="s">
        <v>132</v>
      </c>
      <c r="D214" s="48"/>
      <c r="E214" s="31"/>
      <c r="F214" s="136" t="str">
        <f>"(Line "&amp;A206&amp;" * "&amp;A210&amp;")"</f>
        <v>(Line 138 * 141)</v>
      </c>
      <c r="G214" s="259">
        <f t="shared" si="8"/>
        <v>6.4661571607457793E-2</v>
      </c>
      <c r="H214" s="1120">
        <f t="shared" si="8"/>
        <v>5.7951305784941877E-2</v>
      </c>
      <c r="K214" s="267"/>
    </row>
    <row r="215" spans="1:11" s="1" customFormat="1" ht="15.6">
      <c r="A215" s="106">
        <f>+A214+1</f>
        <v>145</v>
      </c>
      <c r="B215" s="11" t="s">
        <v>59</v>
      </c>
      <c r="C215" s="11"/>
      <c r="D215" s="21"/>
      <c r="E215" s="32"/>
      <c r="F215" s="135" t="str">
        <f>"(Line "&amp;A212&amp;" + Line "&amp;A213&amp;" + Line "&amp;A214&amp;")"</f>
        <v>(Line 142 + Line 143 + Line 144)</v>
      </c>
      <c r="G215" s="260">
        <f>SUM(G212:G214)</f>
        <v>8.8399785180018536E-2</v>
      </c>
      <c r="H215" s="1121">
        <f>SUM(H212:H214)</f>
        <v>8.0286233486931105E-2</v>
      </c>
      <c r="J215" s="1723"/>
      <c r="K215" s="37"/>
    </row>
    <row r="216" spans="1:11" s="1" customFormat="1" ht="15.6">
      <c r="A216" s="124"/>
      <c r="B216" s="65"/>
      <c r="C216" s="11"/>
      <c r="D216" s="21"/>
      <c r="E216" s="32"/>
      <c r="F216" s="146"/>
      <c r="G216" s="94"/>
      <c r="H216" s="1122"/>
      <c r="J216" s="1723"/>
      <c r="K216" s="37"/>
    </row>
    <row r="217" spans="1:11" ht="16.2" thickBot="1">
      <c r="A217" s="106">
        <f>+A215+1</f>
        <v>146</v>
      </c>
      <c r="B217" s="18" t="s">
        <v>94</v>
      </c>
      <c r="C217" s="17"/>
      <c r="D217" s="16"/>
      <c r="E217" s="191"/>
      <c r="F217" s="139" t="str">
        <f>"(Line "&amp;A120&amp;" * Line "&amp;A215&amp;")"</f>
        <v>(Line 74 * Line 145)</v>
      </c>
      <c r="G217" s="139">
        <f>+G120*G215</f>
        <v>6599351.3363316851</v>
      </c>
      <c r="H217" s="1123">
        <f>+H120*H215</f>
        <v>6398710.5218431558</v>
      </c>
      <c r="K217" s="267"/>
    </row>
    <row r="218" spans="1:11" ht="15.6" thickTop="1">
      <c r="A218" s="106"/>
      <c r="B218" s="7"/>
      <c r="C218" s="54"/>
      <c r="D218" s="6"/>
      <c r="E218" s="28"/>
      <c r="F218" s="130"/>
      <c r="G218" s="95"/>
      <c r="H218" s="1124"/>
      <c r="K218" s="267"/>
    </row>
    <row r="219" spans="1:11" ht="15.6">
      <c r="A219" s="1068" t="s">
        <v>23</v>
      </c>
      <c r="B219" s="249"/>
      <c r="C219" s="250"/>
      <c r="D219" s="250"/>
      <c r="E219" s="251"/>
      <c r="F219" s="252"/>
      <c r="G219" s="253"/>
      <c r="H219" s="1080"/>
      <c r="K219" s="267"/>
    </row>
    <row r="220" spans="1:11" ht="15.6">
      <c r="A220" s="125"/>
      <c r="B220" s="7"/>
      <c r="C220" s="5"/>
      <c r="D220" s="9"/>
      <c r="E220" s="55"/>
      <c r="F220" s="133"/>
      <c r="G220" s="72"/>
      <c r="H220" s="1079"/>
      <c r="K220" s="267"/>
    </row>
    <row r="221" spans="1:11" ht="15.6">
      <c r="A221" s="106" t="s">
        <v>66</v>
      </c>
      <c r="B221" s="22" t="s">
        <v>95</v>
      </c>
      <c r="C221" s="6"/>
      <c r="D221" s="6"/>
      <c r="E221" s="55"/>
      <c r="F221" s="130"/>
      <c r="G221" s="278"/>
      <c r="H221" s="1118"/>
      <c r="K221" s="267"/>
    </row>
    <row r="222" spans="1:11">
      <c r="A222" s="106">
        <f>+A217+1</f>
        <v>147</v>
      </c>
      <c r="B222" s="7"/>
      <c r="C222" s="6" t="s">
        <v>93</v>
      </c>
      <c r="D222" s="9"/>
      <c r="E222" s="36" t="str">
        <f>"(Note "&amp;A$316&amp;")"</f>
        <v>(Note I)</v>
      </c>
      <c r="F222" s="133"/>
      <c r="G222" s="709">
        <v>0.35</v>
      </c>
      <c r="H222" s="1125">
        <v>0.35</v>
      </c>
      <c r="K222" s="267"/>
    </row>
    <row r="223" spans="1:11">
      <c r="A223" s="106">
        <f>+A222+1</f>
        <v>148</v>
      </c>
      <c r="B223" s="7"/>
      <c r="C223" s="126" t="s">
        <v>92</v>
      </c>
      <c r="D223" s="279"/>
      <c r="E223" s="36" t="str">
        <f>"(Note "&amp;A$316&amp;")"</f>
        <v>(Note I)</v>
      </c>
      <c r="F223" s="133"/>
      <c r="G223" s="709">
        <v>0.08</v>
      </c>
      <c r="H223" s="1125">
        <v>0.08</v>
      </c>
      <c r="K223" s="267"/>
    </row>
    <row r="224" spans="1:11">
      <c r="A224" s="106">
        <f>+A223+1</f>
        <v>149</v>
      </c>
      <c r="B224" s="7"/>
      <c r="C224" s="126" t="s">
        <v>509</v>
      </c>
      <c r="D224" s="689"/>
      <c r="E224" s="36" t="str">
        <f>"(Note "&amp;A$316&amp;")"</f>
        <v>(Note I)</v>
      </c>
      <c r="F224" s="133"/>
      <c r="G224" s="709">
        <v>1</v>
      </c>
      <c r="H224" s="1125">
        <v>1</v>
      </c>
      <c r="K224" s="588"/>
    </row>
    <row r="225" spans="1:11">
      <c r="A225" s="106">
        <f>+A224+1</f>
        <v>150</v>
      </c>
      <c r="B225" s="7"/>
      <c r="C225" s="126" t="s">
        <v>26</v>
      </c>
      <c r="D225" s="1009"/>
      <c r="E225" s="36"/>
      <c r="F225" s="133"/>
      <c r="G225" s="278">
        <f>IF(G222&gt;0,1-(((1-G223)*(1-G222))/(1-G223*G222*G224)),0)</f>
        <v>0.38477366255144019</v>
      </c>
      <c r="H225" s="1118">
        <f>IF(H222&gt;0,1-(((1-H223)*(1-H222))/(1-H223*H222*H224)),0)</f>
        <v>0.38477366255144019</v>
      </c>
      <c r="K225" s="588"/>
    </row>
    <row r="226" spans="1:11">
      <c r="A226" s="106">
        <f>+A225+1</f>
        <v>151</v>
      </c>
      <c r="B226" s="7"/>
      <c r="C226" s="126" t="s">
        <v>124</v>
      </c>
      <c r="D226" s="127"/>
      <c r="E226" s="28"/>
      <c r="F226" s="133"/>
      <c r="G226" s="96">
        <f>+G225/(1-G225)</f>
        <v>0.62541806020066848</v>
      </c>
      <c r="H226" s="1126">
        <f>+H225/(1-H225)</f>
        <v>0.62541806020066848</v>
      </c>
      <c r="K226" s="589"/>
    </row>
    <row r="227" spans="1:11">
      <c r="A227" s="106"/>
      <c r="B227" s="7"/>
      <c r="C227" s="6"/>
      <c r="D227" s="6"/>
      <c r="E227" s="128"/>
      <c r="F227" s="147"/>
      <c r="G227" s="97"/>
      <c r="H227" s="1127"/>
      <c r="K227" s="267"/>
    </row>
    <row r="228" spans="1:11" ht="15.6">
      <c r="A228" s="106"/>
      <c r="B228" s="22" t="s">
        <v>462</v>
      </c>
      <c r="C228" s="54"/>
      <c r="E228" s="36" t="str">
        <f>"(Note "&amp;A$316&amp;")"</f>
        <v>(Note I)</v>
      </c>
      <c r="F228" s="130"/>
      <c r="G228" s="98"/>
      <c r="H228" s="1128"/>
      <c r="K228" s="267"/>
    </row>
    <row r="229" spans="1:11">
      <c r="A229" s="106">
        <f>+A226+1</f>
        <v>152</v>
      </c>
      <c r="B229" s="7"/>
      <c r="C229" s="61" t="s">
        <v>606</v>
      </c>
      <c r="D229" s="108" t="s">
        <v>487</v>
      </c>
      <c r="E229" s="36" t="str">
        <f>"(Note "&amp;$A$308&amp;")"</f>
        <v>(Note A)</v>
      </c>
      <c r="F229" s="919" t="s">
        <v>258</v>
      </c>
      <c r="G229" s="212">
        <v>-109524</v>
      </c>
      <c r="H229" s="1092">
        <v>-109524</v>
      </c>
      <c r="J229" s="588"/>
      <c r="K229" s="267"/>
    </row>
    <row r="230" spans="1:11">
      <c r="A230" s="106" t="str">
        <f>+A$229&amp;"a"</f>
        <v>152a</v>
      </c>
      <c r="B230" s="7"/>
      <c r="C230" s="58" t="s">
        <v>89</v>
      </c>
      <c r="D230" s="108"/>
      <c r="E230" s="36"/>
      <c r="F230" s="1921" t="str">
        <f>"(Line "&amp;A$35&amp;")"</f>
        <v>(Line 18)</v>
      </c>
      <c r="G230" s="92">
        <f>+G35</f>
        <v>0.11937650535658385</v>
      </c>
      <c r="H230" s="1088">
        <f>+H35</f>
        <v>0.11532318955835009</v>
      </c>
      <c r="J230" s="588" t="s">
        <v>1472</v>
      </c>
      <c r="K230" s="267"/>
    </row>
    <row r="231" spans="1:11" ht="30">
      <c r="A231" s="240" t="s">
        <v>1765</v>
      </c>
      <c r="B231" s="163"/>
      <c r="C231" s="1922" t="s">
        <v>1766</v>
      </c>
      <c r="D231" s="1922"/>
      <c r="E231" s="1923"/>
      <c r="F231" s="1924" t="str">
        <f>+"WP22 IT Adj Line "&amp;'WP22 IT Adj'!A22&amp;" Column "&amp;'WP22 IT Adj'!C5</f>
        <v>WP22 IT Adj Line 5 Column C</v>
      </c>
      <c r="G231" s="1925">
        <f>+'WP22 IT Adj'!$C22</f>
        <v>51010.976608000004</v>
      </c>
      <c r="H231" s="1926">
        <f>+'WP22 IT Adj'!$C22</f>
        <v>51010.976608000004</v>
      </c>
      <c r="J231" s="588" t="s">
        <v>1472</v>
      </c>
      <c r="K231" s="267"/>
    </row>
    <row r="232" spans="1:11" ht="30">
      <c r="A232" s="240" t="s">
        <v>1767</v>
      </c>
      <c r="B232" s="163"/>
      <c r="C232" s="1922" t="s">
        <v>1768</v>
      </c>
      <c r="D232" s="14"/>
      <c r="E232" s="33"/>
      <c r="F232" s="1924" t="str">
        <f>+"WP22 IT Adj Line "&amp;'WP22 IT Adj'!A22&amp;" Column "&amp;'WP22 IT Adj'!D5</f>
        <v>WP22 IT Adj Line 5 Column D</v>
      </c>
      <c r="G232" s="1927">
        <f>+'WP22 IT Adj'!$D22</f>
        <v>50934.185711999999</v>
      </c>
      <c r="H232" s="1928">
        <f>+'WP22 IT Adj'!$D22</f>
        <v>50934.185711999999</v>
      </c>
      <c r="J232" s="588" t="s">
        <v>1473</v>
      </c>
      <c r="K232" s="267"/>
    </row>
    <row r="233" spans="1:11">
      <c r="A233" s="1929" t="s">
        <v>1769</v>
      </c>
      <c r="B233" s="33"/>
      <c r="C233" s="9" t="s">
        <v>111</v>
      </c>
      <c r="D233" s="14"/>
      <c r="E233" s="33"/>
      <c r="F233" s="131" t="str">
        <f>"(Line "&amp;A$24&amp;")"</f>
        <v>(Line 11)</v>
      </c>
      <c r="G233" s="1930">
        <f>+G$24</f>
        <v>8.8878035802894981E-2</v>
      </c>
      <c r="H233" s="1084">
        <f>H$24</f>
        <v>8.8878035802894981E-2</v>
      </c>
      <c r="J233" s="588"/>
      <c r="K233" s="267"/>
    </row>
    <row r="234" spans="1:11" ht="30">
      <c r="A234" s="240" t="s">
        <v>1770</v>
      </c>
      <c r="B234" s="163"/>
      <c r="C234" s="1931" t="s">
        <v>1764</v>
      </c>
      <c r="D234" s="108"/>
      <c r="E234" s="36"/>
      <c r="F234" s="1932" t="s">
        <v>1771</v>
      </c>
      <c r="G234" s="1933">
        <f>(G229*G230)+G231+(G232*G233)</f>
        <v>42463.314616627955</v>
      </c>
      <c r="H234" s="1934">
        <f>(H229*H230)+H231+(H232*H233)</f>
        <v>42907.249976113708</v>
      </c>
      <c r="J234" s="588"/>
      <c r="K234" s="267"/>
    </row>
    <row r="235" spans="1:11">
      <c r="A235" s="106">
        <f>+A229+1</f>
        <v>153</v>
      </c>
      <c r="B235" s="7"/>
      <c r="C235" s="61" t="s">
        <v>163</v>
      </c>
      <c r="D235" s="9"/>
      <c r="E235" s="7"/>
      <c r="F235" s="135" t="str">
        <f>"(1 / (1 - Line "&amp;A225&amp;"))"</f>
        <v>(1 / (1 - Line 150))</v>
      </c>
      <c r="G235" s="1935">
        <f>IF(G225=0,0,1/(1-G225))</f>
        <v>1.6254180602006685</v>
      </c>
      <c r="H235" s="1936">
        <f>IF(H225=0,0,1/(1-H225))</f>
        <v>1.6254180602006685</v>
      </c>
      <c r="J235" s="588"/>
      <c r="K235" s="267"/>
    </row>
    <row r="236" spans="1:11">
      <c r="A236" s="106">
        <f>+A235+1</f>
        <v>154</v>
      </c>
      <c r="B236" s="7"/>
      <c r="C236" s="54" t="s">
        <v>1772</v>
      </c>
      <c r="D236" s="12"/>
      <c r="E236" s="27"/>
      <c r="F236" s="1937"/>
      <c r="G236" s="1938"/>
      <c r="H236" s="1939"/>
      <c r="J236" s="588"/>
      <c r="K236" s="267"/>
    </row>
    <row r="237" spans="1:11" ht="15.6">
      <c r="A237" s="106">
        <f>+A236+1</f>
        <v>155</v>
      </c>
      <c r="B237" s="7"/>
      <c r="C237" s="2025" t="s">
        <v>1474</v>
      </c>
      <c r="D237" s="2026"/>
      <c r="E237" s="36"/>
      <c r="F237" s="1940" t="s">
        <v>1773</v>
      </c>
      <c r="G237" s="1941">
        <f>G234*G235</f>
        <v>69020.638473850107</v>
      </c>
      <c r="H237" s="1942">
        <f>H234*H235</f>
        <v>69742.219024719918</v>
      </c>
      <c r="J237" s="588" t="s">
        <v>1475</v>
      </c>
      <c r="K237" s="267"/>
    </row>
    <row r="238" spans="1:11" ht="15.6">
      <c r="A238" s="106"/>
      <c r="B238" s="7"/>
      <c r="C238" s="26"/>
      <c r="D238" s="9"/>
      <c r="E238" s="33"/>
      <c r="F238" s="148"/>
      <c r="G238" s="1369"/>
      <c r="H238" s="1370"/>
      <c r="J238" s="588"/>
      <c r="K238" s="267"/>
    </row>
    <row r="239" spans="1:11" ht="15.6">
      <c r="A239" s="106">
        <f>+A237+1</f>
        <v>156</v>
      </c>
      <c r="B239" s="68" t="s">
        <v>109</v>
      </c>
      <c r="C239" s="10"/>
      <c r="D239" s="2021" t="s">
        <v>505</v>
      </c>
      <c r="E239" s="2021"/>
      <c r="F239" s="2023" t="str">
        <f>"[Line "&amp;A226&amp;" * Line "&amp;A217&amp;" * (1 - (Line "&amp;A212&amp;" / Line "&amp;A215&amp;"))]"</f>
        <v>[Line 151 * Line 146 * (1 - (Line 142 / Line 145))]</v>
      </c>
      <c r="G239" s="73">
        <f>IF(G215=0,0,+G226*(1-G212/G215)*G217)</f>
        <v>3079132.5782176671</v>
      </c>
      <c r="H239" s="1083">
        <f>IF(H215=0,0,+H226*(1-H212/H215)*H217)</f>
        <v>2948940.6042763819</v>
      </c>
      <c r="K239" s="267"/>
    </row>
    <row r="240" spans="1:11">
      <c r="A240" s="106"/>
      <c r="B240" s="7"/>
      <c r="C240" s="8"/>
      <c r="D240" s="2022"/>
      <c r="E240" s="2022"/>
      <c r="F240" s="2024"/>
      <c r="G240" s="669"/>
      <c r="H240" s="1129"/>
      <c r="K240" s="267"/>
    </row>
    <row r="241" spans="1:11" ht="16.2" thickBot="1">
      <c r="A241" s="106">
        <f>+A239+1</f>
        <v>157</v>
      </c>
      <c r="B241" s="18" t="s">
        <v>51</v>
      </c>
      <c r="C241" s="18"/>
      <c r="D241" s="16"/>
      <c r="E241" s="29"/>
      <c r="F241" s="139" t="str">
        <f>"(Line "&amp;A237&amp;" + Line "&amp;A239&amp;")"</f>
        <v>(Line 155 + Line 156)</v>
      </c>
      <c r="G241" s="99">
        <f>+G239+G237</f>
        <v>3148153.2166915173</v>
      </c>
      <c r="H241" s="1111">
        <f>+H239+H237</f>
        <v>3018682.823301102</v>
      </c>
      <c r="K241" s="267"/>
    </row>
    <row r="242" spans="1:11" ht="15.6" thickTop="1">
      <c r="A242" s="106"/>
      <c r="B242" s="7"/>
      <c r="C242" s="62"/>
      <c r="D242" s="6"/>
      <c r="E242" s="28"/>
      <c r="F242" s="140"/>
      <c r="G242" s="635"/>
      <c r="H242" s="1089"/>
      <c r="K242" s="267"/>
    </row>
    <row r="243" spans="1:11" s="262" customFormat="1" ht="15.6">
      <c r="A243" s="1068" t="s">
        <v>481</v>
      </c>
      <c r="B243" s="249"/>
      <c r="C243" s="250"/>
      <c r="D243" s="250"/>
      <c r="E243" s="251"/>
      <c r="F243" s="252"/>
      <c r="G243" s="660"/>
      <c r="H243" s="1112"/>
      <c r="J243" s="1724"/>
      <c r="K243" s="263"/>
    </row>
    <row r="244" spans="1:11">
      <c r="A244" s="109"/>
      <c r="B244" s="10"/>
      <c r="C244" s="10"/>
      <c r="D244" s="10"/>
      <c r="E244" s="28"/>
      <c r="F244" s="134"/>
      <c r="G244" s="658"/>
      <c r="H244" s="1101"/>
      <c r="K244" s="267"/>
    </row>
    <row r="245" spans="1:11" ht="15.6">
      <c r="A245" s="109"/>
      <c r="B245" s="68" t="s">
        <v>52</v>
      </c>
      <c r="C245" s="10"/>
      <c r="D245" s="10"/>
      <c r="E245" s="28"/>
      <c r="F245" s="134"/>
      <c r="G245" s="658"/>
      <c r="H245" s="1101"/>
      <c r="K245" s="267"/>
    </row>
    <row r="246" spans="1:11">
      <c r="A246" s="112">
        <f>+A241+1</f>
        <v>158</v>
      </c>
      <c r="B246" s="15"/>
      <c r="C246" s="15" t="str">
        <f>+B63</f>
        <v>TOTAL Net Property, Plant &amp; Equipment - Transmission</v>
      </c>
      <c r="D246" s="15"/>
      <c r="E246" s="36"/>
      <c r="F246" s="130" t="str">
        <f>"(Line "&amp;A63&amp;")"</f>
        <v>(Line 35)</v>
      </c>
      <c r="G246" s="658">
        <f>+G63</f>
        <v>85543450.521634534</v>
      </c>
      <c r="H246" s="1101">
        <f>+H63</f>
        <v>90183002.309150055</v>
      </c>
      <c r="K246" s="267"/>
    </row>
    <row r="247" spans="1:11">
      <c r="A247" s="76">
        <f>+A246+1</f>
        <v>159</v>
      </c>
      <c r="B247" s="15"/>
      <c r="C247" s="15" t="s">
        <v>105</v>
      </c>
      <c r="D247" s="15"/>
      <c r="E247" s="36"/>
      <c r="F247" s="138" t="str">
        <f>"(Line "&amp;A118&amp;")"</f>
        <v>(Line 73)</v>
      </c>
      <c r="G247" s="658">
        <f>+G118</f>
        <v>-10889973.447084239</v>
      </c>
      <c r="H247" s="1101">
        <f>+H118</f>
        <v>-10484276.339090317</v>
      </c>
      <c r="K247" s="267"/>
    </row>
    <row r="248" spans="1:11" ht="15.6">
      <c r="A248" s="76">
        <f>+A247+1</f>
        <v>160</v>
      </c>
      <c r="B248" s="33"/>
      <c r="C248" s="293" t="s">
        <v>108</v>
      </c>
      <c r="D248" s="294"/>
      <c r="E248" s="468"/>
      <c r="F248" s="130" t="str">
        <f>"(Line "&amp;A120&amp;")"</f>
        <v>(Line 74)</v>
      </c>
      <c r="G248" s="670">
        <f>+G120</f>
        <v>74653477.074550301</v>
      </c>
      <c r="H248" s="1130">
        <f>+H120</f>
        <v>79698725.970059738</v>
      </c>
      <c r="K248" s="267"/>
    </row>
    <row r="249" spans="1:11">
      <c r="A249" s="76"/>
      <c r="B249" s="33"/>
      <c r="C249" s="61"/>
      <c r="D249" s="9"/>
      <c r="E249" s="108"/>
      <c r="F249" s="133"/>
      <c r="G249" s="658"/>
      <c r="H249" s="1101"/>
      <c r="K249" s="267"/>
    </row>
    <row r="250" spans="1:11">
      <c r="A250" s="76">
        <f>+A248+1</f>
        <v>161</v>
      </c>
      <c r="B250" s="9"/>
      <c r="C250" s="61" t="s">
        <v>127</v>
      </c>
      <c r="D250" s="9"/>
      <c r="E250" s="36"/>
      <c r="F250" s="130" t="str">
        <f>"(Line "&amp;A156&amp;")"</f>
        <v>(Line 102)</v>
      </c>
      <c r="G250" s="658">
        <f>+G156</f>
        <v>6594891.8824043535</v>
      </c>
      <c r="H250" s="1101">
        <f>+H156</f>
        <v>6589089.0440008845</v>
      </c>
      <c r="K250" s="267"/>
    </row>
    <row r="251" spans="1:11">
      <c r="A251" s="76">
        <f t="shared" ref="A251:A257" si="9">+A250+1</f>
        <v>162</v>
      </c>
      <c r="B251" s="9"/>
      <c r="C251" s="58" t="s">
        <v>96</v>
      </c>
      <c r="D251" s="9"/>
      <c r="E251" s="36"/>
      <c r="F251" s="130" t="str">
        <f>"(Line "&amp;A170&amp;")"</f>
        <v>(Line 112)</v>
      </c>
      <c r="G251" s="658">
        <f>+G170</f>
        <v>3046462.8025174327</v>
      </c>
      <c r="H251" s="1101">
        <f>+H170</f>
        <v>3046462.8025174327</v>
      </c>
      <c r="K251" s="267"/>
    </row>
    <row r="252" spans="1:11">
      <c r="A252" s="76">
        <f t="shared" si="9"/>
        <v>163</v>
      </c>
      <c r="B252" s="33"/>
      <c r="C252" s="61" t="s">
        <v>53</v>
      </c>
      <c r="D252" s="9"/>
      <c r="E252" s="108"/>
      <c r="F252" s="135" t="str">
        <f>"(Line "&amp;A185&amp;")"</f>
        <v>(Line 124)</v>
      </c>
      <c r="G252" s="658">
        <f>+G185</f>
        <v>1860994.4991343122</v>
      </c>
      <c r="H252" s="1101">
        <f>+H185</f>
        <v>1871006.5758501831</v>
      </c>
      <c r="K252" s="267"/>
    </row>
    <row r="253" spans="1:11">
      <c r="A253" s="76">
        <f t="shared" si="9"/>
        <v>164</v>
      </c>
      <c r="B253" s="33"/>
      <c r="C253" s="61" t="s">
        <v>747</v>
      </c>
      <c r="D253" s="9"/>
      <c r="E253" s="108"/>
      <c r="F253" s="135" t="str">
        <f>"(Line "&amp;A193&amp;")"</f>
        <v>(Line 129)</v>
      </c>
      <c r="G253" s="654">
        <f>G193</f>
        <v>0</v>
      </c>
      <c r="H253" s="1078">
        <f>H193</f>
        <v>0</v>
      </c>
      <c r="I253" s="986"/>
      <c r="K253" s="267"/>
    </row>
    <row r="254" spans="1:11">
      <c r="A254" s="76">
        <f t="shared" si="9"/>
        <v>165</v>
      </c>
      <c r="B254" s="33"/>
      <c r="C254" s="258" t="s">
        <v>119</v>
      </c>
      <c r="D254" s="9"/>
      <c r="E254" s="108"/>
      <c r="F254" s="135" t="str">
        <f>"(Line "&amp;A217&amp;")"</f>
        <v>(Line 146)</v>
      </c>
      <c r="G254" s="658">
        <f>+G217</f>
        <v>6599351.3363316851</v>
      </c>
      <c r="H254" s="1101">
        <f>+H217</f>
        <v>6398710.5218431558</v>
      </c>
      <c r="K254" s="267"/>
    </row>
    <row r="255" spans="1:11">
      <c r="A255" s="76">
        <f t="shared" si="9"/>
        <v>166</v>
      </c>
      <c r="B255" s="33"/>
      <c r="C255" s="258" t="s">
        <v>120</v>
      </c>
      <c r="D255" s="9"/>
      <c r="E255" s="108"/>
      <c r="F255" s="135" t="str">
        <f>"(Line "&amp;A241&amp;")"</f>
        <v>(Line 157)</v>
      </c>
      <c r="G255" s="658">
        <f>+G241</f>
        <v>3148153.2166915173</v>
      </c>
      <c r="H255" s="1101">
        <f>+H241</f>
        <v>3018682.823301102</v>
      </c>
      <c r="K255" s="267"/>
    </row>
    <row r="256" spans="1:11">
      <c r="A256" s="76">
        <f t="shared" si="9"/>
        <v>167</v>
      </c>
      <c r="B256" s="33"/>
      <c r="C256" s="258" t="s">
        <v>293</v>
      </c>
      <c r="D256" s="9"/>
      <c r="E256" s="36" t="str">
        <f>"(Note "&amp;A$327&amp;")"</f>
        <v>(Note T)</v>
      </c>
      <c r="F256" s="135"/>
      <c r="G256" s="212">
        <v>0</v>
      </c>
      <c r="H256" s="1092">
        <v>0</v>
      </c>
      <c r="I256" s="267"/>
      <c r="J256" s="1724" t="s">
        <v>1518</v>
      </c>
      <c r="K256" s="267"/>
    </row>
    <row r="257" spans="1:11">
      <c r="A257" s="76">
        <f t="shared" si="9"/>
        <v>168</v>
      </c>
      <c r="B257" s="33"/>
      <c r="C257" s="258" t="s">
        <v>294</v>
      </c>
      <c r="D257" s="9"/>
      <c r="E257" s="36" t="str">
        <f>"(Note "&amp;A$328&amp;")"</f>
        <v>(Note U)</v>
      </c>
      <c r="F257" s="135"/>
      <c r="G257" s="212">
        <v>0</v>
      </c>
      <c r="H257" s="1092">
        <v>0</v>
      </c>
      <c r="I257" s="267"/>
      <c r="J257" s="1724" t="s">
        <v>1518</v>
      </c>
      <c r="K257" s="267"/>
    </row>
    <row r="258" spans="1:11" ht="15.6" thickBot="1">
      <c r="A258" s="76"/>
      <c r="B258" s="33"/>
      <c r="C258" s="258"/>
      <c r="D258" s="9"/>
      <c r="E258" s="108"/>
      <c r="F258" s="142"/>
      <c r="G258" s="658"/>
      <c r="H258" s="1101"/>
      <c r="K258" s="267"/>
    </row>
    <row r="259" spans="1:11" ht="16.2" thickBot="1">
      <c r="A259" s="578">
        <f>+A257+1</f>
        <v>169</v>
      </c>
      <c r="B259" s="579"/>
      <c r="C259" s="580" t="s">
        <v>122</v>
      </c>
      <c r="D259" s="581"/>
      <c r="E259" s="1168"/>
      <c r="F259" s="1010" t="str">
        <f>"Sum of (Line "&amp;A250&amp;" to Line "&amp;A255&amp;") - Line "&amp;A256&amp;" - Line "&amp;A257</f>
        <v>Sum of (Line 161 to Line 166) - Line 167 - Line 168</v>
      </c>
      <c r="G259" s="672">
        <f>SUM(G250:G255)-G256-G257</f>
        <v>21249853.7370793</v>
      </c>
      <c r="H259" s="1131">
        <f>SUM(H250:H255)-H256-H257</f>
        <v>20923951.767512757</v>
      </c>
      <c r="I259" s="988"/>
      <c r="K259" s="267"/>
    </row>
    <row r="260" spans="1:11" ht="15.6">
      <c r="A260" s="124"/>
      <c r="B260" s="7"/>
      <c r="C260" s="5"/>
      <c r="D260" s="51"/>
      <c r="E260" s="583"/>
      <c r="F260" s="1169"/>
      <c r="G260" s="671"/>
      <c r="H260" s="1132"/>
      <c r="K260" s="267"/>
    </row>
    <row r="261" spans="1:11" ht="15.6">
      <c r="A261" s="124"/>
      <c r="B261" s="26" t="s">
        <v>77</v>
      </c>
      <c r="C261" s="5"/>
      <c r="D261" s="51"/>
      <c r="E261" s="583"/>
      <c r="F261" s="1169"/>
      <c r="G261" s="671"/>
      <c r="H261" s="1132"/>
      <c r="K261" s="267"/>
    </row>
    <row r="262" spans="1:11" ht="15.6">
      <c r="A262" s="76">
        <f>+A259+1</f>
        <v>170</v>
      </c>
      <c r="B262" s="33"/>
      <c r="C262" s="61" t="str">
        <f>+C42</f>
        <v>Total Transmission Plant In Service</v>
      </c>
      <c r="D262" s="51"/>
      <c r="E262" s="583"/>
      <c r="F262" s="135" t="str">
        <f>"(Line "&amp;A42&amp;")"</f>
        <v>(Line 21)</v>
      </c>
      <c r="G262" s="654">
        <f>+G42</f>
        <v>146329558.58307692</v>
      </c>
      <c r="H262" s="1078">
        <f>+H42</f>
        <v>149111533.93987826</v>
      </c>
      <c r="K262" s="267"/>
    </row>
    <row r="263" spans="1:11" ht="15.6">
      <c r="A263" s="76">
        <f>+A262+1</f>
        <v>171</v>
      </c>
      <c r="B263" s="33"/>
      <c r="C263" s="63" t="s">
        <v>78</v>
      </c>
      <c r="D263" s="582"/>
      <c r="E263" s="75" t="str">
        <f>"(Notes "&amp;A$309&amp;", "&amp;A$320&amp;", "&amp;A$326&amp;")"</f>
        <v>(Notes B, M, S)</v>
      </c>
      <c r="F263" s="136" t="str">
        <f>+"WP02 Support Line "&amp;'WP02 Support'!A169&amp;" Columns "&amp;'WP02 Support'!$D$5&amp;" &amp; "&amp;'WP02 Support'!F5</f>
        <v>WP02 Support Line 58 Columns C &amp; E</v>
      </c>
      <c r="G263" s="463">
        <f>'WP02 Support'!D169</f>
        <v>4182015.9907692331</v>
      </c>
      <c r="H263" s="1114">
        <f>'WP02 Support'!F169</f>
        <v>3308211.9100000011</v>
      </c>
      <c r="K263" s="267"/>
    </row>
    <row r="264" spans="1:11" ht="15.6">
      <c r="A264" s="76">
        <f>+A263+1</f>
        <v>172</v>
      </c>
      <c r="B264" s="33"/>
      <c r="C264" s="61" t="s">
        <v>79</v>
      </c>
      <c r="D264" s="51"/>
      <c r="E264" s="583"/>
      <c r="F264" s="135" t="str">
        <f>"(Line "&amp;A262&amp;" - Line "&amp;A263&amp;")"</f>
        <v>(Line 170 - Line 171)</v>
      </c>
      <c r="G264" s="654">
        <f>+G262-G263</f>
        <v>142147542.59230769</v>
      </c>
      <c r="H264" s="1078">
        <f>+H262-H263</f>
        <v>145803322.02987826</v>
      </c>
      <c r="K264" s="267"/>
    </row>
    <row r="265" spans="1:11" s="267" customFormat="1" ht="15.6">
      <c r="A265" s="76">
        <f>+A264+1</f>
        <v>173</v>
      </c>
      <c r="B265" s="33"/>
      <c r="C265" s="61" t="s">
        <v>80</v>
      </c>
      <c r="D265" s="51"/>
      <c r="E265" s="583"/>
      <c r="F265" s="135" t="str">
        <f>"(Line "&amp;A264&amp;" / Line "&amp;A262&amp;")"</f>
        <v>(Line 172 / Line 170)</v>
      </c>
      <c r="G265" s="1371">
        <f>IF(G262 =0, 0,+G264/G262)</f>
        <v>0.97142056580185099</v>
      </c>
      <c r="H265" s="1422">
        <f>IF(H262 =0, 0,+H264/H262)</f>
        <v>0.97781384294970863</v>
      </c>
      <c r="J265" s="1724"/>
    </row>
    <row r="266" spans="1:11" ht="15.6">
      <c r="A266" s="76">
        <f>+A265+1</f>
        <v>174</v>
      </c>
      <c r="B266" s="33"/>
      <c r="C266" s="63" t="s">
        <v>122</v>
      </c>
      <c r="D266" s="582"/>
      <c r="E266" s="1170"/>
      <c r="F266" s="136" t="str">
        <f>"(Line "&amp;A259&amp;")"</f>
        <v>(Line 169)</v>
      </c>
      <c r="G266" s="463">
        <f>+G259</f>
        <v>21249853.7370793</v>
      </c>
      <c r="H266" s="1114">
        <f>+H259</f>
        <v>20923951.767512757</v>
      </c>
      <c r="K266" s="267"/>
    </row>
    <row r="267" spans="1:11" ht="15.6">
      <c r="A267" s="76">
        <f>+A266+1</f>
        <v>175</v>
      </c>
      <c r="B267" s="33"/>
      <c r="C267" s="5" t="s">
        <v>81</v>
      </c>
      <c r="D267" s="51"/>
      <c r="E267" s="583"/>
      <c r="F267" s="135" t="str">
        <f>"(Line "&amp;A265&amp;" * Line "&amp;A266&amp;")"</f>
        <v>(Line 173 * Line 174)</v>
      </c>
      <c r="G267" s="656">
        <f>+G266*G265</f>
        <v>20642544.94048015</v>
      </c>
      <c r="H267" s="1097">
        <f>+H266*H265</f>
        <v>20459729.687485997</v>
      </c>
      <c r="K267" s="267"/>
    </row>
    <row r="268" spans="1:11" ht="15.6">
      <c r="A268" s="113"/>
      <c r="B268" s="7"/>
      <c r="C268" s="61"/>
      <c r="D268" s="9"/>
      <c r="E268" s="55"/>
      <c r="F268" s="133"/>
      <c r="G268" s="667"/>
      <c r="H268" s="1113"/>
      <c r="K268" s="267"/>
    </row>
    <row r="269" spans="1:11" ht="15.6">
      <c r="A269" s="1070"/>
      <c r="B269" s="41" t="s">
        <v>155</v>
      </c>
      <c r="C269" s="61"/>
      <c r="D269" s="9"/>
      <c r="E269" s="55"/>
      <c r="F269" s="133"/>
      <c r="G269" s="662"/>
      <c r="H269" s="1105"/>
      <c r="K269" s="267"/>
    </row>
    <row r="270" spans="1:11" ht="15.6">
      <c r="A270" s="1070"/>
      <c r="B270" s="41"/>
      <c r="C270" s="5" t="s">
        <v>753</v>
      </c>
      <c r="D270" s="9"/>
      <c r="E270" s="55"/>
      <c r="F270" s="133"/>
      <c r="G270" s="662"/>
      <c r="H270" s="1105"/>
      <c r="K270" s="267"/>
    </row>
    <row r="271" spans="1:11" ht="15.6">
      <c r="A271" s="112">
        <f>+A267+1</f>
        <v>176</v>
      </c>
      <c r="B271" s="41"/>
      <c r="C271" s="915" t="s">
        <v>137</v>
      </c>
      <c r="D271" s="9"/>
      <c r="E271" s="55"/>
      <c r="F271" s="131" t="str">
        <f>+"WP17 Rev Line "&amp;'WP17 Rev'!A$10&amp;" Column "&amp;'WP17 Rev'!D5</f>
        <v>WP17 Rev Line 2 Column C</v>
      </c>
      <c r="G271" s="654">
        <f>+'WP17 Rev'!D10</f>
        <v>1041642.26</v>
      </c>
      <c r="H271" s="1078">
        <f>+'WP17 Rev'!D10</f>
        <v>1041642.26</v>
      </c>
      <c r="K271" s="267"/>
    </row>
    <row r="272" spans="1:11" ht="15.6">
      <c r="A272" s="112">
        <f>+A271+1</f>
        <v>177</v>
      </c>
      <c r="B272" s="41"/>
      <c r="C272" s="915" t="s">
        <v>173</v>
      </c>
      <c r="D272" s="9"/>
      <c r="E272" s="55"/>
      <c r="F272" s="131" t="str">
        <f>+"WP17 Rev Line "&amp;'WP17 Rev'!A$10&amp;" Column "&amp;'WP17 Rev'!F5</f>
        <v>WP17 Rev Line 2 Column E</v>
      </c>
      <c r="G272" s="654">
        <f>+'WP17 Rev'!F10</f>
        <v>-41927.950000000114</v>
      </c>
      <c r="H272" s="1078">
        <f>+'WP17 Rev'!F10</f>
        <v>-41927.950000000114</v>
      </c>
      <c r="K272" s="267"/>
    </row>
    <row r="273" spans="1:11" ht="15.6">
      <c r="A273" s="112">
        <f t="shared" ref="A273:A275" si="10">+A272+1</f>
        <v>178</v>
      </c>
      <c r="B273" s="41"/>
      <c r="C273" s="915" t="str">
        <f>+B$24</f>
        <v>Wages &amp; Salary Allocator</v>
      </c>
      <c r="D273" s="9"/>
      <c r="E273" s="55"/>
      <c r="F273" s="131" t="str">
        <f>"(Line "&amp;A$24&amp;")"</f>
        <v>(Line 11)</v>
      </c>
      <c r="G273" s="257">
        <f>+G$24</f>
        <v>8.8878035802894981E-2</v>
      </c>
      <c r="H273" s="1084">
        <f>H$24</f>
        <v>8.8878035802894981E-2</v>
      </c>
      <c r="K273" s="267"/>
    </row>
    <row r="274" spans="1:11" ht="15.6">
      <c r="A274" s="112">
        <f t="shared" si="10"/>
        <v>179</v>
      </c>
      <c r="B274" s="41"/>
      <c r="C274" s="914" t="str">
        <f>+"Total Transmission Allocated "&amp;C272</f>
        <v>Total Transmission Allocated General Plant</v>
      </c>
      <c r="D274" s="9"/>
      <c r="E274" s="55"/>
      <c r="F274" s="136" t="str">
        <f>"(Line "&amp;A272&amp;" * Line "&amp;A273&amp;")"</f>
        <v>(Line 177 * Line 178)</v>
      </c>
      <c r="G274" s="902">
        <f>+G272*G273</f>
        <v>-3726.4738412420006</v>
      </c>
      <c r="H274" s="1090">
        <f>+H272*H273</f>
        <v>-3726.4738412420006</v>
      </c>
      <c r="K274" s="267"/>
    </row>
    <row r="275" spans="1:11" ht="15.6">
      <c r="A275" s="112">
        <f t="shared" si="10"/>
        <v>180</v>
      </c>
      <c r="B275" s="41"/>
      <c r="C275" s="58" t="s">
        <v>754</v>
      </c>
      <c r="D275" s="9"/>
      <c r="E275" s="55"/>
      <c r="F275" s="135" t="str">
        <f>"(Line "&amp;A271&amp;" + Line "&amp;A274&amp;")"</f>
        <v>(Line 176 + Line 179)</v>
      </c>
      <c r="G275" s="100">
        <f>+G271+G274</f>
        <v>1037915.786158758</v>
      </c>
      <c r="H275" s="1073">
        <f>+H271+H274</f>
        <v>1037915.786158758</v>
      </c>
      <c r="K275" s="267"/>
    </row>
    <row r="276" spans="1:11">
      <c r="A276" s="118"/>
      <c r="B276" s="7"/>
      <c r="C276" s="61"/>
      <c r="D276" s="9"/>
      <c r="F276" s="133"/>
      <c r="G276" s="662"/>
      <c r="H276" s="1105"/>
      <c r="K276" s="267"/>
    </row>
    <row r="277" spans="1:11" ht="15.6">
      <c r="A277" s="113"/>
      <c r="B277" s="26"/>
      <c r="C277" s="5" t="s">
        <v>755</v>
      </c>
      <c r="D277" s="9"/>
      <c r="E277" s="55"/>
      <c r="F277" s="142"/>
      <c r="G277" s="73"/>
      <c r="H277" s="1113"/>
      <c r="K277" s="267"/>
    </row>
    <row r="278" spans="1:11">
      <c r="A278" s="112">
        <f>+A275+1</f>
        <v>181</v>
      </c>
      <c r="B278" s="58"/>
      <c r="C278" s="1171" t="s">
        <v>780</v>
      </c>
      <c r="D278" s="9"/>
      <c r="E278" s="108"/>
      <c r="F278" s="131" t="str">
        <f>+"WP17 Rev Line "&amp;'WP17 Rev'!A$61&amp;" Column "&amp;'WP17 Rev'!D5</f>
        <v>WP17 Rev Line 7 Column C</v>
      </c>
      <c r="G278" s="100">
        <f>+'WP17 Rev'!$D61</f>
        <v>50252.591484357952</v>
      </c>
      <c r="H278" s="1073">
        <f>+'WP17 Rev'!$D61</f>
        <v>50252.591484357952</v>
      </c>
      <c r="K278" s="267"/>
    </row>
    <row r="279" spans="1:11">
      <c r="A279" s="76">
        <f t="shared" ref="A279:A287" si="11">+A278+1</f>
        <v>182</v>
      </c>
      <c r="B279" s="58"/>
      <c r="C279" s="1171" t="s">
        <v>782</v>
      </c>
      <c r="D279" s="9"/>
      <c r="E279" s="108"/>
      <c r="F279" s="131" t="str">
        <f>+"WP17 Rev Line "&amp;'WP17 Rev'!A$61&amp;" Column "&amp;'WP17 Rev'!E5</f>
        <v>WP17 Rev Line 7 Column D</v>
      </c>
      <c r="G279" s="663">
        <f>+'WP17 Rev'!$E61</f>
        <v>5673298.8485156428</v>
      </c>
      <c r="H279" s="1074">
        <f>+'WP17 Rev'!$E61</f>
        <v>5673298.8485156428</v>
      </c>
      <c r="K279" s="267"/>
    </row>
    <row r="280" spans="1:11" ht="15.6">
      <c r="A280" s="76">
        <f t="shared" si="11"/>
        <v>183</v>
      </c>
      <c r="B280" s="41"/>
      <c r="C280" s="915" t="s">
        <v>781</v>
      </c>
      <c r="D280" s="9"/>
      <c r="E280" s="36"/>
      <c r="F280" s="135" t="str">
        <f>"(Line "&amp;A278&amp;" + Line "&amp;A279&amp;")"</f>
        <v>(Line 181 + Line 182)</v>
      </c>
      <c r="G280" s="654">
        <f>SUM(G278:G279)</f>
        <v>5723551.4400000004</v>
      </c>
      <c r="H280" s="1078">
        <f>SUM(H278:H279)</f>
        <v>5723551.4400000004</v>
      </c>
      <c r="K280" s="267"/>
    </row>
    <row r="281" spans="1:11">
      <c r="A281" s="76">
        <f t="shared" si="11"/>
        <v>184</v>
      </c>
      <c r="B281" s="115"/>
      <c r="C281" s="915" t="s">
        <v>173</v>
      </c>
      <c r="D281" s="9"/>
      <c r="E281" s="36"/>
      <c r="F281" s="131" t="str">
        <f>+"WP17 Rev Line "&amp;'WP17 Rev'!A$61&amp;" Column "&amp;'WP17 Rev'!F5</f>
        <v>WP17 Rev Line 7 Column E</v>
      </c>
      <c r="G281" s="654">
        <f>+'WP17 Rev'!F61</f>
        <v>0</v>
      </c>
      <c r="H281" s="1078">
        <f>+'WP17 Rev'!F61</f>
        <v>0</v>
      </c>
      <c r="K281" s="267"/>
    </row>
    <row r="282" spans="1:11" s="267" customFormat="1" ht="15.6">
      <c r="A282" s="112">
        <f t="shared" si="11"/>
        <v>185</v>
      </c>
      <c r="B282" s="51"/>
      <c r="C282" s="915" t="str">
        <f>+B$24</f>
        <v>Wages &amp; Salary Allocator</v>
      </c>
      <c r="D282" s="9"/>
      <c r="E282" s="52"/>
      <c r="F282" s="131" t="str">
        <f>"(Line "&amp;A$24&amp;")"</f>
        <v>(Line 11)</v>
      </c>
      <c r="G282" s="257">
        <f>+G$24</f>
        <v>8.8878035802894981E-2</v>
      </c>
      <c r="H282" s="1084">
        <f>H$24</f>
        <v>8.8878035802894981E-2</v>
      </c>
      <c r="J282" s="1724"/>
    </row>
    <row r="283" spans="1:11">
      <c r="A283" s="76">
        <f t="shared" si="11"/>
        <v>186</v>
      </c>
      <c r="B283" s="115"/>
      <c r="C283" s="914" t="str">
        <f>+"Total Transmission Allocated "&amp;C281</f>
        <v>Total Transmission Allocated General Plant</v>
      </c>
      <c r="D283" s="67"/>
      <c r="E283" s="75"/>
      <c r="F283" s="136" t="str">
        <f>"(Line "&amp;A281&amp;" * "&amp;A282&amp;")"</f>
        <v>(Line 184 * 185)</v>
      </c>
      <c r="G283" s="902">
        <f>+G281*G282</f>
        <v>0</v>
      </c>
      <c r="H283" s="1090">
        <f>+H281*H282</f>
        <v>0</v>
      </c>
      <c r="K283" s="267"/>
    </row>
    <row r="284" spans="1:11">
      <c r="A284" s="76">
        <f t="shared" si="11"/>
        <v>187</v>
      </c>
      <c r="B284" s="15"/>
      <c r="C284" s="58" t="s">
        <v>439</v>
      </c>
      <c r="D284" s="9"/>
      <c r="E284" s="36"/>
      <c r="F284" s="135" t="str">
        <f>"(Line "&amp;A280&amp;" + "&amp;A283&amp;")"</f>
        <v>(Line 183 + 186)</v>
      </c>
      <c r="G284" s="100">
        <f>+G280+G283</f>
        <v>5723551.4400000004</v>
      </c>
      <c r="H284" s="1073">
        <f>+H280+H283</f>
        <v>5723551.4400000004</v>
      </c>
      <c r="K284" s="267"/>
    </row>
    <row r="285" spans="1:11">
      <c r="A285" s="76">
        <f t="shared" si="11"/>
        <v>188</v>
      </c>
      <c r="B285" s="15"/>
      <c r="C285" s="1011" t="str">
        <f>+"Less "&amp;C279</f>
        <v>Less Transmission Network &amp; LTF Service Revenues</v>
      </c>
      <c r="D285" s="9"/>
      <c r="E285" s="36"/>
      <c r="F285" s="131" t="str">
        <f>"(Line "&amp;A$279&amp;")"</f>
        <v>(Line 182)</v>
      </c>
      <c r="G285" s="1172">
        <f>+G279</f>
        <v>5673298.8485156428</v>
      </c>
      <c r="H285" s="1173">
        <f>+H279</f>
        <v>5673298.8485156428</v>
      </c>
      <c r="K285" s="267"/>
    </row>
    <row r="286" spans="1:11">
      <c r="A286" s="76">
        <f t="shared" si="11"/>
        <v>189</v>
      </c>
      <c r="B286" s="15"/>
      <c r="C286" s="1011" t="s">
        <v>672</v>
      </c>
      <c r="D286" s="9"/>
      <c r="E286" s="36" t="str">
        <f>"(Note "&amp;A$333&amp;")"</f>
        <v>(Note Z)</v>
      </c>
      <c r="F286" s="131" t="str">
        <f>+"WP17 Rev Line "&amp;'WP17 Rev'!A$52&amp;" Column "&amp;'WP17 Rev'!D5</f>
        <v>WP17 Rev Line 6.38 Column C</v>
      </c>
      <c r="G286" s="1172">
        <f>+'WP17 Rev'!$D52</f>
        <v>0</v>
      </c>
      <c r="H286" s="1173">
        <f>+'WP17 Rev'!$D52</f>
        <v>0</v>
      </c>
      <c r="I286" s="1013"/>
      <c r="K286" s="267"/>
    </row>
    <row r="287" spans="1:11">
      <c r="A287" s="76">
        <f t="shared" si="11"/>
        <v>190</v>
      </c>
      <c r="B287" s="15"/>
      <c r="C287" s="1012" t="s">
        <v>671</v>
      </c>
      <c r="D287" s="67"/>
      <c r="E287" s="75" t="str">
        <f>"(Note "&amp;A$334&amp;")"</f>
        <v>(Note AA)</v>
      </c>
      <c r="F287" s="265" t="str">
        <f>+"WP17 Rev Line "&amp;'WP17 Rev'!A$53&amp;" Column "&amp;'WP17 Rev'!D5</f>
        <v>WP17 Rev Line 6.39 Column C</v>
      </c>
      <c r="G287" s="730">
        <f>+'WP17 Rev'!D$53</f>
        <v>0</v>
      </c>
      <c r="H287" s="1174">
        <f>+'WP17 Rev'!E$53</f>
        <v>0</v>
      </c>
      <c r="I287" s="1013"/>
      <c r="K287" s="267"/>
    </row>
    <row r="288" spans="1:11">
      <c r="A288" s="76">
        <f>+A287+1</f>
        <v>191</v>
      </c>
      <c r="B288" s="15"/>
      <c r="C288" s="58" t="str">
        <f>+"Revenue Credits - "&amp;C278</f>
        <v>Revenue Credits - Transmission Service Other Revenue Credits</v>
      </c>
      <c r="D288" s="9"/>
      <c r="E288" s="36"/>
      <c r="F288" s="142" t="str">
        <f>"(Line "&amp;A284&amp;" - Line "&amp;A285&amp;" - Line "&amp;A286&amp;" - Line "&amp;A287&amp;")"</f>
        <v>(Line 187 - Line 188 - Line 189 - Line 190)</v>
      </c>
      <c r="G288" s="100">
        <f>+G284-G285-G286-G287</f>
        <v>50252.591484357603</v>
      </c>
      <c r="H288" s="1073">
        <f>+H284-H285-H286-H287</f>
        <v>50252.591484357603</v>
      </c>
      <c r="K288" s="267"/>
    </row>
    <row r="289" spans="1:173">
      <c r="A289" s="76">
        <f>+A288+1</f>
        <v>192</v>
      </c>
      <c r="B289" s="10"/>
      <c r="C289" s="58" t="s">
        <v>154</v>
      </c>
      <c r="D289" s="9"/>
      <c r="E289" s="36" t="str">
        <f>"(Note "&amp;A$321&amp;")"</f>
        <v>(Note N)</v>
      </c>
      <c r="F289" s="142"/>
      <c r="G289" s="212">
        <v>0</v>
      </c>
      <c r="H289" s="1092">
        <v>0</v>
      </c>
      <c r="J289" s="1724" t="s">
        <v>1518</v>
      </c>
      <c r="K289" s="267"/>
    </row>
    <row r="290" spans="1:173" ht="16.2" thickBot="1">
      <c r="A290" s="106"/>
      <c r="B290" s="7"/>
      <c r="C290" s="15"/>
      <c r="D290" s="15"/>
      <c r="E290" s="36"/>
      <c r="F290" s="142"/>
      <c r="G290" s="72"/>
      <c r="H290" s="1079"/>
      <c r="K290" s="267"/>
    </row>
    <row r="291" spans="1:173" s="1" customFormat="1" ht="16.2" thickBot="1">
      <c r="A291" s="578">
        <f>+A289+1</f>
        <v>193</v>
      </c>
      <c r="B291" s="149"/>
      <c r="C291" s="1003" t="s">
        <v>126</v>
      </c>
      <c r="D291" s="585"/>
      <c r="E291" s="1004"/>
      <c r="F291" s="1010" t="str">
        <f>"(Line "&amp;A267&amp;" - Line "&amp;A275&amp;" - Line "&amp;A288&amp;" + Line "&amp;A289&amp;")"</f>
        <v>(Line 175 - Line 180 - Line 191 + Line 192)</v>
      </c>
      <c r="G291" s="672">
        <f>+G267-G275-G288+G289</f>
        <v>19554376.562837034</v>
      </c>
      <c r="H291" s="1131">
        <f>+H267-H275-H288+H289</f>
        <v>19371561.309842881</v>
      </c>
      <c r="J291" s="1724"/>
      <c r="K291" s="267"/>
    </row>
    <row r="292" spans="1:173" ht="15.6">
      <c r="A292" s="113"/>
      <c r="B292" s="7"/>
      <c r="C292" s="15"/>
      <c r="D292" s="15"/>
      <c r="E292" s="36"/>
      <c r="F292" s="142"/>
      <c r="G292" s="673"/>
      <c r="H292" s="1113"/>
      <c r="I292" s="1"/>
      <c r="K292" s="267"/>
    </row>
    <row r="293" spans="1:173" ht="15.6">
      <c r="A293" s="76">
        <f>+A291+1</f>
        <v>194</v>
      </c>
      <c r="B293" s="33"/>
      <c r="C293" s="15" t="s">
        <v>982</v>
      </c>
      <c r="D293" s="15" t="s">
        <v>811</v>
      </c>
      <c r="E293" s="1175"/>
      <c r="F293" s="137" t="str">
        <f>+"WP01 True-Up Line "&amp;'WP01 True-Up'!A68&amp;" (EOY) Column "&amp;'WP01 True-Up'!F6</f>
        <v>WP01 True-Up Line 29 (EOY) Column E</v>
      </c>
      <c r="G293" s="654"/>
      <c r="H293" s="1073">
        <f>+'WP01 True-Up'!F68</f>
        <v>-7722317.2388786441</v>
      </c>
      <c r="I293" s="1"/>
      <c r="K293" s="37"/>
    </row>
    <row r="294" spans="1:173" ht="16.2" thickBot="1">
      <c r="A294" s="76"/>
      <c r="B294" s="33"/>
      <c r="C294" s="15"/>
      <c r="D294" s="15"/>
      <c r="E294" s="108"/>
      <c r="F294" s="137"/>
      <c r="G294" s="674"/>
      <c r="H294" s="1133"/>
      <c r="I294" s="1"/>
      <c r="J294" s="1723"/>
      <c r="K294" s="37"/>
    </row>
    <row r="295" spans="1:173" ht="16.2" thickBot="1">
      <c r="A295" s="578">
        <f>+A293+1</f>
        <v>195</v>
      </c>
      <c r="B295" s="149"/>
      <c r="C295" s="584" t="s">
        <v>25</v>
      </c>
      <c r="D295" s="585"/>
      <c r="E295" s="586"/>
      <c r="F295" s="297" t="str">
        <f>"(Line "&amp;A291&amp;" + Line "&amp;A293&amp;")"</f>
        <v>(Line 193 + Line 194)</v>
      </c>
      <c r="G295" s="672"/>
      <c r="H295" s="1131">
        <f>+H291+H293</f>
        <v>11649244.070964236</v>
      </c>
      <c r="I295" s="1"/>
      <c r="J295" s="1723"/>
      <c r="K295" s="921"/>
    </row>
    <row r="296" spans="1:173" s="10" customFormat="1" ht="15.6">
      <c r="A296" s="76"/>
      <c r="B296" s="7"/>
      <c r="C296" s="15"/>
      <c r="D296" s="15"/>
      <c r="E296" s="28"/>
      <c r="F296" s="133"/>
      <c r="G296" s="675"/>
      <c r="H296" s="1083"/>
      <c r="I296" s="266"/>
      <c r="J296" s="1724"/>
      <c r="K296" s="909"/>
      <c r="L296" s="266"/>
      <c r="M296" s="266"/>
      <c r="N296" s="266"/>
      <c r="O296" s="266"/>
      <c r="P296" s="266"/>
      <c r="Q296" s="266"/>
      <c r="R296" s="266"/>
      <c r="S296" s="266"/>
      <c r="T296" s="266"/>
      <c r="U296" s="266"/>
      <c r="V296" s="266"/>
      <c r="W296" s="266"/>
      <c r="X296" s="266"/>
      <c r="Y296" s="266"/>
      <c r="Z296" s="266"/>
      <c r="AA296" s="266"/>
      <c r="AB296" s="266"/>
      <c r="AC296" s="266"/>
      <c r="AD296" s="266"/>
      <c r="AE296" s="266"/>
      <c r="AF296" s="266"/>
      <c r="AG296" s="266"/>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c r="CF296" s="266"/>
      <c r="CG296" s="266"/>
      <c r="CH296" s="266"/>
      <c r="CI296" s="266"/>
      <c r="CJ296" s="266"/>
      <c r="CK296" s="266"/>
      <c r="CL296" s="266"/>
      <c r="CM296" s="266"/>
      <c r="CN296" s="266"/>
      <c r="CO296" s="266"/>
      <c r="CP296" s="266"/>
      <c r="CQ296" s="266"/>
      <c r="CR296" s="266"/>
      <c r="CS296" s="266"/>
      <c r="CT296" s="266"/>
      <c r="CU296" s="266"/>
      <c r="CV296" s="266"/>
      <c r="CW296" s="266"/>
      <c r="CX296" s="266"/>
      <c r="CY296" s="266"/>
      <c r="CZ296" s="266"/>
      <c r="DA296" s="266"/>
      <c r="DB296" s="266"/>
      <c r="DC296" s="266"/>
      <c r="DD296" s="266"/>
      <c r="DE296" s="266"/>
      <c r="DF296" s="266"/>
      <c r="DG296" s="266"/>
      <c r="DH296" s="266"/>
      <c r="DI296" s="266"/>
      <c r="DJ296" s="266"/>
      <c r="DK296" s="266"/>
      <c r="DL296" s="266"/>
      <c r="DM296" s="266"/>
      <c r="DN296" s="266"/>
      <c r="DO296" s="266"/>
      <c r="DP296" s="266"/>
      <c r="DQ296" s="266"/>
      <c r="DR296" s="266"/>
      <c r="DS296" s="266"/>
      <c r="DT296" s="266"/>
      <c r="DU296" s="266"/>
      <c r="DV296" s="266"/>
      <c r="DW296" s="266"/>
      <c r="DX296" s="266"/>
      <c r="DY296" s="266"/>
      <c r="DZ296" s="266"/>
      <c r="EA296" s="266"/>
      <c r="EB296" s="266"/>
      <c r="EC296" s="266"/>
      <c r="ED296" s="266"/>
      <c r="EE296" s="266"/>
      <c r="EF296" s="266"/>
      <c r="EG296" s="266"/>
      <c r="EH296" s="266"/>
      <c r="EI296" s="266"/>
      <c r="EJ296" s="266"/>
      <c r="EK296" s="266"/>
      <c r="EL296" s="266"/>
      <c r="EM296" s="266"/>
      <c r="EN296" s="266"/>
      <c r="EO296" s="266"/>
      <c r="EP296" s="266"/>
      <c r="EQ296" s="266"/>
      <c r="ER296" s="266"/>
      <c r="ES296" s="266"/>
      <c r="ET296" s="266"/>
      <c r="EU296" s="266"/>
      <c r="EV296" s="266"/>
      <c r="EW296" s="266"/>
      <c r="EX296" s="266"/>
      <c r="EY296" s="266"/>
      <c r="EZ296" s="266"/>
      <c r="FA296" s="266"/>
      <c r="FB296" s="266"/>
      <c r="FC296" s="266"/>
      <c r="FD296" s="266"/>
      <c r="FE296" s="266"/>
      <c r="FF296" s="266"/>
      <c r="FG296" s="266"/>
      <c r="FH296" s="266"/>
      <c r="FI296" s="266"/>
      <c r="FJ296" s="266"/>
      <c r="FK296" s="266"/>
      <c r="FL296" s="266"/>
      <c r="FM296" s="266"/>
      <c r="FN296" s="266"/>
      <c r="FO296" s="266"/>
      <c r="FP296" s="266"/>
      <c r="FQ296" s="266"/>
    </row>
    <row r="297" spans="1:173" s="10" customFormat="1" ht="15.6">
      <c r="A297" s="76">
        <f>+A295+1</f>
        <v>196</v>
      </c>
      <c r="B297" s="15"/>
      <c r="C297" s="15" t="s">
        <v>793</v>
      </c>
      <c r="D297" s="15"/>
      <c r="E297" s="36"/>
      <c r="F297" s="142"/>
      <c r="G297" s="1176"/>
      <c r="H297" s="1083"/>
      <c r="I297" s="266"/>
      <c r="J297" s="1724"/>
      <c r="K297" s="909"/>
      <c r="L297" s="266"/>
      <c r="M297" s="266"/>
      <c r="N297" s="266"/>
      <c r="O297" s="266"/>
      <c r="P297" s="266"/>
      <c r="Q297" s="266"/>
      <c r="R297" s="266"/>
      <c r="S297" s="266"/>
      <c r="T297" s="266"/>
      <c r="U297" s="266"/>
      <c r="V297" s="266"/>
      <c r="W297" s="266"/>
      <c r="X297" s="266"/>
      <c r="Y297" s="266"/>
      <c r="Z297" s="266"/>
      <c r="AA297" s="266"/>
      <c r="AB297" s="266"/>
      <c r="AC297" s="266"/>
      <c r="AD297" s="266"/>
      <c r="AE297" s="266"/>
      <c r="AF297" s="266"/>
      <c r="AG297" s="266"/>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c r="CF297" s="266"/>
      <c r="CG297" s="266"/>
      <c r="CH297" s="266"/>
      <c r="CI297" s="266"/>
      <c r="CJ297" s="266"/>
      <c r="CK297" s="266"/>
      <c r="CL297" s="266"/>
      <c r="CM297" s="266"/>
      <c r="CN297" s="266"/>
      <c r="CO297" s="266"/>
      <c r="CP297" s="266"/>
      <c r="CQ297" s="266"/>
      <c r="CR297" s="266"/>
      <c r="CS297" s="266"/>
      <c r="CT297" s="266"/>
      <c r="CU297" s="266"/>
      <c r="CV297" s="266"/>
      <c r="CW297" s="266"/>
      <c r="CX297" s="266"/>
      <c r="CY297" s="266"/>
      <c r="CZ297" s="266"/>
      <c r="DA297" s="266"/>
      <c r="DB297" s="266"/>
      <c r="DC297" s="266"/>
      <c r="DD297" s="266"/>
      <c r="DE297" s="266"/>
      <c r="DF297" s="266"/>
      <c r="DG297" s="266"/>
      <c r="DH297" s="266"/>
      <c r="DI297" s="266"/>
      <c r="DJ297" s="266"/>
      <c r="DK297" s="266"/>
      <c r="DL297" s="266"/>
      <c r="DM297" s="266"/>
      <c r="DN297" s="266"/>
      <c r="DO297" s="266"/>
      <c r="DP297" s="266"/>
      <c r="DQ297" s="266"/>
      <c r="DR297" s="266"/>
      <c r="DS297" s="266"/>
      <c r="DT297" s="266"/>
      <c r="DU297" s="266"/>
      <c r="DV297" s="266"/>
      <c r="DW297" s="266"/>
      <c r="DX297" s="266"/>
      <c r="DY297" s="266"/>
      <c r="DZ297" s="266"/>
      <c r="EA297" s="266"/>
      <c r="EB297" s="266"/>
      <c r="EC297" s="266"/>
      <c r="ED297" s="266"/>
      <c r="EE297" s="266"/>
      <c r="EF297" s="266"/>
      <c r="EG297" s="266"/>
      <c r="EH297" s="266"/>
      <c r="EI297" s="266"/>
      <c r="EJ297" s="266"/>
      <c r="EK297" s="266"/>
      <c r="EL297" s="266"/>
      <c r="EM297" s="266"/>
      <c r="EN297" s="266"/>
      <c r="EO297" s="266"/>
      <c r="EP297" s="266"/>
      <c r="EQ297" s="266"/>
      <c r="ER297" s="266"/>
      <c r="ES297" s="266"/>
      <c r="ET297" s="266"/>
      <c r="EU297" s="266"/>
      <c r="EV297" s="266"/>
      <c r="EW297" s="266"/>
      <c r="EX297" s="266"/>
      <c r="EY297" s="266"/>
      <c r="EZ297" s="266"/>
      <c r="FA297" s="266"/>
      <c r="FB297" s="266"/>
      <c r="FC297" s="266"/>
      <c r="FD297" s="266"/>
      <c r="FE297" s="266"/>
      <c r="FF297" s="266"/>
      <c r="FG297" s="266"/>
      <c r="FH297" s="266"/>
      <c r="FI297" s="266"/>
      <c r="FJ297" s="266"/>
      <c r="FK297" s="266"/>
      <c r="FL297" s="266"/>
      <c r="FM297" s="266"/>
      <c r="FN297" s="266"/>
      <c r="FO297" s="266"/>
      <c r="FP297" s="266"/>
      <c r="FQ297" s="266"/>
    </row>
    <row r="298" spans="1:173" s="10" customFormat="1">
      <c r="A298" s="1373">
        <f>+A297+1</f>
        <v>197</v>
      </c>
      <c r="B298" s="33"/>
      <c r="C298" s="915" t="s">
        <v>655</v>
      </c>
      <c r="D298" s="15"/>
      <c r="E298" s="36" t="str">
        <f>"(Note "&amp;A$340&amp;")"</f>
        <v>(Note GG)</v>
      </c>
      <c r="F298" s="142"/>
      <c r="G298" s="100"/>
      <c r="H298" s="1092">
        <v>0</v>
      </c>
      <c r="I298" s="266"/>
      <c r="J298" s="1724" t="s">
        <v>1521</v>
      </c>
      <c r="K298" s="909"/>
      <c r="L298" s="266"/>
      <c r="M298" s="266"/>
      <c r="N298" s="266"/>
      <c r="O298" s="266"/>
      <c r="P298" s="266"/>
      <c r="Q298" s="266"/>
      <c r="R298" s="266"/>
      <c r="S298" s="266"/>
      <c r="T298" s="266"/>
      <c r="U298" s="266"/>
      <c r="V298" s="266"/>
      <c r="W298" s="266"/>
      <c r="X298" s="266"/>
      <c r="Y298" s="266"/>
      <c r="Z298" s="266"/>
      <c r="AA298" s="266"/>
      <c r="AB298" s="266"/>
      <c r="AC298" s="266"/>
      <c r="AD298" s="266"/>
      <c r="AE298" s="266"/>
      <c r="AF298" s="266"/>
      <c r="AG298" s="266"/>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c r="CF298" s="266"/>
      <c r="CG298" s="266"/>
      <c r="CH298" s="266"/>
      <c r="CI298" s="266"/>
      <c r="CJ298" s="266"/>
      <c r="CK298" s="266"/>
      <c r="CL298" s="266"/>
      <c r="CM298" s="266"/>
      <c r="CN298" s="266"/>
      <c r="CO298" s="266"/>
      <c r="CP298" s="266"/>
      <c r="CQ298" s="266"/>
      <c r="CR298" s="266"/>
      <c r="CS298" s="266"/>
      <c r="CT298" s="266"/>
      <c r="CU298" s="266"/>
      <c r="CV298" s="266"/>
      <c r="CW298" s="266"/>
      <c r="CX298" s="266"/>
      <c r="CY298" s="266"/>
      <c r="CZ298" s="266"/>
      <c r="DA298" s="266"/>
      <c r="DB298" s="266"/>
      <c r="DC298" s="266"/>
      <c r="DD298" s="266"/>
      <c r="DE298" s="266"/>
      <c r="DF298" s="266"/>
      <c r="DG298" s="266"/>
      <c r="DH298" s="266"/>
      <c r="DI298" s="266"/>
      <c r="DJ298" s="266"/>
      <c r="DK298" s="266"/>
      <c r="DL298" s="266"/>
      <c r="DM298" s="266"/>
      <c r="DN298" s="266"/>
      <c r="DO298" s="266"/>
      <c r="DP298" s="266"/>
      <c r="DQ298" s="266"/>
      <c r="DR298" s="266"/>
      <c r="DS298" s="266"/>
      <c r="DT298" s="266"/>
      <c r="DU298" s="266"/>
      <c r="DV298" s="266"/>
      <c r="DW298" s="266"/>
      <c r="DX298" s="266"/>
      <c r="DY298" s="266"/>
      <c r="DZ298" s="266"/>
      <c r="EA298" s="266"/>
      <c r="EB298" s="266"/>
      <c r="EC298" s="266"/>
      <c r="ED298" s="266"/>
      <c r="EE298" s="266"/>
      <c r="EF298" s="266"/>
      <c r="EG298" s="266"/>
      <c r="EH298" s="266"/>
      <c r="EI298" s="266"/>
      <c r="EJ298" s="266"/>
      <c r="EK298" s="266"/>
      <c r="EL298" s="266"/>
      <c r="EM298" s="266"/>
      <c r="EN298" s="266"/>
      <c r="EO298" s="266"/>
      <c r="EP298" s="266"/>
      <c r="EQ298" s="266"/>
      <c r="ER298" s="266"/>
      <c r="ES298" s="266"/>
      <c r="ET298" s="266"/>
      <c r="EU298" s="266"/>
      <c r="EV298" s="266"/>
      <c r="EW298" s="266"/>
      <c r="EX298" s="266"/>
      <c r="EY298" s="266"/>
      <c r="EZ298" s="266"/>
      <c r="FA298" s="266"/>
      <c r="FB298" s="266"/>
      <c r="FC298" s="266"/>
      <c r="FD298" s="266"/>
      <c r="FE298" s="266"/>
      <c r="FF298" s="266"/>
      <c r="FG298" s="266"/>
      <c r="FH298" s="266"/>
      <c r="FI298" s="266"/>
      <c r="FJ298" s="266"/>
      <c r="FK298" s="266"/>
      <c r="FL298" s="266"/>
      <c r="FM298" s="266"/>
      <c r="FN298" s="266"/>
      <c r="FO298" s="266"/>
      <c r="FP298" s="266"/>
      <c r="FQ298" s="266"/>
    </row>
    <row r="299" spans="1:173" s="10" customFormat="1">
      <c r="A299" s="1373">
        <f t="shared" ref="A299:A300" si="12">+A298+1</f>
        <v>198</v>
      </c>
      <c r="B299" s="33"/>
      <c r="C299" s="1177" t="s">
        <v>798</v>
      </c>
      <c r="D299" s="465"/>
      <c r="E299" s="75" t="str">
        <f>"(Note "&amp;A$340&amp;")"</f>
        <v>(Note GG)</v>
      </c>
      <c r="F299" s="144"/>
      <c r="G299" s="663"/>
      <c r="H299" s="1100">
        <v>0</v>
      </c>
      <c r="I299" s="266"/>
      <c r="J299" s="1724" t="s">
        <v>1521</v>
      </c>
      <c r="K299" s="909"/>
      <c r="L299" s="266"/>
      <c r="M299" s="266"/>
      <c r="N299" s="266"/>
      <c r="O299" s="266"/>
      <c r="P299" s="266"/>
      <c r="Q299" s="266"/>
      <c r="R299" s="266"/>
      <c r="S299" s="266"/>
      <c r="T299" s="266"/>
      <c r="U299" s="266"/>
      <c r="V299" s="266"/>
      <c r="W299" s="266"/>
      <c r="X299" s="266"/>
      <c r="Y299" s="266"/>
      <c r="Z299" s="266"/>
      <c r="AA299" s="266"/>
      <c r="AB299" s="266"/>
      <c r="AC299" s="266"/>
      <c r="AD299" s="266"/>
      <c r="AE299" s="266"/>
      <c r="AF299" s="266"/>
      <c r="AG299" s="266"/>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c r="CF299" s="266"/>
      <c r="CG299" s="266"/>
      <c r="CH299" s="266"/>
      <c r="CI299" s="266"/>
      <c r="CJ299" s="266"/>
      <c r="CK299" s="266"/>
      <c r="CL299" s="266"/>
      <c r="CM299" s="266"/>
      <c r="CN299" s="266"/>
      <c r="CO299" s="266"/>
      <c r="CP299" s="266"/>
      <c r="CQ299" s="266"/>
      <c r="CR299" s="266"/>
      <c r="CS299" s="266"/>
      <c r="CT299" s="266"/>
      <c r="CU299" s="266"/>
      <c r="CV299" s="266"/>
      <c r="CW299" s="266"/>
      <c r="CX299" s="266"/>
      <c r="CY299" s="266"/>
      <c r="CZ299" s="266"/>
      <c r="DA299" s="266"/>
      <c r="DB299" s="266"/>
      <c r="DC299" s="266"/>
      <c r="DD299" s="266"/>
      <c r="DE299" s="266"/>
      <c r="DF299" s="266"/>
      <c r="DG299" s="266"/>
      <c r="DH299" s="266"/>
      <c r="DI299" s="266"/>
      <c r="DJ299" s="266"/>
      <c r="DK299" s="266"/>
      <c r="DL299" s="266"/>
      <c r="DM299" s="266"/>
      <c r="DN299" s="266"/>
      <c r="DO299" s="266"/>
      <c r="DP299" s="266"/>
      <c r="DQ299" s="266"/>
      <c r="DR299" s="266"/>
      <c r="DS299" s="266"/>
      <c r="DT299" s="266"/>
      <c r="DU299" s="266"/>
      <c r="DV299" s="266"/>
      <c r="DW299" s="266"/>
      <c r="DX299" s="266"/>
      <c r="DY299" s="266"/>
      <c r="DZ299" s="266"/>
      <c r="EA299" s="266"/>
      <c r="EB299" s="266"/>
      <c r="EC299" s="266"/>
      <c r="ED299" s="266"/>
      <c r="EE299" s="266"/>
      <c r="EF299" s="266"/>
      <c r="EG299" s="266"/>
      <c r="EH299" s="266"/>
      <c r="EI299" s="266"/>
      <c r="EJ299" s="266"/>
      <c r="EK299" s="266"/>
      <c r="EL299" s="266"/>
      <c r="EM299" s="266"/>
      <c r="EN299" s="266"/>
      <c r="EO299" s="266"/>
      <c r="EP299" s="266"/>
      <c r="EQ299" s="266"/>
      <c r="ER299" s="266"/>
      <c r="ES299" s="266"/>
      <c r="ET299" s="266"/>
      <c r="EU299" s="266"/>
      <c r="EV299" s="266"/>
      <c r="EW299" s="266"/>
      <c r="EX299" s="266"/>
      <c r="EY299" s="266"/>
      <c r="EZ299" s="266"/>
      <c r="FA299" s="266"/>
      <c r="FB299" s="266"/>
      <c r="FC299" s="266"/>
      <c r="FD299" s="266"/>
      <c r="FE299" s="266"/>
      <c r="FF299" s="266"/>
      <c r="FG299" s="266"/>
      <c r="FH299" s="266"/>
      <c r="FI299" s="266"/>
      <c r="FJ299" s="266"/>
      <c r="FK299" s="266"/>
      <c r="FL299" s="266"/>
      <c r="FM299" s="266"/>
      <c r="FN299" s="266"/>
      <c r="FO299" s="266"/>
      <c r="FP299" s="266"/>
      <c r="FQ299" s="266"/>
    </row>
    <row r="300" spans="1:173" s="10" customFormat="1" ht="15.6">
      <c r="A300" s="1373">
        <f t="shared" si="12"/>
        <v>199</v>
      </c>
      <c r="B300" s="33"/>
      <c r="C300" s="15" t="s">
        <v>757</v>
      </c>
      <c r="D300" s="15"/>
      <c r="E300" s="36"/>
      <c r="F300" s="142" t="str">
        <f>"(Line "&amp;A295&amp;" + Line "&amp;A298&amp;" + Line "&amp;A299&amp;")"</f>
        <v>(Line 195 + Line 197 + Line 198)</v>
      </c>
      <c r="G300" s="1176"/>
      <c r="H300" s="1083">
        <f>+H295+H298+H299</f>
        <v>11649244.070964236</v>
      </c>
      <c r="I300" s="266"/>
      <c r="J300" s="1724"/>
      <c r="K300" s="909"/>
      <c r="L300" s="266"/>
      <c r="M300" s="266"/>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c r="CF300" s="266"/>
      <c r="CG300" s="266"/>
      <c r="CH300" s="266"/>
      <c r="CI300" s="266"/>
      <c r="CJ300" s="266"/>
      <c r="CK300" s="266"/>
      <c r="CL300" s="266"/>
      <c r="CM300" s="266"/>
      <c r="CN300" s="266"/>
      <c r="CO300" s="266"/>
      <c r="CP300" s="266"/>
      <c r="CQ300" s="266"/>
      <c r="CR300" s="266"/>
      <c r="CS300" s="266"/>
      <c r="CT300" s="266"/>
      <c r="CU300" s="266"/>
      <c r="CV300" s="266"/>
      <c r="CW300" s="266"/>
      <c r="CX300" s="266"/>
      <c r="CY300" s="266"/>
      <c r="CZ300" s="266"/>
      <c r="DA300" s="266"/>
      <c r="DB300" s="266"/>
      <c r="DC300" s="266"/>
      <c r="DD300" s="266"/>
      <c r="DE300" s="266"/>
      <c r="DF300" s="266"/>
      <c r="DG300" s="266"/>
      <c r="DH300" s="266"/>
      <c r="DI300" s="266"/>
      <c r="DJ300" s="266"/>
      <c r="DK300" s="266"/>
      <c r="DL300" s="266"/>
      <c r="DM300" s="266"/>
      <c r="DN300" s="266"/>
      <c r="DO300" s="266"/>
      <c r="DP300" s="266"/>
      <c r="DQ300" s="266"/>
      <c r="DR300" s="266"/>
      <c r="DS300" s="266"/>
      <c r="DT300" s="266"/>
      <c r="DU300" s="266"/>
      <c r="DV300" s="266"/>
      <c r="DW300" s="266"/>
      <c r="DX300" s="266"/>
      <c r="DY300" s="266"/>
      <c r="DZ300" s="266"/>
      <c r="EA300" s="266"/>
      <c r="EB300" s="266"/>
      <c r="EC300" s="266"/>
      <c r="ED300" s="266"/>
      <c r="EE300" s="266"/>
      <c r="EF300" s="266"/>
      <c r="EG300" s="266"/>
      <c r="EH300" s="266"/>
      <c r="EI300" s="266"/>
      <c r="EJ300" s="266"/>
      <c r="EK300" s="266"/>
      <c r="EL300" s="266"/>
      <c r="EM300" s="266"/>
      <c r="EN300" s="266"/>
      <c r="EO300" s="266"/>
      <c r="EP300" s="266"/>
      <c r="EQ300" s="266"/>
      <c r="ER300" s="266"/>
      <c r="ES300" s="266"/>
      <c r="ET300" s="266"/>
      <c r="EU300" s="266"/>
      <c r="EV300" s="266"/>
      <c r="EW300" s="266"/>
      <c r="EX300" s="266"/>
      <c r="EY300" s="266"/>
      <c r="EZ300" s="266"/>
      <c r="FA300" s="266"/>
      <c r="FB300" s="266"/>
      <c r="FC300" s="266"/>
      <c r="FD300" s="266"/>
      <c r="FE300" s="266"/>
      <c r="FF300" s="266"/>
      <c r="FG300" s="266"/>
      <c r="FH300" s="266"/>
      <c r="FI300" s="266"/>
      <c r="FJ300" s="266"/>
      <c r="FK300" s="266"/>
      <c r="FL300" s="266"/>
      <c r="FM300" s="266"/>
      <c r="FN300" s="266"/>
      <c r="FO300" s="266"/>
      <c r="FP300" s="266"/>
      <c r="FQ300" s="266"/>
    </row>
    <row r="301" spans="1:173" s="10" customFormat="1" ht="15.6">
      <c r="A301" s="76"/>
      <c r="B301" s="7"/>
      <c r="C301" s="15"/>
      <c r="D301" s="15"/>
      <c r="E301" s="28"/>
      <c r="F301" s="133"/>
      <c r="G301" s="675"/>
      <c r="H301" s="1083"/>
      <c r="I301" s="266"/>
      <c r="J301" s="1724"/>
      <c r="K301" s="909"/>
      <c r="L301" s="266"/>
      <c r="M301" s="266"/>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c r="CF301" s="266"/>
      <c r="CG301" s="266"/>
      <c r="CH301" s="266"/>
      <c r="CI301" s="266"/>
      <c r="CJ301" s="266"/>
      <c r="CK301" s="266"/>
      <c r="CL301" s="266"/>
      <c r="CM301" s="266"/>
      <c r="CN301" s="266"/>
      <c r="CO301" s="266"/>
      <c r="CP301" s="266"/>
      <c r="CQ301" s="266"/>
      <c r="CR301" s="266"/>
      <c r="CS301" s="266"/>
      <c r="CT301" s="266"/>
      <c r="CU301" s="266"/>
      <c r="CV301" s="266"/>
      <c r="CW301" s="266"/>
      <c r="CX301" s="266"/>
      <c r="CY301" s="266"/>
      <c r="CZ301" s="266"/>
      <c r="DA301" s="266"/>
      <c r="DB301" s="266"/>
      <c r="DC301" s="266"/>
      <c r="DD301" s="266"/>
      <c r="DE301" s="266"/>
      <c r="DF301" s="266"/>
      <c r="DG301" s="266"/>
      <c r="DH301" s="266"/>
      <c r="DI301" s="266"/>
      <c r="DJ301" s="266"/>
      <c r="DK301" s="266"/>
      <c r="DL301" s="266"/>
      <c r="DM301" s="266"/>
      <c r="DN301" s="266"/>
      <c r="DO301" s="266"/>
      <c r="DP301" s="266"/>
      <c r="DQ301" s="266"/>
      <c r="DR301" s="266"/>
      <c r="DS301" s="266"/>
      <c r="DT301" s="266"/>
      <c r="DU301" s="266"/>
      <c r="DV301" s="266"/>
      <c r="DW301" s="266"/>
      <c r="DX301" s="266"/>
      <c r="DY301" s="266"/>
      <c r="DZ301" s="266"/>
      <c r="EA301" s="266"/>
      <c r="EB301" s="266"/>
      <c r="EC301" s="266"/>
      <c r="ED301" s="266"/>
      <c r="EE301" s="266"/>
      <c r="EF301" s="266"/>
      <c r="EG301" s="266"/>
      <c r="EH301" s="266"/>
      <c r="EI301" s="266"/>
      <c r="EJ301" s="266"/>
      <c r="EK301" s="266"/>
      <c r="EL301" s="266"/>
      <c r="EM301" s="266"/>
      <c r="EN301" s="266"/>
      <c r="EO301" s="266"/>
      <c r="EP301" s="266"/>
      <c r="EQ301" s="266"/>
      <c r="ER301" s="266"/>
      <c r="ES301" s="266"/>
      <c r="ET301" s="266"/>
      <c r="EU301" s="266"/>
      <c r="EV301" s="266"/>
      <c r="EW301" s="266"/>
      <c r="EX301" s="266"/>
      <c r="EY301" s="266"/>
      <c r="EZ301" s="266"/>
      <c r="FA301" s="266"/>
      <c r="FB301" s="266"/>
      <c r="FC301" s="266"/>
      <c r="FD301" s="266"/>
      <c r="FE301" s="266"/>
      <c r="FF301" s="266"/>
      <c r="FG301" s="266"/>
      <c r="FH301" s="266"/>
      <c r="FI301" s="266"/>
      <c r="FJ301" s="266"/>
      <c r="FK301" s="266"/>
      <c r="FL301" s="266"/>
      <c r="FM301" s="266"/>
      <c r="FN301" s="266"/>
      <c r="FO301" s="266"/>
      <c r="FP301" s="266"/>
      <c r="FQ301" s="266"/>
    </row>
    <row r="302" spans="1:173" ht="15.6">
      <c r="A302" s="76"/>
      <c r="B302" s="41" t="s">
        <v>24</v>
      </c>
      <c r="C302" s="15"/>
      <c r="D302" s="15"/>
      <c r="E302" s="28"/>
      <c r="F302" s="133"/>
      <c r="G302" s="675"/>
      <c r="H302" s="1083"/>
      <c r="K302" s="267"/>
    </row>
    <row r="303" spans="1:173" ht="15.6">
      <c r="A303" s="76">
        <f>+A300+1</f>
        <v>200</v>
      </c>
      <c r="B303" s="33"/>
      <c r="C303" s="58" t="s">
        <v>292</v>
      </c>
      <c r="D303" s="77" t="s">
        <v>66</v>
      </c>
      <c r="E303" s="36" t="str">
        <f>"(Note "&amp;A$319&amp;")"</f>
        <v>(Note L)</v>
      </c>
      <c r="F303" s="131" t="s">
        <v>1478</v>
      </c>
      <c r="G303" s="675"/>
      <c r="H303" s="1099">
        <f>'WP19 Load'!O41*1000</f>
        <v>966101.41666666674</v>
      </c>
      <c r="K303" s="267"/>
    </row>
    <row r="304" spans="1:173" ht="15.6">
      <c r="A304" s="112">
        <f>+A303+1</f>
        <v>201</v>
      </c>
      <c r="B304" s="9"/>
      <c r="C304" s="8" t="s">
        <v>24</v>
      </c>
      <c r="D304" s="587"/>
      <c r="E304" s="192"/>
      <c r="F304" s="130" t="str">
        <f>"(Line "&amp;A300&amp;" / Line "&amp;A303&amp;")"</f>
        <v>(Line 199 / Line 200)</v>
      </c>
      <c r="G304" s="482"/>
      <c r="H304" s="1372">
        <f>IF(H303=0,0,H300/H303)</f>
        <v>12.057992949805978</v>
      </c>
      <c r="K304" s="267"/>
    </row>
    <row r="305" spans="1:12" ht="16.2" thickBot="1">
      <c r="A305" s="150">
        <f>+A304+1</f>
        <v>202</v>
      </c>
      <c r="B305" s="151"/>
      <c r="C305" s="152" t="s">
        <v>168</v>
      </c>
      <c r="D305" s="153"/>
      <c r="E305" s="193"/>
      <c r="F305" s="481" t="str">
        <f>"(Line "&amp;A304&amp;" / 12)"</f>
        <v>(Line 201 / 12)</v>
      </c>
      <c r="G305" s="483"/>
      <c r="H305" s="1134">
        <f>H304/12</f>
        <v>1.0048327458171649</v>
      </c>
      <c r="K305" s="267"/>
    </row>
    <row r="306" spans="1:12" ht="15.6">
      <c r="A306" s="36"/>
      <c r="B306" s="33"/>
      <c r="C306" s="8"/>
      <c r="D306" s="6"/>
      <c r="E306" s="32"/>
      <c r="F306" s="49"/>
      <c r="G306" s="473"/>
      <c r="H306" s="473"/>
      <c r="K306" s="267"/>
    </row>
    <row r="307" spans="1:12" ht="15.75" customHeight="1">
      <c r="A307" s="2020" t="s">
        <v>125</v>
      </c>
      <c r="B307" s="2020"/>
      <c r="C307" s="6"/>
      <c r="D307" s="6"/>
      <c r="E307" s="32"/>
      <c r="F307" s="64"/>
      <c r="H307" s="47"/>
      <c r="K307" s="267"/>
    </row>
    <row r="308" spans="1:12" ht="15.75" customHeight="1">
      <c r="A308" s="163" t="s">
        <v>68</v>
      </c>
      <c r="B308" s="266"/>
      <c r="C308" s="2031" t="s">
        <v>128</v>
      </c>
      <c r="D308" s="2031"/>
      <c r="E308" s="2031"/>
      <c r="F308" s="2031"/>
      <c r="G308" s="2031"/>
      <c r="H308" s="2031"/>
      <c r="J308" s="1751" t="s">
        <v>1561</v>
      </c>
      <c r="K308" s="1752"/>
      <c r="L308" s="1752"/>
    </row>
    <row r="309" spans="1:12" ht="61.95" customHeight="1">
      <c r="A309" s="163" t="s">
        <v>115</v>
      </c>
      <c r="B309" s="266"/>
      <c r="C309" s="2019" t="s">
        <v>964</v>
      </c>
      <c r="D309" s="2019"/>
      <c r="E309" s="2019"/>
      <c r="F309" s="2019"/>
      <c r="G309" s="2019"/>
      <c r="H309" s="2019"/>
      <c r="J309" s="1727"/>
    </row>
    <row r="310" spans="1:12">
      <c r="A310" s="163" t="s">
        <v>56</v>
      </c>
      <c r="B310" s="967"/>
      <c r="C310" s="2019" t="s">
        <v>714</v>
      </c>
      <c r="D310" s="2019"/>
      <c r="E310" s="2019"/>
      <c r="F310" s="2019"/>
      <c r="G310" s="2019"/>
      <c r="H310" s="2019"/>
      <c r="K310" s="267"/>
    </row>
    <row r="311" spans="1:12" ht="33" customHeight="1">
      <c r="A311" s="163" t="s">
        <v>69</v>
      </c>
      <c r="B311" s="266"/>
      <c r="C311" s="2027" t="s">
        <v>797</v>
      </c>
      <c r="D311" s="2027"/>
      <c r="E311" s="2027"/>
      <c r="F311" s="2027"/>
      <c r="G311" s="2027"/>
      <c r="H311" s="2027"/>
      <c r="J311" s="1727"/>
    </row>
    <row r="312" spans="1:12">
      <c r="A312" s="163" t="s">
        <v>67</v>
      </c>
      <c r="B312" s="266"/>
      <c r="C312" s="2032" t="s">
        <v>169</v>
      </c>
      <c r="D312" s="2032"/>
      <c r="E312" s="2032"/>
      <c r="F312" s="2032"/>
      <c r="G312" s="2032"/>
      <c r="H312" s="2032"/>
      <c r="K312" s="267"/>
    </row>
    <row r="313" spans="1:12" ht="33.6" customHeight="1">
      <c r="A313" s="163" t="s">
        <v>157</v>
      </c>
      <c r="B313" s="266"/>
      <c r="C313" s="2027" t="s">
        <v>965</v>
      </c>
      <c r="D313" s="2027"/>
      <c r="E313" s="2027"/>
      <c r="F313" s="2027"/>
      <c r="G313" s="2027"/>
      <c r="H313" s="2027"/>
      <c r="K313" s="267"/>
    </row>
    <row r="314" spans="1:12" ht="32.4" customHeight="1">
      <c r="A314" s="163" t="s">
        <v>70</v>
      </c>
      <c r="B314" s="266"/>
      <c r="C314" s="2033" t="s">
        <v>549</v>
      </c>
      <c r="D314" s="2033"/>
      <c r="E314" s="2033"/>
      <c r="F314" s="2033"/>
      <c r="G314" s="2033"/>
      <c r="H314" s="2033"/>
      <c r="J314" s="1727"/>
    </row>
    <row r="315" spans="1:12" ht="15.75" customHeight="1">
      <c r="A315" s="163" t="s">
        <v>170</v>
      </c>
      <c r="B315" s="266"/>
      <c r="C315" s="243" t="s">
        <v>144</v>
      </c>
      <c r="D315" s="1137"/>
      <c r="E315" s="2034"/>
      <c r="F315" s="2034"/>
      <c r="G315" s="2034"/>
      <c r="H315" s="2034"/>
      <c r="K315" s="267"/>
    </row>
    <row r="316" spans="1:12" ht="125.4" customHeight="1">
      <c r="A316" s="163" t="s">
        <v>60</v>
      </c>
      <c r="B316" s="266"/>
      <c r="C316" s="2033" t="s">
        <v>1476</v>
      </c>
      <c r="D316" s="2033"/>
      <c r="E316" s="2033"/>
      <c r="F316" s="2033"/>
      <c r="G316" s="2033"/>
      <c r="H316" s="2033"/>
      <c r="J316" s="1724" t="s">
        <v>1477</v>
      </c>
      <c r="K316" s="267"/>
    </row>
    <row r="317" spans="1:12" ht="63.6" customHeight="1">
      <c r="A317" s="163" t="s">
        <v>61</v>
      </c>
      <c r="B317" s="266"/>
      <c r="C317" s="2033" t="s">
        <v>1365</v>
      </c>
      <c r="D317" s="2033"/>
      <c r="E317" s="2033"/>
      <c r="F317" s="2033"/>
      <c r="G317" s="2033"/>
      <c r="H317" s="2033"/>
      <c r="J317" s="1728" t="s">
        <v>1449</v>
      </c>
      <c r="K317" s="267"/>
    </row>
    <row r="318" spans="1:12">
      <c r="A318" s="163" t="s">
        <v>72</v>
      </c>
      <c r="B318" s="266"/>
      <c r="C318" s="2027" t="s">
        <v>784</v>
      </c>
      <c r="D318" s="2027"/>
      <c r="E318" s="2027"/>
      <c r="F318" s="2027"/>
      <c r="G318" s="2027"/>
      <c r="H318" s="2027"/>
      <c r="I318" s="2035"/>
      <c r="K318" s="267"/>
    </row>
    <row r="319" spans="1:12" ht="32.4" customHeight="1">
      <c r="A319" s="163" t="s">
        <v>99</v>
      </c>
      <c r="B319" s="266"/>
      <c r="C319" s="2027" t="s">
        <v>796</v>
      </c>
      <c r="D319" s="2027"/>
      <c r="E319" s="2027"/>
      <c r="F319" s="2027"/>
      <c r="G319" s="2027"/>
      <c r="H319" s="2027"/>
      <c r="K319" s="267"/>
    </row>
    <row r="320" spans="1:12" ht="125.1" customHeight="1">
      <c r="A320" s="244" t="s">
        <v>100</v>
      </c>
      <c r="B320" s="266"/>
      <c r="C320" s="2019" t="s">
        <v>966</v>
      </c>
      <c r="D320" s="2019"/>
      <c r="E320" s="2019"/>
      <c r="F320" s="2019"/>
      <c r="G320" s="2019"/>
      <c r="H320" s="2019"/>
      <c r="K320" s="267"/>
    </row>
    <row r="321" spans="1:11" ht="47.4" customHeight="1">
      <c r="A321" s="163" t="s">
        <v>158</v>
      </c>
      <c r="B321" s="266"/>
      <c r="C321" s="2030" t="s">
        <v>845</v>
      </c>
      <c r="D321" s="2030"/>
      <c r="E321" s="2030"/>
      <c r="F321" s="2030"/>
      <c r="G321" s="2030"/>
      <c r="H321" s="2030"/>
      <c r="K321" s="267"/>
    </row>
    <row r="322" spans="1:11" ht="45" customHeight="1">
      <c r="A322" s="163" t="s">
        <v>224</v>
      </c>
      <c r="B322" s="266"/>
      <c r="C322" s="2027" t="s">
        <v>731</v>
      </c>
      <c r="D322" s="2027"/>
      <c r="E322" s="2027"/>
      <c r="F322" s="2027"/>
      <c r="G322" s="2027"/>
      <c r="H322" s="2027"/>
      <c r="J322" s="1727"/>
    </row>
    <row r="323" spans="1:11" ht="77.400000000000006" customHeight="1">
      <c r="A323" s="163" t="s">
        <v>225</v>
      </c>
      <c r="B323" s="266"/>
      <c r="C323" s="2030" t="s">
        <v>1364</v>
      </c>
      <c r="D323" s="2030"/>
      <c r="E323" s="2030"/>
      <c r="F323" s="2030"/>
      <c r="G323" s="2030"/>
      <c r="H323" s="2030"/>
      <c r="J323" s="1724" t="s">
        <v>1445</v>
      </c>
      <c r="K323" s="243"/>
    </row>
    <row r="324" spans="1:11" ht="32.4" customHeight="1">
      <c r="A324" s="163" t="s">
        <v>226</v>
      </c>
      <c r="B324" s="266"/>
      <c r="C324" s="2027" t="s">
        <v>846</v>
      </c>
      <c r="D324" s="2027"/>
      <c r="E324" s="2027"/>
      <c r="F324" s="2027"/>
      <c r="G324" s="2027"/>
      <c r="H324" s="2027"/>
      <c r="J324" s="1727"/>
    </row>
    <row r="325" spans="1:11" ht="15" customHeight="1">
      <c r="A325" s="244" t="s">
        <v>227</v>
      </c>
      <c r="B325" s="266"/>
      <c r="C325" s="2029" t="s">
        <v>847</v>
      </c>
      <c r="D325" s="2029"/>
      <c r="E325" s="2029"/>
      <c r="F325" s="2029"/>
      <c r="G325" s="2029"/>
      <c r="H325" s="2029"/>
      <c r="K325" s="267"/>
    </row>
    <row r="326" spans="1:11" ht="35.4" customHeight="1">
      <c r="A326" s="244" t="s">
        <v>228</v>
      </c>
      <c r="B326" s="266"/>
      <c r="C326" s="2027" t="s">
        <v>527</v>
      </c>
      <c r="D326" s="2027"/>
      <c r="E326" s="2027"/>
      <c r="F326" s="2027"/>
      <c r="G326" s="2027"/>
      <c r="H326" s="2027"/>
      <c r="J326" s="1727"/>
    </row>
    <row r="327" spans="1:11" ht="31.2" customHeight="1">
      <c r="A327" s="244" t="s">
        <v>229</v>
      </c>
      <c r="B327" s="266"/>
      <c r="C327" s="2027" t="s">
        <v>744</v>
      </c>
      <c r="D327" s="2027"/>
      <c r="E327" s="2027"/>
      <c r="F327" s="2027"/>
      <c r="G327" s="2027"/>
      <c r="H327" s="2027"/>
      <c r="K327" s="267"/>
    </row>
    <row r="328" spans="1:11" ht="31.95" customHeight="1">
      <c r="A328" s="244" t="s">
        <v>230</v>
      </c>
      <c r="B328" s="266"/>
      <c r="C328" s="2027" t="s">
        <v>745</v>
      </c>
      <c r="D328" s="2027"/>
      <c r="E328" s="2027"/>
      <c r="F328" s="2027"/>
      <c r="G328" s="2027"/>
      <c r="H328" s="2027"/>
      <c r="K328" s="267"/>
    </row>
    <row r="329" spans="1:11" ht="31.95" customHeight="1">
      <c r="A329" s="244" t="s">
        <v>231</v>
      </c>
      <c r="B329" s="266"/>
      <c r="C329" s="2027" t="s">
        <v>988</v>
      </c>
      <c r="D329" s="2027"/>
      <c r="E329" s="2027"/>
      <c r="F329" s="2027"/>
      <c r="G329" s="2027"/>
      <c r="H329" s="2027"/>
      <c r="K329" s="267"/>
    </row>
    <row r="330" spans="1:11">
      <c r="A330" s="244" t="s">
        <v>291</v>
      </c>
      <c r="B330" s="266"/>
      <c r="C330" s="2027" t="s">
        <v>637</v>
      </c>
      <c r="D330" s="2027"/>
      <c r="E330" s="2027"/>
      <c r="F330" s="2027"/>
      <c r="G330" s="2027"/>
      <c r="H330" s="2027"/>
    </row>
    <row r="331" spans="1:11" ht="48" customHeight="1">
      <c r="A331" s="244" t="s">
        <v>287</v>
      </c>
      <c r="B331" s="267"/>
      <c r="C331" s="2027" t="s">
        <v>967</v>
      </c>
      <c r="D331" s="2027"/>
      <c r="E331" s="2027"/>
      <c r="F331" s="2027"/>
      <c r="G331" s="2027"/>
      <c r="H331" s="2027"/>
      <c r="J331" s="1727"/>
    </row>
    <row r="332" spans="1:11">
      <c r="A332" s="244" t="s">
        <v>288</v>
      </c>
      <c r="B332" s="267"/>
      <c r="C332" s="2027" t="s">
        <v>730</v>
      </c>
      <c r="D332" s="2027"/>
      <c r="E332" s="2027"/>
      <c r="F332" s="2027"/>
      <c r="G332" s="2027"/>
      <c r="H332" s="2027"/>
    </row>
    <row r="333" spans="1:11">
      <c r="A333" s="244" t="s">
        <v>289</v>
      </c>
      <c r="B333" s="267"/>
      <c r="C333" s="2027" t="s">
        <v>785</v>
      </c>
      <c r="D333" s="2027"/>
      <c r="E333" s="2027"/>
      <c r="F333" s="2027"/>
      <c r="G333" s="2027"/>
      <c r="H333" s="2027"/>
    </row>
    <row r="334" spans="1:11">
      <c r="A334" s="244" t="s">
        <v>290</v>
      </c>
      <c r="B334" s="267"/>
      <c r="C334" s="2027" t="s">
        <v>786</v>
      </c>
      <c r="D334" s="2027"/>
      <c r="E334" s="2027"/>
      <c r="F334" s="2027"/>
      <c r="G334" s="2027"/>
      <c r="H334" s="2027"/>
    </row>
    <row r="335" spans="1:11" ht="15" customHeight="1">
      <c r="A335" s="244" t="s">
        <v>311</v>
      </c>
      <c r="B335" s="267"/>
      <c r="C335" s="2027" t="s">
        <v>637</v>
      </c>
      <c r="D335" s="2027"/>
      <c r="E335" s="2027"/>
      <c r="F335" s="2027"/>
      <c r="G335" s="2027"/>
      <c r="H335" s="2027"/>
    </row>
    <row r="336" spans="1:11" ht="47.4" customHeight="1">
      <c r="A336" s="244" t="s">
        <v>312</v>
      </c>
      <c r="B336" s="267"/>
      <c r="C336" s="2027" t="s">
        <v>746</v>
      </c>
      <c r="D336" s="2027"/>
      <c r="E336" s="2027"/>
      <c r="F336" s="2027"/>
      <c r="G336" s="2027"/>
      <c r="H336" s="2027"/>
      <c r="J336" s="1727"/>
    </row>
    <row r="337" spans="1:11" ht="16.2" customHeight="1">
      <c r="A337" s="244" t="s">
        <v>313</v>
      </c>
      <c r="B337" s="267"/>
      <c r="C337" s="2027" t="s">
        <v>314</v>
      </c>
      <c r="D337" s="2027"/>
      <c r="E337" s="2027"/>
      <c r="F337" s="2027"/>
      <c r="G337" s="2027"/>
      <c r="H337" s="2027"/>
      <c r="J337" s="1727"/>
    </row>
    <row r="338" spans="1:11">
      <c r="A338" s="244" t="s">
        <v>528</v>
      </c>
      <c r="B338" s="266"/>
      <c r="C338" s="2027" t="s">
        <v>787</v>
      </c>
      <c r="D338" s="2027"/>
      <c r="E338" s="2027"/>
      <c r="F338" s="2027"/>
      <c r="G338" s="2027"/>
      <c r="H338" s="2027"/>
    </row>
    <row r="339" spans="1:11" ht="46.95" customHeight="1">
      <c r="A339" s="244" t="s">
        <v>532</v>
      </c>
      <c r="B339" s="267"/>
      <c r="C339" s="2027" t="s">
        <v>989</v>
      </c>
      <c r="D339" s="2027"/>
      <c r="E339" s="2027"/>
      <c r="F339" s="2027"/>
      <c r="G339" s="2027"/>
      <c r="H339" s="2027"/>
      <c r="I339" s="706"/>
    </row>
    <row r="340" spans="1:11">
      <c r="A340" s="244" t="s">
        <v>533</v>
      </c>
      <c r="B340" s="267"/>
      <c r="C340" s="2027" t="s">
        <v>848</v>
      </c>
      <c r="D340" s="2027"/>
      <c r="E340" s="2027"/>
      <c r="F340" s="2027"/>
      <c r="G340" s="2027"/>
      <c r="H340" s="2027"/>
    </row>
    <row r="341" spans="1:11" ht="30.6" customHeight="1">
      <c r="A341" s="244" t="s">
        <v>534</v>
      </c>
      <c r="B341" s="266"/>
      <c r="C341" s="2019" t="s">
        <v>715</v>
      </c>
      <c r="D341" s="2019"/>
      <c r="E341" s="2019"/>
      <c r="F341" s="2019"/>
      <c r="G341" s="2019"/>
      <c r="H341" s="2019"/>
    </row>
    <row r="342" spans="1:11" ht="30.6" customHeight="1">
      <c r="A342" s="244" t="s">
        <v>535</v>
      </c>
      <c r="B342" s="266"/>
      <c r="C342" s="2019" t="s">
        <v>987</v>
      </c>
      <c r="D342" s="2019"/>
      <c r="E342" s="2019"/>
      <c r="F342" s="2019"/>
      <c r="G342" s="2019"/>
      <c r="H342" s="2019"/>
    </row>
    <row r="343" spans="1:11">
      <c r="A343" s="244" t="s">
        <v>536</v>
      </c>
      <c r="B343" s="267"/>
      <c r="C343" s="2027" t="s">
        <v>711</v>
      </c>
      <c r="D343" s="2027"/>
      <c r="E343" s="2027"/>
      <c r="F343" s="2027"/>
      <c r="G343" s="2027"/>
      <c r="H343" s="2027"/>
    </row>
    <row r="344" spans="1:11">
      <c r="A344" s="244" t="s">
        <v>537</v>
      </c>
      <c r="B344" s="267"/>
      <c r="C344" s="2027" t="s">
        <v>538</v>
      </c>
      <c r="D344" s="2027"/>
      <c r="E344" s="2027"/>
      <c r="F344" s="2027"/>
      <c r="G344" s="2027"/>
      <c r="H344" s="2027"/>
    </row>
    <row r="345" spans="1:11" ht="72.75" customHeight="1">
      <c r="A345" s="244" t="s">
        <v>1362</v>
      </c>
      <c r="B345" s="267"/>
      <c r="C345" s="2027" t="s">
        <v>1363</v>
      </c>
      <c r="D345" s="2037"/>
      <c r="E345" s="2037"/>
      <c r="F345" s="2037"/>
      <c r="G345" s="2037"/>
      <c r="H345" s="2037"/>
      <c r="J345" s="1724" t="s">
        <v>1448</v>
      </c>
      <c r="K345" s="267"/>
    </row>
    <row r="346" spans="1:11">
      <c r="A346" s="244"/>
      <c r="B346" s="267"/>
      <c r="C346" s="1136"/>
      <c r="D346" s="1136"/>
      <c r="E346" s="1136"/>
      <c r="F346" s="1136"/>
      <c r="G346" s="1136"/>
      <c r="H346" s="1136"/>
    </row>
    <row r="347" spans="1:11">
      <c r="A347" s="244"/>
      <c r="B347" s="267"/>
      <c r="C347" s="2027"/>
      <c r="D347" s="2027"/>
      <c r="E347" s="2027"/>
      <c r="F347" s="2027"/>
      <c r="G347" s="2027"/>
      <c r="H347" s="2027"/>
    </row>
    <row r="348" spans="1:11" ht="15.6">
      <c r="A348" s="24" t="s">
        <v>55</v>
      </c>
      <c r="B348" s="23"/>
      <c r="C348" s="2036"/>
      <c r="D348" s="2036"/>
      <c r="E348" s="2036"/>
      <c r="F348" s="2036"/>
      <c r="G348" s="2036"/>
      <c r="H348" s="2036"/>
    </row>
  </sheetData>
  <mergeCells count="48">
    <mergeCell ref="C338:H338"/>
    <mergeCell ref="C347:H347"/>
    <mergeCell ref="C348:H348"/>
    <mergeCell ref="C342:H342"/>
    <mergeCell ref="C344:H344"/>
    <mergeCell ref="C343:H343"/>
    <mergeCell ref="C339:H339"/>
    <mergeCell ref="C340:H340"/>
    <mergeCell ref="C341:H341"/>
    <mergeCell ref="C345:H345"/>
    <mergeCell ref="C332:H332"/>
    <mergeCell ref="C333:H333"/>
    <mergeCell ref="C334:H334"/>
    <mergeCell ref="C308:H308"/>
    <mergeCell ref="C310:H310"/>
    <mergeCell ref="C311:H311"/>
    <mergeCell ref="C312:H312"/>
    <mergeCell ref="C313:H313"/>
    <mergeCell ref="C316:H316"/>
    <mergeCell ref="C314:H314"/>
    <mergeCell ref="C317:H317"/>
    <mergeCell ref="C319:H319"/>
    <mergeCell ref="C320:H320"/>
    <mergeCell ref="E315:H315"/>
    <mergeCell ref="C318:I318"/>
    <mergeCell ref="C335:H335"/>
    <mergeCell ref="C336:H336"/>
    <mergeCell ref="C337:H337"/>
    <mergeCell ref="D208:E208"/>
    <mergeCell ref="D209:E209"/>
    <mergeCell ref="C324:H324"/>
    <mergeCell ref="C325:H325"/>
    <mergeCell ref="C326:H326"/>
    <mergeCell ref="C327:H327"/>
    <mergeCell ref="C328:H328"/>
    <mergeCell ref="C329:H329"/>
    <mergeCell ref="C321:H321"/>
    <mergeCell ref="C322:H322"/>
    <mergeCell ref="C323:H323"/>
    <mergeCell ref="C330:H330"/>
    <mergeCell ref="C331:H331"/>
    <mergeCell ref="A1:H1"/>
    <mergeCell ref="A3:H3"/>
    <mergeCell ref="C309:H309"/>
    <mergeCell ref="A307:B307"/>
    <mergeCell ref="D239:E240"/>
    <mergeCell ref="F239:F240"/>
    <mergeCell ref="C237:D237"/>
  </mergeCells>
  <printOptions horizontalCentered="1"/>
  <pageMargins left="0.5" right="0.5" top="0.7" bottom="0.7" header="0.3" footer="0.5"/>
  <pageSetup scale="53" fitToHeight="6" orientation="portrait" r:id="rId1"/>
  <headerFooter>
    <oddFooter>&amp;R&amp;A</oddFooter>
  </headerFooter>
  <rowBreaks count="1" manualBreakCount="1">
    <brk id="88" max="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25" workbookViewId="0">
      <selection activeCell="L6" sqref="L6"/>
    </sheetView>
  </sheetViews>
  <sheetFormatPr defaultColWidth="8.88671875" defaultRowHeight="13.2"/>
  <cols>
    <col min="1" max="1" width="5.33203125" style="1273" customWidth="1"/>
    <col min="2" max="2" width="58.109375" style="169" customWidth="1"/>
    <col min="3" max="3" width="17" style="169" bestFit="1" customWidth="1"/>
    <col min="4" max="4" width="13.109375" style="169" bestFit="1" customWidth="1"/>
    <col min="5" max="5" width="15.33203125" style="169" customWidth="1"/>
    <col min="6" max="7" width="8.88671875" style="169"/>
    <col min="8" max="9" width="10.44140625" style="169" bestFit="1" customWidth="1"/>
    <col min="10" max="16384" width="8.88671875" style="169"/>
  </cols>
  <sheetData>
    <row r="1" spans="1:9">
      <c r="A1" s="2067" t="str">
        <f>+'MISO Cover'!C6</f>
        <v>Entergy New Orleans, Inc.</v>
      </c>
      <c r="B1" s="2067"/>
      <c r="C1" s="2067"/>
      <c r="D1" s="2067"/>
      <c r="E1" s="2067"/>
      <c r="F1" s="837"/>
    </row>
    <row r="2" spans="1:9">
      <c r="A2" s="2068" t="s">
        <v>930</v>
      </c>
      <c r="B2" s="2068"/>
      <c r="C2" s="2068"/>
      <c r="D2" s="2068"/>
      <c r="E2" s="2068"/>
      <c r="F2" s="1253"/>
    </row>
    <row r="3" spans="1:9">
      <c r="A3" s="2067" t="str">
        <f>+'MISO Cover'!K4</f>
        <v>For  the 12 Months Ended 12/31/2016</v>
      </c>
      <c r="B3" s="2067"/>
      <c r="C3" s="2067"/>
      <c r="D3" s="2067"/>
      <c r="E3" s="2067"/>
      <c r="F3" s="839"/>
    </row>
    <row r="4" spans="1:9">
      <c r="A4" s="1416"/>
      <c r="B4" s="1416"/>
      <c r="C4" s="1416"/>
      <c r="D4" s="1416"/>
      <c r="E4" s="1416"/>
      <c r="F4" s="839"/>
    </row>
    <row r="5" spans="1:9">
      <c r="A5" s="1224"/>
      <c r="B5" s="646"/>
      <c r="C5" s="1290"/>
      <c r="D5" s="1290"/>
      <c r="E5" s="1290" t="s">
        <v>648</v>
      </c>
    </row>
    <row r="6" spans="1:9">
      <c r="A6" s="1254" t="s">
        <v>281</v>
      </c>
      <c r="B6" s="1342" t="s">
        <v>68</v>
      </c>
      <c r="C6" s="1342" t="s">
        <v>115</v>
      </c>
      <c r="D6" s="1342" t="s">
        <v>56</v>
      </c>
      <c r="E6" s="1343" t="s">
        <v>69</v>
      </c>
    </row>
    <row r="7" spans="1:9">
      <c r="A7" s="1255">
        <v>1</v>
      </c>
      <c r="B7" s="1466" t="s">
        <v>174</v>
      </c>
      <c r="C7" s="1466" t="s">
        <v>892</v>
      </c>
      <c r="D7" s="1466" t="s">
        <v>473</v>
      </c>
      <c r="E7" s="1466" t="s">
        <v>512</v>
      </c>
    </row>
    <row r="8" spans="1:9">
      <c r="A8" s="1256">
        <f>A7+0.01</f>
        <v>1.01</v>
      </c>
      <c r="B8" s="1040" t="s">
        <v>1271</v>
      </c>
      <c r="C8" s="1345">
        <v>0</v>
      </c>
      <c r="D8" s="1345">
        <v>0</v>
      </c>
      <c r="E8" s="957">
        <f>SUM(C8:D8)</f>
        <v>0</v>
      </c>
      <c r="F8" s="1225"/>
      <c r="G8" s="1193"/>
      <c r="H8" s="1257"/>
      <c r="I8" s="1258"/>
    </row>
    <row r="9" spans="1:9" s="1225" customFormat="1">
      <c r="A9" s="1256">
        <f t="shared" ref="A9:A35" si="0">A8+0.01</f>
        <v>1.02</v>
      </c>
      <c r="B9" s="1040" t="s">
        <v>1272</v>
      </c>
      <c r="C9" s="1345">
        <v>0</v>
      </c>
      <c r="D9" s="1345">
        <v>0</v>
      </c>
      <c r="E9" s="957">
        <f t="shared" ref="E9:E35" si="1">SUM(C9:D9)</f>
        <v>0</v>
      </c>
      <c r="F9" s="617"/>
      <c r="G9" s="1193"/>
      <c r="H9" s="1257"/>
      <c r="I9" s="1258"/>
    </row>
    <row r="10" spans="1:9" s="170" customFormat="1">
      <c r="A10" s="1256">
        <f t="shared" si="0"/>
        <v>1.03</v>
      </c>
      <c r="B10" s="1040" t="s">
        <v>1227</v>
      </c>
      <c r="C10" s="1345">
        <v>0</v>
      </c>
      <c r="D10" s="1345">
        <v>0</v>
      </c>
      <c r="E10" s="957">
        <f t="shared" si="1"/>
        <v>0</v>
      </c>
      <c r="F10" s="617"/>
      <c r="G10" s="1193"/>
      <c r="H10" s="1257"/>
      <c r="I10" s="1258"/>
    </row>
    <row r="11" spans="1:9" s="170" customFormat="1">
      <c r="A11" s="1256">
        <f t="shared" si="0"/>
        <v>1.04</v>
      </c>
      <c r="B11" s="1040" t="s">
        <v>1228</v>
      </c>
      <c r="C11" s="1345">
        <v>21.450000000000003</v>
      </c>
      <c r="D11" s="1345">
        <v>0</v>
      </c>
      <c r="E11" s="957">
        <f t="shared" si="1"/>
        <v>21.450000000000003</v>
      </c>
      <c r="F11" s="617"/>
      <c r="G11" s="1193"/>
      <c r="H11" s="1257"/>
      <c r="I11" s="1258"/>
    </row>
    <row r="12" spans="1:9" s="170" customFormat="1">
      <c r="A12" s="1256">
        <f t="shared" si="0"/>
        <v>1.05</v>
      </c>
      <c r="B12" s="1040" t="s">
        <v>1273</v>
      </c>
      <c r="C12" s="1345">
        <v>0</v>
      </c>
      <c r="D12" s="1345">
        <v>0</v>
      </c>
      <c r="E12" s="957">
        <f t="shared" si="1"/>
        <v>0</v>
      </c>
      <c r="F12" s="617"/>
      <c r="G12" s="1193"/>
      <c r="H12" s="1257"/>
      <c r="I12" s="1258"/>
    </row>
    <row r="13" spans="1:9" s="170" customFormat="1">
      <c r="A13" s="1256">
        <f t="shared" si="0"/>
        <v>1.06</v>
      </c>
      <c r="B13" s="1040" t="s">
        <v>1229</v>
      </c>
      <c r="C13" s="1345">
        <v>0</v>
      </c>
      <c r="D13" s="1345">
        <v>0</v>
      </c>
      <c r="E13" s="957">
        <f t="shared" si="1"/>
        <v>0</v>
      </c>
      <c r="F13" s="617"/>
      <c r="G13" s="1193"/>
      <c r="H13" s="1257"/>
      <c r="I13" s="1258"/>
    </row>
    <row r="14" spans="1:9" s="170" customFormat="1">
      <c r="A14" s="1256">
        <f t="shared" si="0"/>
        <v>1.07</v>
      </c>
      <c r="B14" s="1040" t="s">
        <v>1230</v>
      </c>
      <c r="C14" s="1345">
        <v>0</v>
      </c>
      <c r="D14" s="1345">
        <v>0</v>
      </c>
      <c r="E14" s="957">
        <f t="shared" si="1"/>
        <v>0</v>
      </c>
      <c r="F14" s="617"/>
      <c r="G14" s="1193"/>
      <c r="H14" s="1257"/>
      <c r="I14" s="1258"/>
    </row>
    <row r="15" spans="1:9" s="170" customFormat="1">
      <c r="A15" s="1256">
        <f t="shared" si="0"/>
        <v>1.08</v>
      </c>
      <c r="B15" s="1040" t="s">
        <v>1233</v>
      </c>
      <c r="C15" s="1345">
        <v>0</v>
      </c>
      <c r="D15" s="1345">
        <v>0</v>
      </c>
      <c r="E15" s="957">
        <f t="shared" si="1"/>
        <v>0</v>
      </c>
      <c r="F15" s="617"/>
      <c r="G15" s="1193"/>
      <c r="H15" s="1257"/>
      <c r="I15" s="1258"/>
    </row>
    <row r="16" spans="1:9" s="170" customFormat="1">
      <c r="A16" s="1256">
        <f t="shared" si="0"/>
        <v>1.0900000000000001</v>
      </c>
      <c r="B16" s="1040" t="s">
        <v>1234</v>
      </c>
      <c r="C16" s="1345">
        <v>0</v>
      </c>
      <c r="D16" s="1345">
        <v>0</v>
      </c>
      <c r="E16" s="957">
        <f t="shared" si="1"/>
        <v>0</v>
      </c>
      <c r="F16" s="617"/>
      <c r="G16" s="1193"/>
      <c r="H16" s="1257"/>
      <c r="I16" s="1258"/>
    </row>
    <row r="17" spans="1:9" s="170" customFormat="1">
      <c r="A17" s="1256">
        <f t="shared" si="0"/>
        <v>1.1000000000000001</v>
      </c>
      <c r="B17" s="1040" t="s">
        <v>1235</v>
      </c>
      <c r="C17" s="1345">
        <v>0</v>
      </c>
      <c r="D17" s="1345">
        <v>0</v>
      </c>
      <c r="E17" s="957">
        <f t="shared" si="1"/>
        <v>0</v>
      </c>
      <c r="F17" s="617"/>
      <c r="G17" s="1193"/>
      <c r="H17" s="1257"/>
      <c r="I17" s="1258"/>
    </row>
    <row r="18" spans="1:9" s="170" customFormat="1">
      <c r="A18" s="1256">
        <f t="shared" si="0"/>
        <v>1.1100000000000001</v>
      </c>
      <c r="B18" s="1040" t="s">
        <v>1237</v>
      </c>
      <c r="C18" s="1345">
        <v>0</v>
      </c>
      <c r="D18" s="1345">
        <v>0</v>
      </c>
      <c r="E18" s="957">
        <f t="shared" si="1"/>
        <v>0</v>
      </c>
      <c r="F18" s="617"/>
      <c r="G18" s="1193"/>
      <c r="H18" s="1257"/>
      <c r="I18" s="1258"/>
    </row>
    <row r="19" spans="1:9" s="170" customFormat="1">
      <c r="A19" s="1256">
        <f t="shared" si="0"/>
        <v>1.1200000000000001</v>
      </c>
      <c r="B19" s="1040" t="s">
        <v>1240</v>
      </c>
      <c r="C19" s="1345">
        <v>0</v>
      </c>
      <c r="D19" s="1345">
        <v>0</v>
      </c>
      <c r="E19" s="957">
        <f t="shared" si="1"/>
        <v>0</v>
      </c>
      <c r="F19" s="617"/>
      <c r="G19" s="1193"/>
      <c r="H19" s="1257"/>
      <c r="I19" s="1258"/>
    </row>
    <row r="20" spans="1:9" s="170" customFormat="1">
      <c r="A20" s="1256">
        <f t="shared" si="0"/>
        <v>1.1300000000000001</v>
      </c>
      <c r="B20" s="1040" t="s">
        <v>1242</v>
      </c>
      <c r="C20" s="1345">
        <v>0</v>
      </c>
      <c r="D20" s="1345">
        <v>0</v>
      </c>
      <c r="E20" s="957">
        <f t="shared" si="1"/>
        <v>0</v>
      </c>
      <c r="F20" s="617"/>
      <c r="G20" s="1193"/>
      <c r="H20" s="1257"/>
      <c r="I20" s="1258"/>
    </row>
    <row r="21" spans="1:9" s="170" customFormat="1">
      <c r="A21" s="1256">
        <f t="shared" si="0"/>
        <v>1.1400000000000001</v>
      </c>
      <c r="B21" s="1040" t="s">
        <v>1244</v>
      </c>
      <c r="C21" s="1345">
        <v>0</v>
      </c>
      <c r="D21" s="1345">
        <v>0</v>
      </c>
      <c r="E21" s="957">
        <f t="shared" si="1"/>
        <v>0</v>
      </c>
      <c r="F21" s="617"/>
      <c r="G21" s="1193"/>
      <c r="H21" s="1257"/>
      <c r="I21" s="1258"/>
    </row>
    <row r="22" spans="1:9" s="170" customFormat="1">
      <c r="A22" s="1256">
        <f t="shared" si="0"/>
        <v>1.1500000000000001</v>
      </c>
      <c r="B22" s="1040" t="s">
        <v>1274</v>
      </c>
      <c r="C22" s="1345">
        <v>0</v>
      </c>
      <c r="D22" s="1345">
        <v>0</v>
      </c>
      <c r="E22" s="957">
        <f t="shared" si="1"/>
        <v>0</v>
      </c>
      <c r="F22" s="617"/>
      <c r="G22" s="1193"/>
      <c r="H22" s="1257"/>
      <c r="I22" s="1258"/>
    </row>
    <row r="23" spans="1:9" s="170" customFormat="1">
      <c r="A23" s="1256">
        <f t="shared" si="0"/>
        <v>1.1600000000000001</v>
      </c>
      <c r="B23" s="1040" t="s">
        <v>1275</v>
      </c>
      <c r="C23" s="1345">
        <v>0</v>
      </c>
      <c r="D23" s="1345">
        <v>0</v>
      </c>
      <c r="E23" s="957">
        <f t="shared" si="1"/>
        <v>0</v>
      </c>
      <c r="F23" s="617"/>
      <c r="G23" s="1193"/>
      <c r="H23" s="1257"/>
      <c r="I23" s="1258"/>
    </row>
    <row r="24" spans="1:9" s="170" customFormat="1">
      <c r="A24" s="1256">
        <f t="shared" si="0"/>
        <v>1.1700000000000002</v>
      </c>
      <c r="B24" s="1040" t="s">
        <v>1276</v>
      </c>
      <c r="C24" s="1345">
        <v>0</v>
      </c>
      <c r="D24" s="1345">
        <v>0</v>
      </c>
      <c r="E24" s="957">
        <f t="shared" si="1"/>
        <v>0</v>
      </c>
      <c r="F24" s="617"/>
      <c r="G24" s="1193"/>
      <c r="H24" s="1257"/>
      <c r="I24" s="1258"/>
    </row>
    <row r="25" spans="1:9" s="170" customFormat="1">
      <c r="A25" s="1256">
        <f t="shared" si="0"/>
        <v>1.1800000000000002</v>
      </c>
      <c r="B25" s="1040" t="s">
        <v>1277</v>
      </c>
      <c r="C25" s="1345">
        <v>0</v>
      </c>
      <c r="D25" s="1345">
        <v>0</v>
      </c>
      <c r="E25" s="957">
        <f t="shared" si="1"/>
        <v>0</v>
      </c>
      <c r="F25" s="617"/>
      <c r="G25" s="1193"/>
      <c r="H25" s="1257"/>
      <c r="I25" s="1258"/>
    </row>
    <row r="26" spans="1:9" s="170" customFormat="1">
      <c r="A26" s="1256">
        <f t="shared" si="0"/>
        <v>1.1900000000000002</v>
      </c>
      <c r="B26" s="1040" t="s">
        <v>1278</v>
      </c>
      <c r="C26" s="1345">
        <v>0</v>
      </c>
      <c r="D26" s="1345">
        <v>0</v>
      </c>
      <c r="E26" s="957">
        <f t="shared" si="1"/>
        <v>0</v>
      </c>
      <c r="F26" s="994"/>
      <c r="G26" s="1193"/>
      <c r="H26" s="1257"/>
      <c r="I26" s="1258"/>
    </row>
    <row r="27" spans="1:9" s="170" customFormat="1">
      <c r="A27" s="1256">
        <f t="shared" si="0"/>
        <v>1.2000000000000002</v>
      </c>
      <c r="B27" s="1040" t="s">
        <v>1249</v>
      </c>
      <c r="C27" s="1345">
        <v>0</v>
      </c>
      <c r="D27" s="1345">
        <v>0</v>
      </c>
      <c r="E27" s="957">
        <f t="shared" si="1"/>
        <v>0</v>
      </c>
      <c r="F27" s="617"/>
      <c r="G27" s="1193"/>
      <c r="H27" s="1257"/>
      <c r="I27" s="1258"/>
    </row>
    <row r="28" spans="1:9" s="170" customFormat="1">
      <c r="A28" s="1256">
        <f t="shared" si="0"/>
        <v>1.2100000000000002</v>
      </c>
      <c r="B28" s="1040" t="s">
        <v>1279</v>
      </c>
      <c r="C28" s="1345">
        <v>0</v>
      </c>
      <c r="D28" s="1345">
        <v>0</v>
      </c>
      <c r="E28" s="957">
        <f t="shared" si="1"/>
        <v>0</v>
      </c>
      <c r="F28" s="617"/>
      <c r="G28" s="1193"/>
      <c r="H28" s="1257"/>
      <c r="I28" s="1258"/>
    </row>
    <row r="29" spans="1:9" s="170" customFormat="1">
      <c r="A29" s="1256">
        <f t="shared" si="0"/>
        <v>1.2200000000000002</v>
      </c>
      <c r="B29" s="1040" t="s">
        <v>1251</v>
      </c>
      <c r="C29" s="1345">
        <v>0</v>
      </c>
      <c r="D29" s="1345">
        <v>0</v>
      </c>
      <c r="E29" s="957">
        <f t="shared" si="1"/>
        <v>0</v>
      </c>
      <c r="F29" s="617"/>
      <c r="G29" s="1193"/>
      <c r="H29" s="1257"/>
      <c r="I29" s="1258"/>
    </row>
    <row r="30" spans="1:9" s="170" customFormat="1">
      <c r="A30" s="1256">
        <f t="shared" si="0"/>
        <v>1.2300000000000002</v>
      </c>
      <c r="B30" s="1040" t="s">
        <v>1253</v>
      </c>
      <c r="C30" s="1345">
        <v>0</v>
      </c>
      <c r="D30" s="1345">
        <v>-193.89000000000001</v>
      </c>
      <c r="E30" s="957">
        <f t="shared" si="1"/>
        <v>-193.89000000000001</v>
      </c>
      <c r="F30" s="617"/>
      <c r="G30" s="1193"/>
      <c r="H30" s="1257"/>
      <c r="I30" s="1258"/>
    </row>
    <row r="31" spans="1:9" s="170" customFormat="1">
      <c r="A31" s="1256">
        <f t="shared" si="0"/>
        <v>1.2400000000000002</v>
      </c>
      <c r="B31" s="1040" t="s">
        <v>1254</v>
      </c>
      <c r="C31" s="1345">
        <v>0</v>
      </c>
      <c r="D31" s="1345">
        <v>0</v>
      </c>
      <c r="E31" s="957">
        <f t="shared" si="1"/>
        <v>0</v>
      </c>
      <c r="F31" s="617"/>
      <c r="G31" s="1193"/>
      <c r="H31" s="1257"/>
      <c r="I31" s="1258"/>
    </row>
    <row r="32" spans="1:9" s="170" customFormat="1">
      <c r="A32" s="1256">
        <f t="shared" si="0"/>
        <v>1.2500000000000002</v>
      </c>
      <c r="B32" s="1040" t="s">
        <v>1255</v>
      </c>
      <c r="C32" s="1345">
        <v>183246.62999999998</v>
      </c>
      <c r="D32" s="1345">
        <v>0</v>
      </c>
      <c r="E32" s="957">
        <f t="shared" si="1"/>
        <v>183246.62999999998</v>
      </c>
      <c r="F32" s="617"/>
      <c r="G32" s="1193"/>
      <c r="H32" s="1257"/>
      <c r="I32" s="1258"/>
    </row>
    <row r="33" spans="1:9" s="170" customFormat="1">
      <c r="A33" s="1256">
        <f t="shared" si="0"/>
        <v>1.2600000000000002</v>
      </c>
      <c r="B33" s="1040" t="s">
        <v>1258</v>
      </c>
      <c r="C33" s="1345">
        <v>104.15</v>
      </c>
      <c r="D33" s="1345">
        <v>75.63000000000001</v>
      </c>
      <c r="E33" s="957">
        <f t="shared" si="1"/>
        <v>179.78000000000003</v>
      </c>
      <c r="F33" s="617"/>
      <c r="G33" s="1193"/>
      <c r="H33" s="1257"/>
      <c r="I33" s="1258"/>
    </row>
    <row r="34" spans="1:9" s="170" customFormat="1">
      <c r="A34" s="1256">
        <f t="shared" si="0"/>
        <v>1.2700000000000002</v>
      </c>
      <c r="B34" s="1040" t="s">
        <v>1259</v>
      </c>
      <c r="C34" s="1345">
        <v>0</v>
      </c>
      <c r="D34" s="1345">
        <v>0</v>
      </c>
      <c r="E34" s="957">
        <f t="shared" si="1"/>
        <v>0</v>
      </c>
      <c r="F34" s="617"/>
      <c r="G34" s="1715" t="s">
        <v>1487</v>
      </c>
      <c r="H34" s="1257"/>
      <c r="I34" s="1258"/>
    </row>
    <row r="35" spans="1:9" s="170" customFormat="1">
      <c r="A35" s="1256">
        <f t="shared" si="0"/>
        <v>1.2800000000000002</v>
      </c>
      <c r="B35" s="1040" t="s">
        <v>1261</v>
      </c>
      <c r="C35" s="1345">
        <v>0</v>
      </c>
      <c r="D35" s="1345">
        <v>0</v>
      </c>
      <c r="E35" s="957">
        <f t="shared" si="1"/>
        <v>0</v>
      </c>
      <c r="F35" s="617"/>
      <c r="G35" s="1193"/>
      <c r="H35" s="1257"/>
      <c r="I35" s="1258"/>
    </row>
    <row r="36" spans="1:9" s="170" customFormat="1" ht="13.8" thickBot="1">
      <c r="A36" s="1255">
        <f>A7+1</f>
        <v>2</v>
      </c>
      <c r="B36" s="646" t="s">
        <v>800</v>
      </c>
      <c r="C36" s="647">
        <f>SUM(C8:C35)</f>
        <v>183372.22999999998</v>
      </c>
      <c r="D36" s="647">
        <f>SUM(D8:D35)</f>
        <v>-118.26</v>
      </c>
      <c r="E36" s="1034">
        <f>SUM(E8:E35)</f>
        <v>183253.96999999997</v>
      </c>
      <c r="F36" s="617"/>
      <c r="H36" s="1257"/>
      <c r="I36" s="1257"/>
    </row>
    <row r="37" spans="1:9" s="170" customFormat="1" ht="13.8" thickTop="1">
      <c r="A37" s="1255">
        <f>A36+1</f>
        <v>3</v>
      </c>
      <c r="B37" s="1259"/>
      <c r="C37" s="1259"/>
      <c r="D37" s="1260"/>
      <c r="E37" s="1260"/>
      <c r="F37" s="1260"/>
    </row>
    <row r="38" spans="1:9" s="1261" customFormat="1">
      <c r="A38" s="1255">
        <f t="shared" ref="A38:A43" si="2">A37+1</f>
        <v>4</v>
      </c>
      <c r="B38" s="1259" t="s">
        <v>561</v>
      </c>
      <c r="C38" s="1259"/>
      <c r="D38" s="1260"/>
      <c r="E38" s="1260"/>
      <c r="F38" s="1260"/>
    </row>
    <row r="39" spans="1:9" s="1261" customFormat="1">
      <c r="A39" s="1255">
        <f t="shared" si="2"/>
        <v>5</v>
      </c>
      <c r="B39" s="1262" t="s">
        <v>647</v>
      </c>
      <c r="C39" s="1263">
        <f t="shared" ref="C39:E40" si="3">+C18</f>
        <v>0</v>
      </c>
      <c r="D39" s="1263">
        <f t="shared" si="3"/>
        <v>0</v>
      </c>
      <c r="E39" s="1263">
        <f t="shared" si="3"/>
        <v>0</v>
      </c>
      <c r="F39" s="1263"/>
    </row>
    <row r="40" spans="1:9" s="1261" customFormat="1" ht="15">
      <c r="A40" s="1255">
        <f t="shared" si="2"/>
        <v>6</v>
      </c>
      <c r="B40" s="1262" t="s">
        <v>503</v>
      </c>
      <c r="C40" s="677">
        <f t="shared" si="3"/>
        <v>0</v>
      </c>
      <c r="D40" s="677">
        <f t="shared" si="3"/>
        <v>0</v>
      </c>
      <c r="E40" s="677">
        <f t="shared" si="3"/>
        <v>0</v>
      </c>
      <c r="F40" s="677"/>
    </row>
    <row r="41" spans="1:9" s="1261" customFormat="1">
      <c r="A41" s="1255">
        <f t="shared" si="2"/>
        <v>7</v>
      </c>
      <c r="B41" s="1264" t="s">
        <v>778</v>
      </c>
      <c r="C41" s="1263">
        <f>SUM(C39:C40)</f>
        <v>0</v>
      </c>
      <c r="D41" s="1263">
        <f>SUM(D39:D40)</f>
        <v>0</v>
      </c>
      <c r="E41" s="1263">
        <f>SUM(E39:E40)</f>
        <v>0</v>
      </c>
      <c r="F41" s="1263"/>
    </row>
    <row r="42" spans="1:9" s="1265" customFormat="1" ht="15">
      <c r="A42" s="1255">
        <f t="shared" si="2"/>
        <v>8</v>
      </c>
      <c r="B42" s="1259" t="s">
        <v>870</v>
      </c>
      <c r="C42" s="677">
        <f>SUM(C17:C21)-C41</f>
        <v>0</v>
      </c>
      <c r="D42" s="677">
        <f>SUM(D17:D21)-D41</f>
        <v>0</v>
      </c>
      <c r="E42" s="677">
        <f>SUM(E17:E21)-E41</f>
        <v>0</v>
      </c>
      <c r="F42" s="866"/>
    </row>
    <row r="43" spans="1:9" s="1261" customFormat="1">
      <c r="A43" s="1255">
        <f t="shared" si="2"/>
        <v>9</v>
      </c>
      <c r="B43" s="1259" t="s">
        <v>740</v>
      </c>
      <c r="C43" s="1263">
        <f>+C41+C42</f>
        <v>0</v>
      </c>
      <c r="D43" s="1263">
        <f>+D41+D42</f>
        <v>0</v>
      </c>
      <c r="E43" s="1263">
        <f>+E41+E42</f>
        <v>0</v>
      </c>
      <c r="F43" s="1263"/>
    </row>
    <row r="44" spans="1:9" s="1261" customFormat="1">
      <c r="A44" s="1255">
        <f t="shared" ref="A44:A55" si="4">+A43+1</f>
        <v>10</v>
      </c>
      <c r="B44" s="616"/>
      <c r="C44" s="283"/>
      <c r="D44" s="283"/>
      <c r="E44" s="283"/>
      <c r="F44" s="617"/>
    </row>
    <row r="45" spans="1:9" s="170" customFormat="1">
      <c r="A45" s="1255">
        <f t="shared" si="4"/>
        <v>11</v>
      </c>
      <c r="B45" s="1259" t="s">
        <v>52</v>
      </c>
      <c r="C45" s="1259"/>
      <c r="D45" s="1259"/>
      <c r="E45" s="1259"/>
      <c r="F45" s="1266"/>
    </row>
    <row r="46" spans="1:9" s="170" customFormat="1">
      <c r="A46" s="1255">
        <f t="shared" si="4"/>
        <v>12</v>
      </c>
      <c r="B46" s="1262" t="s">
        <v>670</v>
      </c>
      <c r="C46" s="1267">
        <f>+C8+C9+C12</f>
        <v>0</v>
      </c>
      <c r="D46" s="1267">
        <f>+D8+D9+D12</f>
        <v>0</v>
      </c>
      <c r="E46" s="1267">
        <f>+E8+E9+E12</f>
        <v>0</v>
      </c>
    </row>
    <row r="47" spans="1:9" s="170" customFormat="1">
      <c r="A47" s="1255">
        <f t="shared" si="4"/>
        <v>13</v>
      </c>
      <c r="B47" s="1262" t="s">
        <v>669</v>
      </c>
      <c r="C47" s="1268">
        <f t="shared" ref="C47:E48" si="5">+C10</f>
        <v>0</v>
      </c>
      <c r="D47" s="1268">
        <f t="shared" si="5"/>
        <v>0</v>
      </c>
      <c r="E47" s="1268">
        <f t="shared" si="5"/>
        <v>0</v>
      </c>
    </row>
    <row r="48" spans="1:9" s="170" customFormat="1">
      <c r="A48" s="1255">
        <f t="shared" si="4"/>
        <v>14</v>
      </c>
      <c r="B48" s="1262" t="s">
        <v>668</v>
      </c>
      <c r="C48" s="1268">
        <f t="shared" si="5"/>
        <v>21.450000000000003</v>
      </c>
      <c r="D48" s="1268">
        <f t="shared" si="5"/>
        <v>0</v>
      </c>
      <c r="E48" s="1268">
        <f t="shared" si="5"/>
        <v>21.450000000000003</v>
      </c>
    </row>
    <row r="49" spans="1:10" s="170" customFormat="1">
      <c r="A49" s="1255">
        <f t="shared" si="4"/>
        <v>15</v>
      </c>
      <c r="B49" s="1262" t="s">
        <v>871</v>
      </c>
      <c r="C49" s="1267">
        <f>SUM(C13:C16)</f>
        <v>0</v>
      </c>
      <c r="D49" s="1267">
        <f>SUM(D13:D16)</f>
        <v>0</v>
      </c>
      <c r="E49" s="1267">
        <f>SUM(E13:E16)</f>
        <v>0</v>
      </c>
    </row>
    <row r="50" spans="1:10" s="170" customFormat="1">
      <c r="A50" s="1255">
        <f t="shared" si="4"/>
        <v>16</v>
      </c>
      <c r="B50" s="1262" t="s">
        <v>661</v>
      </c>
      <c r="C50" s="1267">
        <f>SUM(C17:C21)</f>
        <v>0</v>
      </c>
      <c r="D50" s="1267">
        <f>SUM(D17:D21)</f>
        <v>0</v>
      </c>
      <c r="E50" s="1267">
        <f>SUM(E17:E21)</f>
        <v>0</v>
      </c>
    </row>
    <row r="51" spans="1:10" s="170" customFormat="1">
      <c r="A51" s="1255">
        <f t="shared" si="4"/>
        <v>17</v>
      </c>
      <c r="B51" s="1262" t="s">
        <v>663</v>
      </c>
      <c r="C51" s="1267"/>
      <c r="D51" s="1267"/>
      <c r="E51" s="1267"/>
    </row>
    <row r="52" spans="1:10" s="170" customFormat="1">
      <c r="A52" s="1255">
        <f t="shared" si="4"/>
        <v>18</v>
      </c>
      <c r="B52" s="1262" t="s">
        <v>664</v>
      </c>
      <c r="C52" s="1267">
        <f>+SUM(C22:C25)</f>
        <v>0</v>
      </c>
      <c r="D52" s="1267">
        <f>+SUM(D22:D25)</f>
        <v>0</v>
      </c>
      <c r="E52" s="1267">
        <f>+SUM(E22:E25)</f>
        <v>0</v>
      </c>
    </row>
    <row r="53" spans="1:10" s="170" customFormat="1">
      <c r="A53" s="1255">
        <f t="shared" si="4"/>
        <v>19</v>
      </c>
      <c r="B53" s="1262" t="s">
        <v>665</v>
      </c>
      <c r="C53" s="1267">
        <f>+SUM(C26:C27)</f>
        <v>0</v>
      </c>
      <c r="D53" s="1267">
        <f>+SUM(D26:D27)</f>
        <v>0</v>
      </c>
      <c r="E53" s="1267">
        <f>+SUM(E26:E27)</f>
        <v>0</v>
      </c>
    </row>
    <row r="54" spans="1:10" s="170" customFormat="1">
      <c r="A54" s="1255">
        <f t="shared" si="4"/>
        <v>20</v>
      </c>
      <c r="B54" s="1262" t="s">
        <v>666</v>
      </c>
      <c r="C54" s="1267">
        <f>+SUM(C28:C29)</f>
        <v>0</v>
      </c>
      <c r="D54" s="1267">
        <f>+SUM(D28:D29)</f>
        <v>0</v>
      </c>
      <c r="E54" s="1267">
        <f>+SUM(E28:E29)</f>
        <v>0</v>
      </c>
    </row>
    <row r="55" spans="1:10" s="170" customFormat="1">
      <c r="A55" s="1255">
        <f t="shared" si="4"/>
        <v>21</v>
      </c>
      <c r="B55" s="1262" t="s">
        <v>667</v>
      </c>
      <c r="C55" s="1268">
        <f>SUM(C30:C35)</f>
        <v>183350.77999999997</v>
      </c>
      <c r="D55" s="1268">
        <f>SUM(D30:D35)</f>
        <v>-118.26</v>
      </c>
      <c r="E55" s="1268">
        <f>SUM(E30:E35)</f>
        <v>183232.51999999996</v>
      </c>
    </row>
    <row r="56" spans="1:10" s="170" customFormat="1" ht="13.8" thickBot="1">
      <c r="A56" s="1255">
        <f>A55+1</f>
        <v>22</v>
      </c>
      <c r="B56" s="1259" t="str">
        <f>B36</f>
        <v>Total  Sum Line 1 Subparts</v>
      </c>
      <c r="C56" s="1269">
        <f>SUM(C46:C55)</f>
        <v>183372.22999999998</v>
      </c>
      <c r="D56" s="1269">
        <f>SUM(D46:D55)</f>
        <v>-118.26</v>
      </c>
      <c r="E56" s="1269">
        <f>SUM(E46:E55)</f>
        <v>183253.96999999997</v>
      </c>
    </row>
    <row r="57" spans="1:10" s="170" customFormat="1" ht="13.8" thickTop="1">
      <c r="A57" s="1270">
        <f>A56+1</f>
        <v>23</v>
      </c>
      <c r="B57" s="1259"/>
      <c r="C57" s="1259"/>
      <c r="D57" s="1259"/>
      <c r="E57" s="1271"/>
      <c r="F57" s="1267"/>
    </row>
    <row r="58" spans="1:10" s="170" customFormat="1">
      <c r="A58" s="1270">
        <f>A57+1</f>
        <v>24</v>
      </c>
      <c r="B58" s="1282" t="s">
        <v>893</v>
      </c>
      <c r="C58" s="1267"/>
      <c r="D58" s="1267">
        <f>SUM(D46:D54)</f>
        <v>0</v>
      </c>
      <c r="E58" s="1267"/>
      <c r="F58" s="169"/>
    </row>
    <row r="59" spans="1:10" s="170" customFormat="1">
      <c r="A59" s="1270"/>
      <c r="B59" s="1264"/>
      <c r="C59" s="1267"/>
      <c r="D59" s="1267"/>
      <c r="E59" s="1267"/>
      <c r="F59" s="169"/>
    </row>
    <row r="60" spans="1:10" s="170" customFormat="1">
      <c r="A60" s="170" t="s">
        <v>193</v>
      </c>
      <c r="B60" s="616"/>
      <c r="C60" s="283"/>
      <c r="D60" s="283"/>
      <c r="E60" s="283"/>
      <c r="F60" s="169"/>
    </row>
    <row r="61" spans="1:10">
      <c r="A61" s="1144" t="s">
        <v>171</v>
      </c>
      <c r="B61" s="646" t="s">
        <v>872</v>
      </c>
      <c r="C61" s="646"/>
      <c r="D61" s="646"/>
      <c r="E61" s="646"/>
    </row>
    <row r="62" spans="1:10">
      <c r="A62" s="1144" t="s">
        <v>320</v>
      </c>
      <c r="B62" s="169" t="s">
        <v>894</v>
      </c>
      <c r="C62" s="1272"/>
      <c r="D62" s="1272"/>
      <c r="E62" s="1272"/>
    </row>
    <row r="63" spans="1:10">
      <c r="A63" s="1144" t="s">
        <v>321</v>
      </c>
      <c r="B63" s="646" t="s">
        <v>1486</v>
      </c>
      <c r="C63" s="646"/>
      <c r="D63" s="646"/>
      <c r="E63" s="646"/>
    </row>
    <row r="64" spans="1:10" s="613" customFormat="1">
      <c r="A64" s="1146"/>
      <c r="B64" s="1466" t="s">
        <v>174</v>
      </c>
      <c r="C64" s="1466" t="s">
        <v>892</v>
      </c>
      <c r="D64" s="1466" t="s">
        <v>473</v>
      </c>
      <c r="E64" s="1466" t="s">
        <v>512</v>
      </c>
      <c r="F64" s="1038"/>
      <c r="G64" s="1039"/>
      <c r="H64" s="1038"/>
      <c r="I64" s="1038"/>
      <c r="J64" s="1038"/>
    </row>
    <row r="65" spans="1:10" s="613" customFormat="1">
      <c r="A65" s="1037"/>
      <c r="B65" s="1040" t="s">
        <v>1259</v>
      </c>
      <c r="C65" s="1345">
        <v>52.78</v>
      </c>
      <c r="D65" s="1345">
        <v>-18.940000000000019</v>
      </c>
      <c r="E65" s="1713">
        <f t="shared" ref="E65" si="6">SUM(C65:D65)</f>
        <v>33.839999999999982</v>
      </c>
      <c r="F65" s="1038"/>
      <c r="G65" s="1039"/>
      <c r="H65" s="1038"/>
      <c r="I65" s="1038"/>
      <c r="J65" s="1038"/>
    </row>
    <row r="66" spans="1:10" ht="13.8" thickBot="1">
      <c r="A66" s="1040"/>
      <c r="B66" s="646" t="s">
        <v>800</v>
      </c>
      <c r="C66" s="1714">
        <f>+C36</f>
        <v>183372.22999999998</v>
      </c>
      <c r="D66" s="1714">
        <f>+D36</f>
        <v>-118.26</v>
      </c>
      <c r="E66" s="1714">
        <f>+C66+D66</f>
        <v>183253.96999999997</v>
      </c>
    </row>
    <row r="67" spans="1:10" ht="13.8" thickTop="1">
      <c r="A67" s="1040"/>
      <c r="B67" s="646" t="s">
        <v>1488</v>
      </c>
      <c r="C67" s="1711">
        <f>+C65+C66</f>
        <v>183425.00999999998</v>
      </c>
      <c r="D67" s="1711">
        <f t="shared" ref="D67:E67" si="7">+D65+D66</f>
        <v>-137.20000000000002</v>
      </c>
      <c r="E67" s="1711">
        <f t="shared" si="7"/>
        <v>183287.80999999997</v>
      </c>
    </row>
  </sheetData>
  <mergeCells count="3">
    <mergeCell ref="A1:E1"/>
    <mergeCell ref="A2:E2"/>
    <mergeCell ref="A3:E3"/>
  </mergeCells>
  <printOptions horizontalCentered="1"/>
  <pageMargins left="0.7" right="0.7" top="0.7" bottom="0.7" header="0.3" footer="0.5"/>
  <pageSetup scale="80" orientation="portrait"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L6" sqref="L6"/>
    </sheetView>
  </sheetViews>
  <sheetFormatPr defaultRowHeight="13.2"/>
  <cols>
    <col min="2" max="2" width="12.33203125" customWidth="1"/>
    <col min="3" max="3" width="13.44140625" customWidth="1"/>
    <col min="4" max="4" width="22.33203125" customWidth="1"/>
  </cols>
  <sheetData>
    <row r="1" spans="1:9">
      <c r="A1" s="2038" t="str">
        <f>+'MISO Cover'!C6</f>
        <v>Entergy New Orleans, Inc.</v>
      </c>
      <c r="B1" s="2038"/>
      <c r="C1" s="2038"/>
      <c r="D1" s="2038"/>
      <c r="E1" s="187"/>
      <c r="F1" s="187"/>
      <c r="G1" s="187"/>
      <c r="H1" s="187"/>
      <c r="I1" s="187"/>
    </row>
    <row r="2" spans="1:9">
      <c r="A2" s="2039" t="s">
        <v>1419</v>
      </c>
      <c r="B2" s="2039"/>
      <c r="C2" s="2039"/>
      <c r="D2" s="2039"/>
      <c r="E2" s="179"/>
      <c r="F2" s="179"/>
      <c r="G2" s="179"/>
      <c r="H2" s="179"/>
      <c r="I2" s="179"/>
    </row>
    <row r="3" spans="1:9">
      <c r="A3" s="2038" t="str">
        <f>+'MISO Cover'!K4</f>
        <v>For  the 12 Months Ended 12/31/2016</v>
      </c>
      <c r="B3" s="2038"/>
      <c r="C3" s="2038"/>
      <c r="D3" s="2038"/>
      <c r="E3" s="187"/>
      <c r="F3" s="187"/>
      <c r="G3" s="187"/>
      <c r="H3" s="187"/>
      <c r="I3" s="187"/>
    </row>
    <row r="5" spans="1:9">
      <c r="A5" s="197" t="s">
        <v>281</v>
      </c>
      <c r="B5" s="197" t="s">
        <v>68</v>
      </c>
      <c r="C5" s="197" t="s">
        <v>115</v>
      </c>
      <c r="D5" s="197" t="s">
        <v>1420</v>
      </c>
    </row>
    <row r="6" spans="1:9">
      <c r="A6" s="197">
        <v>1</v>
      </c>
      <c r="B6" s="197" t="s">
        <v>1421</v>
      </c>
      <c r="C6" s="197" t="s">
        <v>1422</v>
      </c>
      <c r="D6" s="197" t="s">
        <v>1423</v>
      </c>
    </row>
    <row r="7" spans="1:9">
      <c r="A7" s="197">
        <v>2</v>
      </c>
      <c r="B7" s="1633">
        <v>0.12379999999999999</v>
      </c>
      <c r="C7">
        <v>271</v>
      </c>
      <c r="D7" s="1634">
        <f>B7*C7/C9</f>
        <v>9.1666120218579228E-2</v>
      </c>
    </row>
    <row r="8" spans="1:9">
      <c r="A8" s="197">
        <v>3</v>
      </c>
      <c r="B8" s="1633">
        <v>0.1082</v>
      </c>
      <c r="C8">
        <v>95</v>
      </c>
      <c r="D8" s="1634">
        <f>B8*C8/C9</f>
        <v>2.8084699453551912E-2</v>
      </c>
    </row>
    <row r="9" spans="1:9">
      <c r="A9" s="197">
        <v>4</v>
      </c>
      <c r="B9" s="1635" t="s">
        <v>114</v>
      </c>
      <c r="C9" s="1636">
        <f>C7+C8</f>
        <v>366</v>
      </c>
      <c r="D9" s="1637">
        <f>D7+D8</f>
        <v>0.11975081967213114</v>
      </c>
    </row>
  </sheetData>
  <mergeCells count="3">
    <mergeCell ref="A1:D1"/>
    <mergeCell ref="A2:D2"/>
    <mergeCell ref="A3:D3"/>
  </mergeCells>
  <printOptions horizontalCentered="1"/>
  <pageMargins left="0.7" right="0.7" top="0.75" bottom="0.75" header="0.3" footer="0.5"/>
  <pageSetup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zoomScaleNormal="100" zoomScaleSheetLayoutView="80" workbookViewId="0">
      <selection activeCell="L6" sqref="L6"/>
    </sheetView>
  </sheetViews>
  <sheetFormatPr defaultColWidth="9.109375" defaultRowHeight="13.2"/>
  <cols>
    <col min="1" max="1" width="6.44140625" style="44" bestFit="1" customWidth="1"/>
    <col min="2" max="2" width="7.6640625" style="44" customWidth="1"/>
    <col min="3" max="3" width="8.6640625" style="43" customWidth="1"/>
    <col min="4" max="5" width="8.6640625" style="44" customWidth="1"/>
    <col min="6" max="6" width="16.6640625" style="44" customWidth="1"/>
    <col min="7" max="7" width="14.6640625" style="44" customWidth="1"/>
    <col min="8" max="9" width="15.6640625" style="44" customWidth="1"/>
    <col min="10" max="10" width="8.88671875" style="44"/>
    <col min="11" max="12" width="11.6640625" style="44" customWidth="1"/>
    <col min="13" max="13" width="12.44140625" style="44" bestFit="1" customWidth="1"/>
    <col min="14" max="16384" width="9.109375" style="66"/>
  </cols>
  <sheetData>
    <row r="1" spans="1:14">
      <c r="A1" s="2039" t="str">
        <f>+'MISO Cover'!C6</f>
        <v>Entergy New Orleans, Inc.</v>
      </c>
      <c r="B1" s="2039"/>
      <c r="C1" s="2039"/>
      <c r="D1" s="2039"/>
      <c r="E1" s="2039"/>
      <c r="F1" s="2039"/>
      <c r="G1" s="2039"/>
      <c r="H1" s="2039"/>
      <c r="I1" s="2039"/>
    </row>
    <row r="2" spans="1:14">
      <c r="A2" s="2040" t="s">
        <v>924</v>
      </c>
      <c r="B2" s="2040"/>
      <c r="C2" s="2040"/>
      <c r="D2" s="2040"/>
      <c r="E2" s="2040"/>
      <c r="F2" s="2040"/>
      <c r="G2" s="2040"/>
      <c r="H2" s="2040"/>
      <c r="I2" s="2040"/>
    </row>
    <row r="3" spans="1:14" s="79" customFormat="1">
      <c r="A3" s="2040" t="str">
        <f>+'MISO Cover'!K4</f>
        <v>For  the 12 Months Ended 12/31/2016</v>
      </c>
      <c r="B3" s="2040"/>
      <c r="C3" s="2040"/>
      <c r="D3" s="2040"/>
      <c r="E3" s="2040"/>
      <c r="F3" s="2040"/>
      <c r="G3" s="2040"/>
      <c r="H3" s="2040"/>
      <c r="I3" s="2040"/>
      <c r="J3" s="43"/>
      <c r="K3" s="43"/>
      <c r="L3" s="43"/>
      <c r="M3" s="43"/>
    </row>
    <row r="4" spans="1:14">
      <c r="A4" s="2039" t="s">
        <v>424</v>
      </c>
      <c r="B4" s="2039"/>
      <c r="C4" s="2039"/>
      <c r="D4" s="2039"/>
      <c r="E4" s="2039"/>
      <c r="F4" s="2039"/>
      <c r="G4" s="2039"/>
      <c r="H4" s="2039"/>
      <c r="I4" s="2039"/>
    </row>
    <row r="5" spans="1:14">
      <c r="A5" s="760"/>
      <c r="B5" s="760"/>
      <c r="C5" s="760"/>
      <c r="D5" s="760"/>
      <c r="E5" s="760"/>
      <c r="F5" s="760"/>
      <c r="G5" s="760"/>
      <c r="H5" s="760"/>
      <c r="I5" s="760"/>
    </row>
    <row r="6" spans="1:14" s="79" customFormat="1">
      <c r="A6" s="486" t="s">
        <v>324</v>
      </c>
      <c r="B6" s="768" t="s">
        <v>68</v>
      </c>
      <c r="C6" s="768" t="s">
        <v>115</v>
      </c>
      <c r="D6" s="596" t="s">
        <v>56</v>
      </c>
      <c r="E6" s="768" t="s">
        <v>69</v>
      </c>
      <c r="F6" s="597" t="s">
        <v>67</v>
      </c>
      <c r="G6" s="768" t="s">
        <v>157</v>
      </c>
      <c r="H6" s="768" t="s">
        <v>70</v>
      </c>
      <c r="I6" s="598" t="s">
        <v>170</v>
      </c>
      <c r="J6" s="44"/>
      <c r="K6" s="44"/>
      <c r="L6" s="44"/>
      <c r="M6" s="44"/>
      <c r="N6" s="222"/>
    </row>
    <row r="7" spans="1:14" s="79" customFormat="1">
      <c r="A7" s="486"/>
      <c r="B7" s="768"/>
      <c r="C7" s="768"/>
      <c r="D7" s="596"/>
      <c r="E7" s="768"/>
      <c r="F7" s="597"/>
      <c r="G7" s="768"/>
      <c r="H7" s="768"/>
      <c r="I7" s="598"/>
      <c r="J7" s="44"/>
      <c r="K7" s="44"/>
      <c r="L7" s="44"/>
      <c r="M7" s="44"/>
      <c r="N7" s="222"/>
    </row>
    <row r="8" spans="1:14">
      <c r="A8" s="66"/>
      <c r="B8" s="1042" t="s">
        <v>591</v>
      </c>
      <c r="C8" s="983"/>
      <c r="D8" s="983"/>
      <c r="E8" s="983"/>
      <c r="F8" s="760"/>
      <c r="G8" s="760"/>
      <c r="H8" s="760"/>
      <c r="I8" s="760"/>
    </row>
    <row r="9" spans="1:14">
      <c r="A9" s="891">
        <v>1</v>
      </c>
      <c r="B9" s="179" t="s">
        <v>920</v>
      </c>
      <c r="C9" s="1360"/>
      <c r="D9" s="1360"/>
      <c r="E9" s="1360"/>
      <c r="F9" s="1360"/>
      <c r="G9" s="1164" t="s">
        <v>149</v>
      </c>
      <c r="H9" s="2045" t="s">
        <v>141</v>
      </c>
      <c r="I9" s="2045"/>
      <c r="K9" s="485"/>
    </row>
    <row r="10" spans="1:14" s="268" customFormat="1" ht="15">
      <c r="A10" s="891">
        <f>+A9+1</f>
        <v>2</v>
      </c>
      <c r="B10" s="923" t="s">
        <v>28</v>
      </c>
      <c r="C10" s="1360"/>
      <c r="D10" s="1360"/>
      <c r="E10" s="1360"/>
      <c r="F10" s="1360"/>
      <c r="G10" s="208">
        <v>2043293.89</v>
      </c>
      <c r="H10" s="711"/>
      <c r="I10" s="711"/>
      <c r="J10" s="44"/>
      <c r="K10" s="485"/>
      <c r="L10" s="44"/>
      <c r="M10" s="44"/>
    </row>
    <row r="11" spans="1:14" s="268" customFormat="1" ht="15">
      <c r="A11" s="891">
        <f t="shared" ref="A11:A33" si="0">+A10+1</f>
        <v>3</v>
      </c>
      <c r="B11" s="923" t="s">
        <v>29</v>
      </c>
      <c r="C11" s="1360"/>
      <c r="D11" s="1360"/>
      <c r="E11" s="1360"/>
      <c r="F11" s="1360"/>
      <c r="G11" s="208">
        <v>1809642.03</v>
      </c>
      <c r="H11" s="711"/>
      <c r="I11" s="711"/>
      <c r="J11" s="44"/>
      <c r="K11" s="485"/>
      <c r="L11" s="44"/>
      <c r="M11" s="44"/>
    </row>
    <row r="12" spans="1:14" s="268" customFormat="1" ht="15">
      <c r="A12" s="891">
        <f t="shared" si="0"/>
        <v>4</v>
      </c>
      <c r="B12" s="923" t="s">
        <v>30</v>
      </c>
      <c r="C12" s="1360"/>
      <c r="D12" s="1360"/>
      <c r="E12" s="1360"/>
      <c r="F12" s="1360"/>
      <c r="G12" s="208">
        <v>1852085.42</v>
      </c>
      <c r="H12" s="711"/>
      <c r="I12" s="711"/>
      <c r="J12" s="44"/>
      <c r="K12" s="485"/>
      <c r="L12" s="44"/>
      <c r="M12" s="44"/>
    </row>
    <row r="13" spans="1:14" s="268" customFormat="1" ht="15">
      <c r="A13" s="891">
        <f t="shared" si="0"/>
        <v>5</v>
      </c>
      <c r="B13" s="923" t="s">
        <v>31</v>
      </c>
      <c r="C13" s="1360"/>
      <c r="D13" s="1360"/>
      <c r="E13" s="1360"/>
      <c r="F13" s="1360"/>
      <c r="G13" s="208">
        <v>1835996.09</v>
      </c>
      <c r="H13" s="711"/>
      <c r="I13" s="711"/>
      <c r="J13" s="44"/>
      <c r="K13" s="485"/>
      <c r="L13" s="44"/>
      <c r="M13" s="44"/>
    </row>
    <row r="14" spans="1:14" s="268" customFormat="1" ht="15">
      <c r="A14" s="891">
        <f t="shared" si="0"/>
        <v>6</v>
      </c>
      <c r="B14" s="923" t="s">
        <v>27</v>
      </c>
      <c r="C14" s="1360"/>
      <c r="D14" s="1360"/>
      <c r="E14" s="1360"/>
      <c r="F14" s="1360"/>
      <c r="G14" s="208">
        <v>2135542.16</v>
      </c>
      <c r="H14" s="711"/>
      <c r="I14" s="711"/>
      <c r="J14" s="44"/>
      <c r="K14" s="485"/>
      <c r="L14" s="44"/>
      <c r="M14" s="44"/>
    </row>
    <row r="15" spans="1:14" s="268" customFormat="1" ht="15">
      <c r="A15" s="891">
        <f t="shared" si="0"/>
        <v>7</v>
      </c>
      <c r="B15" s="923" t="s">
        <v>32</v>
      </c>
      <c r="C15" s="1360"/>
      <c r="D15" s="1360"/>
      <c r="E15" s="1360"/>
      <c r="F15" s="1360"/>
      <c r="G15" s="208">
        <v>3153463</v>
      </c>
      <c r="H15" s="711"/>
      <c r="I15" s="711"/>
      <c r="J15" s="44"/>
      <c r="K15" s="485"/>
      <c r="L15" s="44"/>
      <c r="M15" s="44"/>
    </row>
    <row r="16" spans="1:14" s="268" customFormat="1" ht="15">
      <c r="A16" s="891">
        <f t="shared" si="0"/>
        <v>8</v>
      </c>
      <c r="B16" s="923" t="s">
        <v>33</v>
      </c>
      <c r="C16" s="1360"/>
      <c r="D16" s="1360"/>
      <c r="E16" s="1360"/>
      <c r="F16" s="1360"/>
      <c r="G16" s="208">
        <v>3283286.81</v>
      </c>
      <c r="H16" s="711"/>
      <c r="I16" s="711"/>
      <c r="J16" s="44"/>
      <c r="K16" s="485"/>
      <c r="L16" s="44"/>
      <c r="M16" s="44"/>
    </row>
    <row r="17" spans="1:13" s="268" customFormat="1" ht="15">
      <c r="A17" s="891">
        <f t="shared" si="0"/>
        <v>9</v>
      </c>
      <c r="B17" s="923" t="s">
        <v>34</v>
      </c>
      <c r="C17" s="1360"/>
      <c r="D17" s="1360"/>
      <c r="E17" s="1360"/>
      <c r="F17" s="1360"/>
      <c r="G17" s="208">
        <v>3210861.04</v>
      </c>
      <c r="H17" s="711"/>
      <c r="I17" s="711"/>
      <c r="J17" s="44"/>
      <c r="K17" s="485"/>
      <c r="L17" s="44"/>
      <c r="M17" s="44"/>
    </row>
    <row r="18" spans="1:13" s="268" customFormat="1" ht="15">
      <c r="A18" s="891">
        <f t="shared" si="0"/>
        <v>10</v>
      </c>
      <c r="B18" s="923" t="s">
        <v>35</v>
      </c>
      <c r="C18" s="1360"/>
      <c r="D18" s="1360"/>
      <c r="E18" s="1360"/>
      <c r="F18" s="1360"/>
      <c r="G18" s="208">
        <v>2000702.82</v>
      </c>
      <c r="H18" s="711"/>
      <c r="I18" s="711"/>
      <c r="J18" s="44"/>
      <c r="K18" s="485"/>
      <c r="L18" s="44"/>
      <c r="M18" s="44"/>
    </row>
    <row r="19" spans="1:13" s="268" customFormat="1" ht="15">
      <c r="A19" s="891">
        <f t="shared" si="0"/>
        <v>11</v>
      </c>
      <c r="B19" s="923" t="s">
        <v>36</v>
      </c>
      <c r="C19" s="1360"/>
      <c r="D19" s="1360"/>
      <c r="E19" s="1360"/>
      <c r="F19" s="1360"/>
      <c r="G19" s="208">
        <v>1648540.09</v>
      </c>
      <c r="H19" s="711"/>
      <c r="I19" s="711"/>
      <c r="J19" s="44"/>
      <c r="K19" s="485"/>
      <c r="L19" s="44"/>
      <c r="M19" s="44"/>
    </row>
    <row r="20" spans="1:13" s="268" customFormat="1" ht="15">
      <c r="A20" s="891">
        <f t="shared" si="0"/>
        <v>12</v>
      </c>
      <c r="B20" s="923" t="s">
        <v>37</v>
      </c>
      <c r="C20" s="1360"/>
      <c r="D20" s="1360"/>
      <c r="E20" s="1360"/>
      <c r="F20" s="1360"/>
      <c r="G20" s="208">
        <v>1388979.53</v>
      </c>
      <c r="H20" s="711"/>
      <c r="I20" s="711"/>
      <c r="J20" s="44"/>
      <c r="K20" s="485"/>
      <c r="L20" s="44"/>
      <c r="M20" s="44"/>
    </row>
    <row r="21" spans="1:13" s="268" customFormat="1" ht="15">
      <c r="A21" s="891">
        <f t="shared" si="0"/>
        <v>13</v>
      </c>
      <c r="B21" s="923" t="s">
        <v>38</v>
      </c>
      <c r="C21" s="1360"/>
      <c r="D21" s="1360"/>
      <c r="E21" s="1360"/>
      <c r="F21" s="1360"/>
      <c r="G21" s="264">
        <v>1596030.1</v>
      </c>
      <c r="H21" s="711"/>
      <c r="I21" s="711"/>
      <c r="J21" s="44"/>
      <c r="K21" s="485"/>
      <c r="L21" s="44"/>
      <c r="M21" s="44"/>
    </row>
    <row r="22" spans="1:13" s="268" customFormat="1">
      <c r="A22" s="891">
        <f t="shared" si="0"/>
        <v>14</v>
      </c>
      <c r="B22" s="179" t="s">
        <v>921</v>
      </c>
      <c r="D22" s="179"/>
      <c r="E22" s="179"/>
      <c r="G22" s="154">
        <f>SUM(G10:G21)</f>
        <v>25958422.980000004</v>
      </c>
      <c r="H22" s="179" t="str">
        <f>+"Sum (Line "&amp;A10&amp;" to "&amp;A21&amp;")"</f>
        <v>Sum (Line 2 to 13)</v>
      </c>
      <c r="J22" s="44"/>
      <c r="K22" s="485"/>
      <c r="L22" s="44"/>
      <c r="M22" s="44"/>
    </row>
    <row r="23" spans="1:13" s="268" customFormat="1">
      <c r="A23" s="891">
        <f t="shared" si="0"/>
        <v>15</v>
      </c>
      <c r="B23" s="179" t="s">
        <v>542</v>
      </c>
      <c r="D23" s="179"/>
      <c r="E23" s="179"/>
      <c r="G23" s="269">
        <f>+'WP17 Rev'!E62</f>
        <v>5673298.8485156428</v>
      </c>
      <c r="H23" s="179" t="str">
        <f>+"WP17 Line "&amp;'WP17 Rev'!A61&amp;" Column "&amp;'WP17 Rev'!E5</f>
        <v>WP17 Line 7 Column D</v>
      </c>
      <c r="J23" s="44"/>
      <c r="K23" s="485"/>
      <c r="L23" s="44"/>
      <c r="M23" s="44"/>
    </row>
    <row r="24" spans="1:13" s="268" customFormat="1" ht="13.2" customHeight="1">
      <c r="A24" s="891">
        <f t="shared" si="0"/>
        <v>16</v>
      </c>
      <c r="B24" s="2042" t="s">
        <v>968</v>
      </c>
      <c r="C24" s="2042"/>
      <c r="D24" s="2042"/>
      <c r="E24" s="2042"/>
      <c r="F24" s="2042"/>
      <c r="G24" s="264">
        <f>-'WP01 TU Support1'!G69</f>
        <v>4746007.0792068541</v>
      </c>
      <c r="H24" s="1445"/>
      <c r="I24" s="1442"/>
      <c r="J24" s="44"/>
      <c r="K24" s="485"/>
      <c r="L24" s="44"/>
      <c r="M24" s="44"/>
    </row>
    <row r="25" spans="1:13" s="268" customFormat="1">
      <c r="A25" s="891">
        <f t="shared" si="0"/>
        <v>17</v>
      </c>
      <c r="B25" s="268" t="s">
        <v>969</v>
      </c>
      <c r="D25" s="180"/>
      <c r="E25" s="180"/>
      <c r="F25" s="43"/>
      <c r="G25" s="1446">
        <f>+G22+G23-G24</f>
        <v>26885714.749308795</v>
      </c>
      <c r="H25" s="1443" t="str">
        <f>+"Sum (Line "&amp;A22&amp;" + "&amp;A23&amp;" - "&amp;A24&amp;")"</f>
        <v>Sum (Line 14 + 15 - 16)</v>
      </c>
      <c r="I25" s="1442"/>
      <c r="J25" s="44"/>
      <c r="K25" s="44"/>
      <c r="L25" s="44"/>
      <c r="M25" s="44"/>
    </row>
    <row r="26" spans="1:13" s="268" customFormat="1">
      <c r="A26" s="891">
        <f t="shared" si="0"/>
        <v>18</v>
      </c>
      <c r="B26" s="1041"/>
      <c r="C26" s="1442"/>
      <c r="D26" s="180"/>
      <c r="E26" s="179"/>
      <c r="F26" s="43"/>
      <c r="G26" s="43"/>
      <c r="H26" s="44"/>
      <c r="I26" s="1442"/>
      <c r="J26" s="44"/>
      <c r="K26" s="44"/>
      <c r="L26" s="44"/>
      <c r="M26" s="44"/>
    </row>
    <row r="27" spans="1:13" s="268" customFormat="1">
      <c r="A27" s="891">
        <f t="shared" si="0"/>
        <v>19</v>
      </c>
      <c r="B27" s="43" t="s">
        <v>970</v>
      </c>
      <c r="D27" s="43"/>
      <c r="E27" s="43"/>
      <c r="F27" s="43"/>
      <c r="G27" s="78">
        <f>+'Appendix A'!G291</f>
        <v>19554376.562837034</v>
      </c>
      <c r="H27" s="1443" t="s">
        <v>983</v>
      </c>
      <c r="I27" s="1442"/>
      <c r="J27" s="44"/>
      <c r="K27" s="44"/>
      <c r="L27" s="44"/>
      <c r="M27" s="44"/>
    </row>
    <row r="28" spans="1:13" s="268" customFormat="1" ht="15">
      <c r="A28" s="891">
        <f t="shared" si="0"/>
        <v>20</v>
      </c>
      <c r="B28" s="43"/>
      <c r="D28" s="1442"/>
      <c r="E28" s="1442"/>
      <c r="F28" s="1442"/>
      <c r="G28" s="487"/>
      <c r="H28" s="1443"/>
      <c r="I28" s="1442"/>
      <c r="J28" s="44"/>
      <c r="K28" s="44"/>
      <c r="L28" s="44"/>
      <c r="M28" s="44"/>
    </row>
    <row r="29" spans="1:13" s="268" customFormat="1">
      <c r="A29" s="891">
        <f t="shared" si="0"/>
        <v>21</v>
      </c>
      <c r="B29" s="43" t="s">
        <v>896</v>
      </c>
      <c r="D29" s="43"/>
      <c r="E29" s="43"/>
      <c r="F29" s="43"/>
      <c r="G29" s="256">
        <f>+G27-G25</f>
        <v>-7331338.1864717603</v>
      </c>
      <c r="H29" s="1443" t="str">
        <f>+"Line "&amp;A27&amp;" - Line "&amp;A25</f>
        <v>Line 19 - Line 17</v>
      </c>
      <c r="I29" s="1442"/>
      <c r="J29" s="44"/>
      <c r="K29" s="44"/>
      <c r="L29" s="44"/>
      <c r="M29" s="44"/>
    </row>
    <row r="30" spans="1:13" s="268" customFormat="1">
      <c r="A30" s="1443">
        <f t="shared" si="0"/>
        <v>22</v>
      </c>
      <c r="B30" s="43"/>
      <c r="D30" s="43"/>
      <c r="E30" s="43"/>
      <c r="F30" s="43"/>
      <c r="G30" s="256"/>
      <c r="H30" s="1443"/>
      <c r="I30" s="1442"/>
      <c r="J30" s="44"/>
      <c r="K30" s="44"/>
      <c r="L30" s="44"/>
      <c r="M30" s="44"/>
    </row>
    <row r="31" spans="1:13" s="268" customFormat="1">
      <c r="A31" s="1443">
        <f t="shared" si="0"/>
        <v>23</v>
      </c>
      <c r="B31" s="43" t="s">
        <v>897</v>
      </c>
      <c r="D31" s="43"/>
      <c r="E31" s="43"/>
      <c r="F31" s="43"/>
      <c r="G31" s="264"/>
      <c r="H31" s="1443" t="s">
        <v>540</v>
      </c>
      <c r="I31" s="1442"/>
      <c r="J31" s="44"/>
      <c r="K31" s="485"/>
      <c r="L31" s="44"/>
      <c r="M31" s="44"/>
    </row>
    <row r="32" spans="1:13" s="268" customFormat="1">
      <c r="A32" s="1443">
        <f t="shared" si="0"/>
        <v>24</v>
      </c>
      <c r="B32" s="43"/>
      <c r="D32" s="43"/>
      <c r="E32" s="43"/>
      <c r="F32" s="43"/>
      <c r="G32" s="78"/>
      <c r="H32" s="1443"/>
      <c r="I32" s="1442"/>
      <c r="J32" s="44"/>
      <c r="K32" s="44"/>
      <c r="L32" s="44"/>
      <c r="M32" s="44"/>
    </row>
    <row r="33" spans="1:13" s="268" customFormat="1">
      <c r="A33" s="1443">
        <f t="shared" si="0"/>
        <v>25</v>
      </c>
      <c r="B33" s="1041" t="s">
        <v>971</v>
      </c>
      <c r="C33" s="1442"/>
      <c r="D33" s="180"/>
      <c r="E33" s="179"/>
      <c r="F33" s="43"/>
      <c r="G33" s="43"/>
      <c r="H33" s="44"/>
      <c r="I33" s="1442"/>
      <c r="J33" s="44"/>
      <c r="K33" s="44"/>
      <c r="L33" s="44"/>
      <c r="M33" s="44"/>
    </row>
    <row r="34" spans="1:13" s="268" customFormat="1">
      <c r="A34" s="1443"/>
      <c r="B34" s="1041"/>
      <c r="C34" s="1442"/>
      <c r="D34" s="180"/>
      <c r="E34" s="179"/>
      <c r="F34" s="43"/>
      <c r="G34" s="43"/>
      <c r="H34" s="44"/>
      <c r="I34" s="1442"/>
      <c r="J34" s="44"/>
      <c r="K34" s="44"/>
      <c r="L34" s="44"/>
      <c r="M34" s="44"/>
    </row>
    <row r="35" spans="1:13" s="268" customFormat="1" ht="54" customHeight="1">
      <c r="A35" s="1443"/>
      <c r="B35" s="1143" t="s">
        <v>425</v>
      </c>
      <c r="C35" s="624" t="s">
        <v>426</v>
      </c>
      <c r="D35" s="624" t="s">
        <v>286</v>
      </c>
      <c r="E35" s="624" t="s">
        <v>913</v>
      </c>
      <c r="F35" s="624" t="s">
        <v>844</v>
      </c>
      <c r="G35" s="624" t="s">
        <v>440</v>
      </c>
      <c r="H35" s="624" t="s">
        <v>427</v>
      </c>
      <c r="I35" s="624" t="s">
        <v>428</v>
      </c>
      <c r="J35" s="44"/>
      <c r="K35" s="44"/>
      <c r="L35" s="44"/>
      <c r="M35" s="44"/>
    </row>
    <row r="36" spans="1:13" s="268" customFormat="1" ht="15" customHeight="1">
      <c r="A36" s="1443">
        <f>+A33+1</f>
        <v>26</v>
      </c>
      <c r="B36" s="1164" t="s">
        <v>68</v>
      </c>
      <c r="C36" s="577" t="s">
        <v>115</v>
      </c>
      <c r="D36" s="577" t="s">
        <v>829</v>
      </c>
      <c r="E36" s="577" t="s">
        <v>830</v>
      </c>
      <c r="F36" s="577" t="s">
        <v>831</v>
      </c>
      <c r="G36" s="1481" t="s">
        <v>974</v>
      </c>
      <c r="H36" s="1481" t="s">
        <v>975</v>
      </c>
      <c r="I36" s="577" t="s">
        <v>170</v>
      </c>
      <c r="J36" s="44"/>
      <c r="K36" s="44"/>
      <c r="L36" s="44"/>
      <c r="M36" s="44"/>
    </row>
    <row r="37" spans="1:13" s="268" customFormat="1" ht="15">
      <c r="A37" s="889">
        <f>+A36+0.01</f>
        <v>26.01</v>
      </c>
      <c r="B37" s="43"/>
      <c r="C37" s="1697">
        <v>42370</v>
      </c>
      <c r="D37" s="1698">
        <v>3.2500000000000001E-2</v>
      </c>
      <c r="E37" s="489">
        <f>+D37/12</f>
        <v>2.7083333333333334E-3</v>
      </c>
      <c r="F37" s="859">
        <f t="shared" ref="F37:F64" si="1">H37*E37</f>
        <v>-1654.6422990300848</v>
      </c>
      <c r="G37" s="1647">
        <f>+G$29/12</f>
        <v>-610944.84887264669</v>
      </c>
      <c r="H37" s="1447">
        <f>IF((B37=1),G37,G37)</f>
        <v>-610944.84887264669</v>
      </c>
      <c r="I37" s="859">
        <f>F37+G37</f>
        <v>-612599.49117167678</v>
      </c>
      <c r="J37" s="44"/>
      <c r="K37" s="44"/>
      <c r="L37" s="492"/>
      <c r="M37" s="493"/>
    </row>
    <row r="38" spans="1:13" s="268" customFormat="1">
      <c r="A38" s="889">
        <f t="shared" ref="A38:A65" si="2">+A37+0.01</f>
        <v>26.020000000000003</v>
      </c>
      <c r="B38" s="43"/>
      <c r="C38" s="1697">
        <v>42401</v>
      </c>
      <c r="D38" s="1698">
        <v>3.2500000000000001E-2</v>
      </c>
      <c r="E38" s="489">
        <f t="shared" ref="E38:E65" si="3">+D38/12</f>
        <v>2.7083333333333334E-3</v>
      </c>
      <c r="F38" s="859">
        <f t="shared" si="1"/>
        <v>-3309.2845980601696</v>
      </c>
      <c r="G38" s="1647">
        <f t="shared" ref="G38:G48" si="4">+G$29/12</f>
        <v>-610944.84887264669</v>
      </c>
      <c r="H38" s="1447">
        <f t="shared" ref="H38:H64" si="5">IF((B38=1),I37+G38,+H37+G38)</f>
        <v>-1221889.6977452934</v>
      </c>
      <c r="I38" s="859">
        <f>I37+F38+G38</f>
        <v>-1226853.6246423838</v>
      </c>
      <c r="J38" s="44"/>
    </row>
    <row r="39" spans="1:13" s="268" customFormat="1">
      <c r="A39" s="889">
        <f t="shared" si="2"/>
        <v>26.030000000000005</v>
      </c>
      <c r="B39" s="43"/>
      <c r="C39" s="1697">
        <v>42430</v>
      </c>
      <c r="D39" s="1698">
        <v>3.2500000000000001E-2</v>
      </c>
      <c r="E39" s="489">
        <f t="shared" si="3"/>
        <v>2.7083333333333334E-3</v>
      </c>
      <c r="F39" s="859">
        <f t="shared" si="1"/>
        <v>-4963.9268970902549</v>
      </c>
      <c r="G39" s="1647">
        <f t="shared" si="4"/>
        <v>-610944.84887264669</v>
      </c>
      <c r="H39" s="1447">
        <f t="shared" si="5"/>
        <v>-1832834.5466179401</v>
      </c>
      <c r="I39" s="859">
        <f t="shared" ref="I39:I65" si="6">I38+F39+G39</f>
        <v>-1842762.4004121206</v>
      </c>
      <c r="J39" s="44"/>
    </row>
    <row r="40" spans="1:13" s="268" customFormat="1">
      <c r="A40" s="889">
        <f t="shared" si="2"/>
        <v>26.040000000000006</v>
      </c>
      <c r="B40" s="43">
        <v>1</v>
      </c>
      <c r="C40" s="1697">
        <v>42461</v>
      </c>
      <c r="D40" s="1698">
        <v>3.4599999999999999E-2</v>
      </c>
      <c r="E40" s="489">
        <f t="shared" si="3"/>
        <v>2.8833333333333332E-3</v>
      </c>
      <c r="F40" s="859">
        <f t="shared" si="1"/>
        <v>-7074.855902104413</v>
      </c>
      <c r="G40" s="1647">
        <f t="shared" si="4"/>
        <v>-610944.84887264669</v>
      </c>
      <c r="H40" s="1447">
        <f t="shared" si="5"/>
        <v>-2453707.2492847675</v>
      </c>
      <c r="I40" s="859">
        <f t="shared" si="6"/>
        <v>-2460782.1051868717</v>
      </c>
      <c r="J40" s="44"/>
    </row>
    <row r="41" spans="1:13" s="268" customFormat="1">
      <c r="A41" s="889">
        <f t="shared" si="2"/>
        <v>26.050000000000008</v>
      </c>
      <c r="B41" s="43"/>
      <c r="C41" s="1697">
        <v>42491</v>
      </c>
      <c r="D41" s="1698">
        <v>3.4599999999999999E-2</v>
      </c>
      <c r="E41" s="489">
        <f t="shared" si="3"/>
        <v>2.8833333333333332E-3</v>
      </c>
      <c r="F41" s="859">
        <f t="shared" si="1"/>
        <v>-8836.4135496872113</v>
      </c>
      <c r="G41" s="1647">
        <f t="shared" si="4"/>
        <v>-610944.84887264669</v>
      </c>
      <c r="H41" s="1447">
        <f t="shared" si="5"/>
        <v>-3064652.0981574142</v>
      </c>
      <c r="I41" s="859">
        <f t="shared" si="6"/>
        <v>-3080563.3676092057</v>
      </c>
      <c r="J41" s="44"/>
      <c r="K41" s="256"/>
      <c r="L41" s="78"/>
      <c r="M41" s="256"/>
    </row>
    <row r="42" spans="1:13" s="268" customFormat="1">
      <c r="A42" s="889">
        <f t="shared" si="2"/>
        <v>26.060000000000009</v>
      </c>
      <c r="B42" s="43"/>
      <c r="C42" s="1697">
        <v>42522</v>
      </c>
      <c r="D42" s="1698">
        <v>3.4599999999999999E-2</v>
      </c>
      <c r="E42" s="489">
        <f t="shared" si="3"/>
        <v>2.8833333333333332E-3</v>
      </c>
      <c r="F42" s="859">
        <f t="shared" si="1"/>
        <v>-10597.971197270008</v>
      </c>
      <c r="G42" s="1647">
        <f t="shared" si="4"/>
        <v>-610944.84887264669</v>
      </c>
      <c r="H42" s="1447">
        <f t="shared" si="5"/>
        <v>-3675596.9470300609</v>
      </c>
      <c r="I42" s="859">
        <f t="shared" si="6"/>
        <v>-3702106.1876791222</v>
      </c>
      <c r="J42" s="44"/>
      <c r="K42" s="256"/>
      <c r="L42" s="78"/>
      <c r="M42" s="256"/>
    </row>
    <row r="43" spans="1:13" s="268" customFormat="1">
      <c r="A43" s="889">
        <f t="shared" si="2"/>
        <v>26.070000000000011</v>
      </c>
      <c r="B43" s="43">
        <v>1</v>
      </c>
      <c r="C43" s="1697">
        <v>42552</v>
      </c>
      <c r="D43" s="1698">
        <v>3.5000000000000003E-2</v>
      </c>
      <c r="E43" s="489">
        <f t="shared" si="3"/>
        <v>2.9166666666666668E-3</v>
      </c>
      <c r="F43" s="859">
        <f t="shared" si="1"/>
        <v>-12579.732189942661</v>
      </c>
      <c r="G43" s="1647">
        <f t="shared" si="4"/>
        <v>-610944.84887264669</v>
      </c>
      <c r="H43" s="1447">
        <f t="shared" si="5"/>
        <v>-4313051.0365517689</v>
      </c>
      <c r="I43" s="859">
        <f t="shared" si="6"/>
        <v>-4325630.768741712</v>
      </c>
      <c r="J43" s="44"/>
      <c r="K43" s="256"/>
      <c r="L43" s="78"/>
      <c r="M43" s="256"/>
    </row>
    <row r="44" spans="1:13" s="268" customFormat="1">
      <c r="A44" s="889">
        <f t="shared" si="2"/>
        <v>26.080000000000013</v>
      </c>
      <c r="B44" s="43"/>
      <c r="C44" s="1697">
        <v>42583</v>
      </c>
      <c r="D44" s="1698">
        <v>3.5000000000000003E-2</v>
      </c>
      <c r="E44" s="489">
        <f t="shared" si="3"/>
        <v>2.9166666666666668E-3</v>
      </c>
      <c r="F44" s="859">
        <f t="shared" si="1"/>
        <v>-14361.654665821212</v>
      </c>
      <c r="G44" s="1647">
        <f t="shared" si="4"/>
        <v>-610944.84887264669</v>
      </c>
      <c r="H44" s="1447">
        <f t="shared" si="5"/>
        <v>-4923995.8854244156</v>
      </c>
      <c r="I44" s="859">
        <f t="shared" si="6"/>
        <v>-4950937.2722801799</v>
      </c>
      <c r="J44" s="44"/>
      <c r="K44" s="256"/>
      <c r="L44" s="78"/>
      <c r="M44" s="256"/>
    </row>
    <row r="45" spans="1:13" s="268" customFormat="1">
      <c r="A45" s="889">
        <f t="shared" si="2"/>
        <v>26.090000000000014</v>
      </c>
      <c r="B45" s="43"/>
      <c r="C45" s="1697">
        <v>42614</v>
      </c>
      <c r="D45" s="1698">
        <v>3.5000000000000003E-2</v>
      </c>
      <c r="E45" s="489">
        <f t="shared" si="3"/>
        <v>2.9166666666666668E-3</v>
      </c>
      <c r="F45" s="859">
        <f t="shared" si="1"/>
        <v>-16143.577141699765</v>
      </c>
      <c r="G45" s="1647">
        <f t="shared" si="4"/>
        <v>-610944.84887264669</v>
      </c>
      <c r="H45" s="1447">
        <f t="shared" si="5"/>
        <v>-5534940.7342970623</v>
      </c>
      <c r="I45" s="859">
        <f t="shared" si="6"/>
        <v>-5578025.698294526</v>
      </c>
      <c r="J45" s="44"/>
      <c r="K45" s="256"/>
      <c r="L45" s="78"/>
      <c r="M45" s="256"/>
    </row>
    <row r="46" spans="1:13" s="268" customFormat="1">
      <c r="A46" s="889">
        <f t="shared" si="2"/>
        <v>26.100000000000016</v>
      </c>
      <c r="B46" s="43">
        <v>1</v>
      </c>
      <c r="C46" s="1697">
        <v>42644</v>
      </c>
      <c r="D46" s="1698">
        <v>3.5000000000000003E-2</v>
      </c>
      <c r="E46" s="489">
        <f t="shared" si="3"/>
        <v>2.9166666666666668E-3</v>
      </c>
      <c r="F46" s="859">
        <f t="shared" si="1"/>
        <v>-18051.164095904256</v>
      </c>
      <c r="G46" s="1647">
        <f t="shared" si="4"/>
        <v>-610944.84887264669</v>
      </c>
      <c r="H46" s="1447">
        <f t="shared" si="5"/>
        <v>-6188970.5471671727</v>
      </c>
      <c r="I46" s="859">
        <f t="shared" si="6"/>
        <v>-6207021.7112630773</v>
      </c>
      <c r="J46" s="44"/>
      <c r="K46" s="256"/>
      <c r="L46" s="78"/>
      <c r="M46" s="256"/>
    </row>
    <row r="47" spans="1:13" s="268" customFormat="1">
      <c r="A47" s="889">
        <f t="shared" si="2"/>
        <v>26.110000000000017</v>
      </c>
      <c r="B47" s="43"/>
      <c r="C47" s="1697">
        <v>42675</v>
      </c>
      <c r="D47" s="1698">
        <v>3.5000000000000003E-2</v>
      </c>
      <c r="E47" s="489">
        <f t="shared" si="3"/>
        <v>2.9166666666666668E-3</v>
      </c>
      <c r="F47" s="859">
        <f t="shared" si="1"/>
        <v>-19833.086571782806</v>
      </c>
      <c r="G47" s="1647">
        <f t="shared" si="4"/>
        <v>-610944.84887264669</v>
      </c>
      <c r="H47" s="1447">
        <f t="shared" si="5"/>
        <v>-6799915.3960398193</v>
      </c>
      <c r="I47" s="859">
        <f t="shared" si="6"/>
        <v>-6837799.6467075069</v>
      </c>
      <c r="J47" s="44"/>
      <c r="K47" s="256"/>
      <c r="L47" s="78"/>
      <c r="M47" s="256"/>
    </row>
    <row r="48" spans="1:13" s="268" customFormat="1">
      <c r="A48" s="889">
        <f t="shared" si="2"/>
        <v>26.120000000000019</v>
      </c>
      <c r="B48" s="43"/>
      <c r="C48" s="1697">
        <v>42705</v>
      </c>
      <c r="D48" s="1698">
        <v>3.5000000000000003E-2</v>
      </c>
      <c r="E48" s="489">
        <f t="shared" si="3"/>
        <v>2.9166666666666668E-3</v>
      </c>
      <c r="F48" s="859">
        <f t="shared" si="1"/>
        <v>-21615.009047661359</v>
      </c>
      <c r="G48" s="1647">
        <f t="shared" si="4"/>
        <v>-610944.84887264669</v>
      </c>
      <c r="H48" s="1447">
        <f t="shared" si="5"/>
        <v>-7410860.244912466</v>
      </c>
      <c r="I48" s="859">
        <f t="shared" si="6"/>
        <v>-7470359.5046278145</v>
      </c>
      <c r="J48" s="44"/>
      <c r="K48" s="256"/>
      <c r="L48" s="78"/>
      <c r="M48" s="256"/>
    </row>
    <row r="49" spans="1:13" s="268" customFormat="1" ht="15">
      <c r="A49" s="889">
        <f t="shared" si="2"/>
        <v>26.13000000000002</v>
      </c>
      <c r="B49" s="43">
        <v>1</v>
      </c>
      <c r="C49" s="1697">
        <v>42736</v>
      </c>
      <c r="D49" s="1698">
        <v>3.5000000000000003E-2</v>
      </c>
      <c r="E49" s="489">
        <f t="shared" si="3"/>
        <v>2.9166666666666668E-3</v>
      </c>
      <c r="F49" s="859">
        <f t="shared" si="1"/>
        <v>-21788.54855516446</v>
      </c>
      <c r="G49" s="1647"/>
      <c r="H49" s="1447">
        <f t="shared" si="5"/>
        <v>-7470359.5046278145</v>
      </c>
      <c r="I49" s="859">
        <f t="shared" si="6"/>
        <v>-7492148.0531829791</v>
      </c>
      <c r="J49" s="44"/>
      <c r="K49" s="495"/>
      <c r="L49" s="484"/>
      <c r="M49" s="495"/>
    </row>
    <row r="50" spans="1:13" s="268" customFormat="1">
      <c r="A50" s="889">
        <f t="shared" si="2"/>
        <v>26.140000000000022</v>
      </c>
      <c r="B50" s="84"/>
      <c r="C50" s="1697">
        <v>42767</v>
      </c>
      <c r="D50" s="1698">
        <v>3.5000000000000003E-2</v>
      </c>
      <c r="E50" s="489">
        <f t="shared" si="3"/>
        <v>2.9166666666666668E-3</v>
      </c>
      <c r="F50" s="859">
        <f t="shared" si="1"/>
        <v>-21788.54855516446</v>
      </c>
      <c r="G50" s="1647"/>
      <c r="H50" s="1447">
        <f t="shared" si="5"/>
        <v>-7470359.5046278145</v>
      </c>
      <c r="I50" s="859">
        <f t="shared" si="6"/>
        <v>-7513936.6017381437</v>
      </c>
      <c r="J50" s="44"/>
      <c r="K50" s="256"/>
      <c r="L50" s="256"/>
      <c r="M50" s="44"/>
    </row>
    <row r="51" spans="1:13" s="268" customFormat="1">
      <c r="A51" s="889">
        <f t="shared" si="2"/>
        <v>26.150000000000023</v>
      </c>
      <c r="B51" s="496"/>
      <c r="C51" s="1697">
        <v>42795</v>
      </c>
      <c r="D51" s="1698">
        <v>3.5000000000000003E-2</v>
      </c>
      <c r="E51" s="489">
        <f t="shared" si="3"/>
        <v>2.9166666666666668E-3</v>
      </c>
      <c r="F51" s="859">
        <f t="shared" si="1"/>
        <v>-21788.54855516446</v>
      </c>
      <c r="G51" s="1647"/>
      <c r="H51" s="1447">
        <f t="shared" si="5"/>
        <v>-7470359.5046278145</v>
      </c>
      <c r="I51" s="859">
        <f t="shared" si="6"/>
        <v>-7535725.1502933083</v>
      </c>
      <c r="J51" s="44"/>
      <c r="K51" s="44"/>
      <c r="L51" s="44"/>
      <c r="M51" s="44"/>
    </row>
    <row r="52" spans="1:13" s="268" customFormat="1">
      <c r="A52" s="889">
        <f t="shared" si="2"/>
        <v>26.160000000000025</v>
      </c>
      <c r="B52" s="43">
        <v>1</v>
      </c>
      <c r="C52" s="1697">
        <v>42826</v>
      </c>
      <c r="D52" s="1698">
        <v>3.7100000000000001E-2</v>
      </c>
      <c r="E52" s="489">
        <f t="shared" si="3"/>
        <v>3.0916666666666666E-3</v>
      </c>
      <c r="F52" s="859">
        <f t="shared" si="1"/>
        <v>-23297.950256323478</v>
      </c>
      <c r="G52" s="1647"/>
      <c r="H52" s="1447">
        <f t="shared" si="5"/>
        <v>-7535725.1502933083</v>
      </c>
      <c r="I52" s="859">
        <f t="shared" si="6"/>
        <v>-7559023.1005496318</v>
      </c>
      <c r="J52" s="44"/>
      <c r="K52" s="44"/>
      <c r="L52" s="44"/>
      <c r="M52" s="44"/>
    </row>
    <row r="53" spans="1:13" s="268" customFormat="1">
      <c r="A53" s="889">
        <f t="shared" si="2"/>
        <v>26.170000000000027</v>
      </c>
      <c r="B53" s="496"/>
      <c r="C53" s="1697">
        <v>42856</v>
      </c>
      <c r="D53" s="1698">
        <v>3.7100000000000001E-2</v>
      </c>
      <c r="E53" s="489">
        <f t="shared" si="3"/>
        <v>3.0916666666666666E-3</v>
      </c>
      <c r="F53" s="859">
        <f t="shared" si="1"/>
        <v>-23297.950256323478</v>
      </c>
      <c r="G53" s="1647"/>
      <c r="H53" s="1447">
        <f t="shared" si="5"/>
        <v>-7535725.1502933083</v>
      </c>
      <c r="I53" s="859">
        <f t="shared" si="6"/>
        <v>-7582321.0508059552</v>
      </c>
      <c r="J53" s="44"/>
      <c r="K53" s="43"/>
      <c r="L53" s="43"/>
      <c r="M53" s="43"/>
    </row>
    <row r="54" spans="1:13" s="268" customFormat="1">
      <c r="A54" s="889">
        <f t="shared" si="2"/>
        <v>26.180000000000028</v>
      </c>
      <c r="B54" s="496"/>
      <c r="C54" s="1697">
        <v>42887</v>
      </c>
      <c r="D54" s="1698">
        <v>3.7100000000000001E-2</v>
      </c>
      <c r="E54" s="489">
        <f t="shared" si="3"/>
        <v>3.0916666666666666E-3</v>
      </c>
      <c r="F54" s="859">
        <f t="shared" si="1"/>
        <v>-21308.38102325127</v>
      </c>
      <c r="G54" s="1307">
        <v>643526.43657322018</v>
      </c>
      <c r="H54" s="1447">
        <f>IF((B54=1),I53+G54,+H53+G54)</f>
        <v>-6892198.7137200879</v>
      </c>
      <c r="I54" s="859">
        <f>I53+F54+G54</f>
        <v>-6960102.9952559862</v>
      </c>
      <c r="J54" s="44"/>
      <c r="K54" s="490"/>
      <c r="L54" s="43"/>
      <c r="M54" s="43"/>
    </row>
    <row r="55" spans="1:13" s="268" customFormat="1">
      <c r="A55" s="889">
        <f t="shared" si="2"/>
        <v>26.19000000000003</v>
      </c>
      <c r="B55" s="43">
        <v>1</v>
      </c>
      <c r="C55" s="1697">
        <v>42917</v>
      </c>
      <c r="D55" s="1698">
        <v>3.9600000000000003E-2</v>
      </c>
      <c r="E55" s="489">
        <f t="shared" si="3"/>
        <v>3.3000000000000004E-3</v>
      </c>
      <c r="F55" s="859">
        <f t="shared" si="1"/>
        <v>-20844.702643653131</v>
      </c>
      <c r="G55" s="1647">
        <f>+G54</f>
        <v>643526.43657322018</v>
      </c>
      <c r="H55" s="1447">
        <f t="shared" si="5"/>
        <v>-6316576.5586827658</v>
      </c>
      <c r="I55" s="859">
        <f t="shared" si="6"/>
        <v>-6337421.2613264192</v>
      </c>
      <c r="J55" s="44"/>
      <c r="K55" s="43"/>
      <c r="L55" s="43"/>
      <c r="M55" s="43"/>
    </row>
    <row r="56" spans="1:13" s="268" customFormat="1">
      <c r="A56" s="889">
        <f t="shared" si="2"/>
        <v>26.200000000000031</v>
      </c>
      <c r="B56" s="44"/>
      <c r="C56" s="1697">
        <v>42948</v>
      </c>
      <c r="D56" s="1698">
        <v>3.9600000000000003E-2</v>
      </c>
      <c r="E56" s="489">
        <f t="shared" si="3"/>
        <v>3.3000000000000004E-3</v>
      </c>
      <c r="F56" s="859">
        <f t="shared" si="1"/>
        <v>-18721.065402961503</v>
      </c>
      <c r="G56" s="1647">
        <f>+G55</f>
        <v>643526.43657322018</v>
      </c>
      <c r="H56" s="1447">
        <f t="shared" si="5"/>
        <v>-5673050.1221095454</v>
      </c>
      <c r="I56" s="859">
        <f t="shared" si="6"/>
        <v>-5712615.8901561601</v>
      </c>
      <c r="J56" s="44"/>
      <c r="K56" s="43"/>
      <c r="L56" s="43"/>
      <c r="M56" s="43"/>
    </row>
    <row r="57" spans="1:13" s="268" customFormat="1">
      <c r="A57" s="889">
        <f t="shared" si="2"/>
        <v>26.210000000000033</v>
      </c>
      <c r="B57" s="44"/>
      <c r="C57" s="1697">
        <v>42979</v>
      </c>
      <c r="D57" s="1698">
        <v>3.9600000000000003E-2</v>
      </c>
      <c r="E57" s="489">
        <f t="shared" si="3"/>
        <v>3.3000000000000004E-3</v>
      </c>
      <c r="F57" s="859">
        <f t="shared" si="1"/>
        <v>-16597.428162269873</v>
      </c>
      <c r="G57" s="1647">
        <f t="shared" ref="G57:G65" si="7">+G56</f>
        <v>643526.43657322018</v>
      </c>
      <c r="H57" s="1447">
        <f t="shared" si="5"/>
        <v>-5029523.685536325</v>
      </c>
      <c r="I57" s="859">
        <f t="shared" si="6"/>
        <v>-5085686.8817452099</v>
      </c>
      <c r="J57" s="44"/>
      <c r="K57" s="43"/>
      <c r="L57" s="43"/>
      <c r="M57" s="43"/>
    </row>
    <row r="58" spans="1:13" s="268" customFormat="1">
      <c r="A58" s="889">
        <f t="shared" si="2"/>
        <v>26.220000000000034</v>
      </c>
      <c r="B58" s="43">
        <v>1</v>
      </c>
      <c r="C58" s="1697">
        <v>43009</v>
      </c>
      <c r="D58" s="1698">
        <v>4.2099999999999999E-2</v>
      </c>
      <c r="E58" s="489">
        <f t="shared" si="3"/>
        <v>3.5083333333333334E-3</v>
      </c>
      <c r="F58" s="859">
        <f t="shared" si="1"/>
        <v>-15584.57956181173</v>
      </c>
      <c r="G58" s="1647">
        <f t="shared" si="7"/>
        <v>643526.43657322018</v>
      </c>
      <c r="H58" s="1447">
        <f t="shared" si="5"/>
        <v>-4442160.4451719895</v>
      </c>
      <c r="I58" s="859">
        <f t="shared" si="6"/>
        <v>-4457745.0247338014</v>
      </c>
      <c r="J58" s="44"/>
      <c r="K58" s="43" t="s">
        <v>429</v>
      </c>
      <c r="L58" s="43"/>
      <c r="M58" s="43"/>
    </row>
    <row r="59" spans="1:13" s="268" customFormat="1">
      <c r="A59" s="889">
        <f t="shared" si="2"/>
        <v>26.230000000000036</v>
      </c>
      <c r="B59" s="44"/>
      <c r="C59" s="1697">
        <v>43040</v>
      </c>
      <c r="D59" s="1698">
        <v>4.2099999999999999E-2</v>
      </c>
      <c r="E59" s="489">
        <f t="shared" si="3"/>
        <v>3.5083333333333334E-3</v>
      </c>
      <c r="F59" s="859">
        <f t="shared" si="1"/>
        <v>-13326.874313500681</v>
      </c>
      <c r="G59" s="1647">
        <f t="shared" si="7"/>
        <v>643526.43657322018</v>
      </c>
      <c r="H59" s="1447">
        <f t="shared" si="5"/>
        <v>-3798634.0085987691</v>
      </c>
      <c r="I59" s="859">
        <f t="shared" si="6"/>
        <v>-3827545.4624740817</v>
      </c>
      <c r="J59" s="44"/>
      <c r="K59" s="43" t="s">
        <v>430</v>
      </c>
      <c r="L59" s="43"/>
      <c r="M59" s="43"/>
    </row>
    <row r="60" spans="1:13" s="268" customFormat="1">
      <c r="A60" s="889">
        <f t="shared" si="2"/>
        <v>26.240000000000038</v>
      </c>
      <c r="B60" s="44"/>
      <c r="C60" s="1697">
        <v>43070</v>
      </c>
      <c r="D60" s="1698">
        <v>4.2099999999999999E-2</v>
      </c>
      <c r="E60" s="489">
        <f t="shared" si="3"/>
        <v>3.5083333333333334E-3</v>
      </c>
      <c r="F60" s="859">
        <f t="shared" si="1"/>
        <v>-11069.169065189633</v>
      </c>
      <c r="G60" s="1647">
        <f t="shared" si="7"/>
        <v>643526.43657322018</v>
      </c>
      <c r="H60" s="1447">
        <f t="shared" si="5"/>
        <v>-3155107.5720255487</v>
      </c>
      <c r="I60" s="859">
        <f t="shared" si="6"/>
        <v>-3195088.1949660508</v>
      </c>
      <c r="J60" s="44"/>
      <c r="K60" s="43"/>
      <c r="L60" s="43"/>
      <c r="M60" s="43"/>
    </row>
    <row r="61" spans="1:13" s="268" customFormat="1">
      <c r="A61" s="889">
        <f t="shared" si="2"/>
        <v>26.250000000000039</v>
      </c>
      <c r="B61" s="43">
        <v>1</v>
      </c>
      <c r="C61" s="1697">
        <v>43101</v>
      </c>
      <c r="D61" s="1698">
        <v>4.2500000000000003E-2</v>
      </c>
      <c r="E61" s="489">
        <f t="shared" si="3"/>
        <v>3.5416666666666669E-3</v>
      </c>
      <c r="F61" s="859">
        <f t="shared" si="1"/>
        <v>-9036.7812276412751</v>
      </c>
      <c r="G61" s="1647">
        <f t="shared" si="7"/>
        <v>643526.43657322018</v>
      </c>
      <c r="H61" s="1447">
        <f t="shared" si="5"/>
        <v>-2551561.7583928304</v>
      </c>
      <c r="I61" s="859">
        <f t="shared" si="6"/>
        <v>-2560598.5396204721</v>
      </c>
      <c r="J61" s="43"/>
      <c r="K61" s="43" t="s">
        <v>431</v>
      </c>
      <c r="L61" s="43"/>
      <c r="M61" s="43"/>
    </row>
    <row r="62" spans="1:13" s="268" customFormat="1">
      <c r="A62" s="889">
        <f t="shared" si="2"/>
        <v>26.260000000000041</v>
      </c>
      <c r="B62" s="84"/>
      <c r="C62" s="1697">
        <v>43132</v>
      </c>
      <c r="D62" s="1698">
        <v>4.2500000000000003E-2</v>
      </c>
      <c r="E62" s="489">
        <f t="shared" si="3"/>
        <v>3.5416666666666669E-3</v>
      </c>
      <c r="F62" s="859">
        <f t="shared" si="1"/>
        <v>-6757.6250981111198</v>
      </c>
      <c r="G62" s="1647">
        <f t="shared" si="7"/>
        <v>643526.43657322018</v>
      </c>
      <c r="H62" s="1447">
        <f t="shared" si="5"/>
        <v>-1908035.3218196102</v>
      </c>
      <c r="I62" s="859">
        <f t="shared" si="6"/>
        <v>-1923829.728145363</v>
      </c>
      <c r="J62" s="43"/>
      <c r="K62" s="43"/>
      <c r="L62" s="925" t="s">
        <v>432</v>
      </c>
      <c r="M62" s="926" t="str">
        <f ca="1">CELL("address",I65)</f>
        <v>$I$65</v>
      </c>
    </row>
    <row r="63" spans="1:13" s="268" customFormat="1">
      <c r="A63" s="889">
        <f t="shared" si="2"/>
        <v>26.270000000000042</v>
      </c>
      <c r="B63" s="496"/>
      <c r="C63" s="1697">
        <v>43160</v>
      </c>
      <c r="D63" s="1698">
        <v>4.2500000000000003E-2</v>
      </c>
      <c r="E63" s="489">
        <f t="shared" si="3"/>
        <v>3.5416666666666669E-3</v>
      </c>
      <c r="F63" s="859">
        <f t="shared" si="1"/>
        <v>-4478.4689685809653</v>
      </c>
      <c r="G63" s="1647">
        <f t="shared" si="7"/>
        <v>643526.43657322018</v>
      </c>
      <c r="H63" s="1447">
        <f t="shared" si="5"/>
        <v>-1264508.88524639</v>
      </c>
      <c r="I63" s="859">
        <f t="shared" si="6"/>
        <v>-1284781.7605407238</v>
      </c>
      <c r="J63" s="43"/>
      <c r="K63" s="43"/>
      <c r="L63" s="925" t="s">
        <v>433</v>
      </c>
      <c r="M63" s="925">
        <v>0</v>
      </c>
    </row>
    <row r="64" spans="1:13" s="268" customFormat="1">
      <c r="A64" s="889">
        <f t="shared" si="2"/>
        <v>26.280000000000044</v>
      </c>
      <c r="B64" s="43">
        <v>1</v>
      </c>
      <c r="C64" s="1697">
        <v>43191</v>
      </c>
      <c r="D64" s="1698">
        <v>4.2500000000000003E-2</v>
      </c>
      <c r="E64" s="489">
        <f t="shared" si="3"/>
        <v>3.5416666666666669E-3</v>
      </c>
      <c r="F64" s="859">
        <f t="shared" si="1"/>
        <v>-2271.1126057182423</v>
      </c>
      <c r="G64" s="1647">
        <f t="shared" si="7"/>
        <v>643526.43657322018</v>
      </c>
      <c r="H64" s="1447">
        <f t="shared" si="5"/>
        <v>-641255.32396750362</v>
      </c>
      <c r="I64" s="859">
        <f t="shared" si="6"/>
        <v>-643526.43657322181</v>
      </c>
      <c r="J64" s="43"/>
      <c r="K64" s="43"/>
      <c r="L64" s="925" t="s">
        <v>434</v>
      </c>
      <c r="M64" s="926" t="str">
        <f ca="1">CELL("address",G54)</f>
        <v>$G$54</v>
      </c>
    </row>
    <row r="65" spans="1:21" s="268" customFormat="1" ht="15">
      <c r="A65" s="889">
        <f t="shared" si="2"/>
        <v>26.290000000000045</v>
      </c>
      <c r="B65" s="43"/>
      <c r="C65" s="1697">
        <v>43221</v>
      </c>
      <c r="D65" s="1698">
        <v>4.2500000000000003E-2</v>
      </c>
      <c r="E65" s="489">
        <f t="shared" si="3"/>
        <v>3.5416666666666669E-3</v>
      </c>
      <c r="F65" s="1703">
        <f>H65*E65</f>
        <v>0</v>
      </c>
      <c r="G65" s="1647">
        <f t="shared" si="7"/>
        <v>643526.43657322018</v>
      </c>
      <c r="H65" s="1447"/>
      <c r="I65" s="1710">
        <f t="shared" si="6"/>
        <v>-1.6298145055770874E-9</v>
      </c>
      <c r="J65" s="43"/>
      <c r="K65" s="43"/>
      <c r="L65" s="43"/>
      <c r="M65" s="43"/>
    </row>
    <row r="66" spans="1:21" s="268" customFormat="1">
      <c r="A66" s="891">
        <f>+A36+1</f>
        <v>27</v>
      </c>
      <c r="B66" s="43" t="s">
        <v>818</v>
      </c>
      <c r="C66" s="488"/>
      <c r="D66" s="494"/>
      <c r="E66" s="1165"/>
      <c r="F66" s="859">
        <f>SUM(F37:F65)</f>
        <v>-390979.05240688391</v>
      </c>
      <c r="G66" s="927"/>
      <c r="H66" s="490" t="str">
        <f>+"Col. "&amp;F6&amp;" Sum of Line "&amp;A36&amp;" Subparts"</f>
        <v>Col. E Sum of Line 26 Subparts</v>
      </c>
      <c r="I66" s="928"/>
      <c r="J66" s="43"/>
      <c r="K66" s="43"/>
      <c r="L66" s="43"/>
      <c r="M66" s="43"/>
    </row>
    <row r="67" spans="1:21" s="268" customFormat="1" ht="13.8" thickBot="1">
      <c r="A67" s="1480">
        <f>A66+1</f>
        <v>28</v>
      </c>
      <c r="B67" s="1482" t="s">
        <v>976</v>
      </c>
      <c r="C67" s="488"/>
      <c r="D67" s="494"/>
      <c r="E67" s="1165"/>
      <c r="F67" s="1483">
        <f>+G29+G31</f>
        <v>-7331338.1864717603</v>
      </c>
      <c r="G67" s="498"/>
      <c r="H67" s="2043" t="str">
        <f>+"Col. "&amp;G6&amp;" Line "&amp;A29&amp;" + Line "&amp;A31</f>
        <v>Col. F Line 21 + Line 23</v>
      </c>
      <c r="I67" s="2043"/>
      <c r="J67" s="43"/>
      <c r="K67" s="43"/>
      <c r="L67" s="43"/>
      <c r="M67" s="43"/>
    </row>
    <row r="68" spans="1:21" s="268" customFormat="1" ht="13.8" thickBot="1">
      <c r="A68" s="1480">
        <f>A67+1</f>
        <v>29</v>
      </c>
      <c r="B68" s="43" t="s">
        <v>977</v>
      </c>
      <c r="C68" s="488"/>
      <c r="D68" s="494"/>
      <c r="E68" s="1165"/>
      <c r="F68" s="1484">
        <f>SUM(F66:F67)</f>
        <v>-7722317.2388786441</v>
      </c>
      <c r="G68" s="490"/>
      <c r="H68" s="490" t="str">
        <f>+"Col. "&amp;F6&amp;" Line "&amp;A66&amp;" + "&amp;A67</f>
        <v>Col. E Line 27 + 28</v>
      </c>
      <c r="I68" s="490"/>
      <c r="J68" s="43"/>
      <c r="K68" s="43"/>
      <c r="L68" s="43"/>
      <c r="M68" s="43"/>
    </row>
    <row r="69" spans="1:21" s="268" customFormat="1">
      <c r="A69" s="44"/>
      <c r="B69" s="43"/>
      <c r="C69" s="43"/>
      <c r="D69" s="43"/>
      <c r="E69" s="43"/>
      <c r="F69" s="43"/>
      <c r="G69" s="43"/>
      <c r="H69" s="43"/>
      <c r="I69" s="43"/>
      <c r="J69" s="43"/>
      <c r="K69" s="43"/>
      <c r="L69" s="43"/>
      <c r="M69" s="43"/>
    </row>
    <row r="70" spans="1:21" s="44" customFormat="1">
      <c r="B70" s="43"/>
      <c r="C70" s="488"/>
      <c r="D70" s="494"/>
      <c r="E70" s="1165"/>
      <c r="F70" s="490"/>
      <c r="G70" s="491"/>
      <c r="H70" s="497"/>
      <c r="I70" s="490"/>
      <c r="J70" s="43"/>
      <c r="K70" s="43"/>
      <c r="L70" s="43"/>
      <c r="M70" s="43"/>
    </row>
    <row r="71" spans="1:21" s="268" customFormat="1">
      <c r="A71" s="44" t="s">
        <v>299</v>
      </c>
      <c r="B71" s="43"/>
      <c r="C71" s="488"/>
      <c r="D71" s="494"/>
      <c r="E71" s="1165"/>
      <c r="F71" s="490"/>
      <c r="G71" s="491"/>
      <c r="H71" s="497"/>
      <c r="I71" s="490"/>
      <c r="J71" s="44"/>
      <c r="K71" s="44"/>
      <c r="L71" s="44"/>
      <c r="M71" s="44"/>
    </row>
    <row r="72" spans="1:21" s="268" customFormat="1" ht="39.6" customHeight="1">
      <c r="A72" s="702">
        <v>1</v>
      </c>
      <c r="B72" s="2041" t="s">
        <v>957</v>
      </c>
      <c r="C72" s="2041"/>
      <c r="D72" s="2041"/>
      <c r="E72" s="2041"/>
      <c r="F72" s="2041"/>
      <c r="G72" s="2041"/>
      <c r="H72" s="2041"/>
      <c r="I72" s="2041"/>
      <c r="J72" s="44"/>
      <c r="K72" s="44"/>
      <c r="L72" s="44"/>
      <c r="M72" s="44"/>
    </row>
    <row r="73" spans="1:21" s="268" customFormat="1" ht="27" customHeight="1">
      <c r="A73" s="890">
        <v>2</v>
      </c>
      <c r="B73" s="2037" t="s">
        <v>972</v>
      </c>
      <c r="C73" s="2037"/>
      <c r="D73" s="2037"/>
      <c r="E73" s="2037"/>
      <c r="F73" s="2037"/>
      <c r="G73" s="2037"/>
      <c r="H73" s="2037"/>
      <c r="I73" s="2037"/>
      <c r="J73" s="44"/>
      <c r="K73" s="2044"/>
      <c r="L73" s="2044"/>
      <c r="M73" s="2044"/>
      <c r="N73" s="2044"/>
      <c r="O73" s="2044"/>
      <c r="P73" s="2044"/>
      <c r="Q73" s="2044"/>
      <c r="R73" s="2044"/>
      <c r="S73" s="2044"/>
      <c r="T73" s="2044"/>
      <c r="U73" s="2044"/>
    </row>
    <row r="74" spans="1:21" s="268" customFormat="1" ht="27" customHeight="1">
      <c r="A74" s="702">
        <v>3</v>
      </c>
      <c r="B74" s="2037" t="s">
        <v>444</v>
      </c>
      <c r="C74" s="2037"/>
      <c r="D74" s="2037"/>
      <c r="E74" s="2037"/>
      <c r="F74" s="2037"/>
      <c r="G74" s="2037"/>
      <c r="H74" s="2037"/>
      <c r="I74" s="2037"/>
      <c r="J74" s="44"/>
      <c r="K74" s="44"/>
      <c r="L74" s="44"/>
      <c r="M74" s="44"/>
    </row>
    <row r="75" spans="1:21" s="268" customFormat="1" ht="66" customHeight="1">
      <c r="A75" s="702">
        <v>4</v>
      </c>
      <c r="B75" s="2037" t="s">
        <v>978</v>
      </c>
      <c r="C75" s="2037"/>
      <c r="D75" s="2037"/>
      <c r="E75" s="2037"/>
      <c r="F75" s="2037"/>
      <c r="G75" s="2037"/>
      <c r="H75" s="2037"/>
      <c r="I75" s="2037"/>
      <c r="J75" s="44"/>
      <c r="K75" s="44"/>
      <c r="L75" s="44"/>
      <c r="M75" s="44"/>
    </row>
    <row r="76" spans="1:21" s="268" customFormat="1" ht="39" customHeight="1">
      <c r="A76" s="562">
        <v>5</v>
      </c>
      <c r="B76" s="2037" t="s">
        <v>979</v>
      </c>
      <c r="C76" s="2037"/>
      <c r="D76" s="2037"/>
      <c r="E76" s="2037"/>
      <c r="F76" s="2037"/>
      <c r="G76" s="2037"/>
      <c r="H76" s="2037"/>
      <c r="I76" s="2037"/>
      <c r="J76" s="44"/>
      <c r="K76" s="44"/>
      <c r="L76" s="44"/>
      <c r="M76" s="44"/>
    </row>
    <row r="77" spans="1:21" s="268" customFormat="1" ht="79.95" customHeight="1">
      <c r="A77" s="562">
        <v>6</v>
      </c>
      <c r="B77" s="2037" t="s">
        <v>980</v>
      </c>
      <c r="C77" s="2037"/>
      <c r="D77" s="2037"/>
      <c r="E77" s="2037"/>
      <c r="F77" s="2037"/>
      <c r="G77" s="2037"/>
      <c r="H77" s="2037"/>
      <c r="I77" s="2037"/>
      <c r="J77" s="44"/>
      <c r="K77" s="44"/>
      <c r="L77" s="44"/>
      <c r="M77" s="44"/>
    </row>
    <row r="78" spans="1:21" s="268" customFormat="1" ht="54.6" customHeight="1">
      <c r="A78" s="1479">
        <v>7</v>
      </c>
      <c r="B78" s="2037" t="s">
        <v>981</v>
      </c>
      <c r="C78" s="2037"/>
      <c r="D78" s="2037"/>
      <c r="E78" s="2037"/>
      <c r="F78" s="2037"/>
      <c r="G78" s="2037"/>
      <c r="H78" s="2037"/>
      <c r="I78" s="2037"/>
      <c r="J78" s="44"/>
      <c r="K78" s="44"/>
      <c r="L78" s="44"/>
      <c r="M78" s="44"/>
    </row>
    <row r="79" spans="1:21" s="268" customFormat="1">
      <c r="A79" s="738"/>
      <c r="B79" s="769"/>
      <c r="C79" s="514"/>
      <c r="D79" s="515"/>
      <c r="E79" s="516"/>
      <c r="F79" s="490"/>
      <c r="G79" s="491"/>
      <c r="H79" s="497"/>
      <c r="I79" s="490"/>
      <c r="J79" s="44"/>
      <c r="K79" s="44"/>
      <c r="L79" s="44"/>
      <c r="M79" s="44"/>
    </row>
    <row r="80" spans="1:21" s="268" customFormat="1">
      <c r="A80" s="738"/>
      <c r="B80" s="43"/>
      <c r="C80" s="488"/>
      <c r="D80" s="499"/>
      <c r="E80" s="489"/>
      <c r="F80" s="490"/>
      <c r="G80" s="491"/>
      <c r="H80" s="497"/>
      <c r="I80" s="490"/>
      <c r="J80" s="44"/>
      <c r="K80" s="44"/>
      <c r="L80" s="44"/>
      <c r="M80" s="44"/>
    </row>
    <row r="81" spans="1:13" s="268" customFormat="1">
      <c r="A81" s="44"/>
      <c r="B81" s="43"/>
      <c r="C81" s="488"/>
      <c r="D81" s="499"/>
      <c r="E81" s="489"/>
      <c r="F81" s="490"/>
      <c r="G81" s="491"/>
      <c r="H81" s="497"/>
      <c r="I81" s="490"/>
      <c r="J81" s="44"/>
      <c r="K81" s="44"/>
      <c r="L81" s="44"/>
      <c r="M81" s="44"/>
    </row>
    <row r="82" spans="1:13" s="268" customFormat="1">
      <c r="A82" s="44"/>
      <c r="B82" s="43"/>
      <c r="C82" s="488"/>
      <c r="D82" s="499"/>
      <c r="E82" s="489"/>
      <c r="F82" s="490"/>
      <c r="G82" s="491"/>
      <c r="H82" s="497"/>
      <c r="I82" s="490"/>
      <c r="J82" s="44"/>
      <c r="K82" s="44"/>
      <c r="L82" s="44"/>
      <c r="M82" s="44"/>
    </row>
    <row r="83" spans="1:13" s="268" customFormat="1">
      <c r="A83" s="44"/>
      <c r="B83" s="43"/>
      <c r="C83" s="488"/>
      <c r="D83" s="499"/>
      <c r="E83" s="489"/>
      <c r="F83" s="490"/>
      <c r="G83" s="491"/>
      <c r="H83" s="497"/>
      <c r="I83" s="490"/>
      <c r="J83" s="44"/>
      <c r="K83" s="44"/>
      <c r="L83" s="44"/>
      <c r="M83" s="44"/>
    </row>
    <row r="84" spans="1:13" s="268" customFormat="1">
      <c r="A84" s="44"/>
      <c r="B84" s="43"/>
      <c r="C84" s="488"/>
      <c r="D84" s="499"/>
      <c r="E84" s="489"/>
      <c r="F84" s="490"/>
      <c r="G84" s="491"/>
      <c r="H84" s="497"/>
      <c r="I84" s="490"/>
      <c r="J84" s="44"/>
      <c r="K84" s="44"/>
      <c r="L84" s="44"/>
      <c r="M84" s="44"/>
    </row>
    <row r="85" spans="1:13" s="268" customFormat="1">
      <c r="A85" s="44"/>
      <c r="B85" s="43"/>
      <c r="C85" s="488"/>
      <c r="D85" s="499"/>
      <c r="E85" s="489"/>
      <c r="F85" s="490"/>
      <c r="G85" s="491"/>
      <c r="H85" s="497"/>
      <c r="I85" s="490"/>
      <c r="J85" s="44"/>
      <c r="K85" s="44"/>
      <c r="L85" s="44"/>
      <c r="M85" s="44"/>
    </row>
    <row r="86" spans="1:13" s="268" customFormat="1">
      <c r="A86" s="44"/>
      <c r="B86" s="44"/>
      <c r="C86" s="488"/>
      <c r="D86" s="499"/>
      <c r="E86" s="489"/>
      <c r="F86" s="490"/>
      <c r="G86" s="491"/>
      <c r="H86" s="497"/>
      <c r="I86" s="490"/>
      <c r="J86" s="44"/>
      <c r="K86" s="44"/>
      <c r="L86" s="44"/>
      <c r="M86" s="44"/>
    </row>
    <row r="87" spans="1:13" s="268" customFormat="1">
      <c r="A87" s="44"/>
      <c r="B87" s="44"/>
      <c r="C87" s="488"/>
      <c r="D87" s="499"/>
      <c r="E87" s="489"/>
      <c r="F87" s="490"/>
      <c r="G87" s="491"/>
      <c r="H87" s="497"/>
      <c r="I87" s="490"/>
      <c r="J87" s="44"/>
      <c r="K87" s="44"/>
      <c r="L87" s="44"/>
      <c r="M87" s="44"/>
    </row>
    <row r="88" spans="1:13" s="268" customFormat="1">
      <c r="A88" s="44"/>
      <c r="B88" s="44"/>
      <c r="C88" s="488"/>
      <c r="D88" s="499"/>
      <c r="E88" s="489"/>
      <c r="F88" s="490"/>
      <c r="G88" s="491"/>
      <c r="H88" s="497"/>
      <c r="I88" s="490"/>
      <c r="J88" s="44"/>
      <c r="K88" s="44"/>
      <c r="L88" s="44"/>
      <c r="M88" s="44"/>
    </row>
    <row r="89" spans="1:13" s="268" customFormat="1">
      <c r="A89" s="44"/>
      <c r="B89" s="44"/>
      <c r="C89" s="488"/>
      <c r="D89" s="499"/>
      <c r="E89" s="489"/>
      <c r="F89" s="490"/>
      <c r="G89" s="491"/>
      <c r="H89" s="497"/>
      <c r="I89" s="490"/>
      <c r="J89" s="44"/>
      <c r="K89" s="44"/>
      <c r="L89" s="44"/>
      <c r="M89" s="44"/>
    </row>
    <row r="90" spans="1:13" s="268" customFormat="1">
      <c r="A90" s="44"/>
      <c r="B90" s="44"/>
      <c r="C90" s="488"/>
      <c r="D90" s="499"/>
      <c r="E90" s="489"/>
      <c r="F90" s="490"/>
      <c r="G90" s="491"/>
      <c r="H90" s="497"/>
      <c r="I90" s="490"/>
      <c r="J90" s="44"/>
      <c r="K90" s="44"/>
      <c r="L90" s="44"/>
      <c r="M90" s="44"/>
    </row>
    <row r="91" spans="1:13" s="268" customFormat="1">
      <c r="A91" s="44"/>
      <c r="B91" s="44"/>
      <c r="C91" s="488"/>
      <c r="D91" s="499"/>
      <c r="E91" s="489"/>
      <c r="F91" s="490"/>
      <c r="G91" s="491"/>
      <c r="H91" s="497"/>
      <c r="I91" s="490"/>
      <c r="J91" s="44"/>
      <c r="K91" s="44"/>
      <c r="L91" s="44"/>
      <c r="M91" s="44"/>
    </row>
    <row r="92" spans="1:13" s="268" customFormat="1">
      <c r="A92" s="44"/>
      <c r="B92" s="44"/>
      <c r="C92" s="488"/>
      <c r="D92" s="499"/>
      <c r="E92" s="489"/>
      <c r="F92" s="490"/>
      <c r="G92" s="491"/>
      <c r="H92" s="497"/>
      <c r="I92" s="490"/>
      <c r="J92" s="44"/>
      <c r="K92" s="44"/>
      <c r="L92" s="44"/>
      <c r="M92" s="44"/>
    </row>
    <row r="93" spans="1:13" s="268" customFormat="1">
      <c r="A93" s="44"/>
      <c r="B93" s="44"/>
      <c r="C93" s="488"/>
      <c r="D93" s="499"/>
      <c r="E93" s="489"/>
      <c r="F93" s="490"/>
      <c r="G93" s="491"/>
      <c r="H93" s="497"/>
      <c r="I93" s="490"/>
      <c r="J93" s="44"/>
      <c r="K93" s="44"/>
      <c r="L93" s="44"/>
      <c r="M93" s="44"/>
    </row>
    <row r="94" spans="1:13" s="268" customFormat="1">
      <c r="A94" s="44"/>
      <c r="B94" s="44"/>
      <c r="C94" s="488"/>
      <c r="D94" s="499"/>
      <c r="E94" s="489"/>
      <c r="F94" s="490"/>
      <c r="G94" s="491"/>
      <c r="H94" s="497"/>
      <c r="I94" s="490"/>
      <c r="J94" s="44"/>
      <c r="K94" s="44"/>
      <c r="L94" s="44"/>
      <c r="M94" s="44"/>
    </row>
    <row r="95" spans="1:13" s="268" customFormat="1">
      <c r="A95" s="44"/>
      <c r="B95" s="44"/>
      <c r="C95" s="488"/>
      <c r="D95" s="499"/>
      <c r="E95" s="489"/>
      <c r="F95" s="490"/>
      <c r="G95" s="491"/>
      <c r="H95" s="497"/>
      <c r="I95" s="490"/>
      <c r="J95" s="44"/>
      <c r="K95" s="44"/>
      <c r="L95" s="44"/>
      <c r="M95" s="44"/>
    </row>
    <row r="96" spans="1:13" s="268" customFormat="1">
      <c r="A96" s="44"/>
      <c r="B96" s="44"/>
      <c r="C96" s="488"/>
      <c r="D96" s="499"/>
      <c r="E96" s="489"/>
      <c r="F96" s="490"/>
      <c r="G96" s="491"/>
      <c r="H96" s="497"/>
      <c r="I96" s="490"/>
      <c r="J96" s="44"/>
      <c r="K96" s="44"/>
      <c r="L96" s="44"/>
      <c r="M96" s="44"/>
    </row>
    <row r="97" spans="1:38" s="268" customFormat="1">
      <c r="A97" s="44"/>
      <c r="B97" s="44"/>
      <c r="C97" s="488"/>
      <c r="D97" s="499"/>
      <c r="E97" s="489"/>
      <c r="F97" s="490"/>
      <c r="G97" s="491"/>
      <c r="H97" s="497"/>
      <c r="I97" s="490"/>
      <c r="J97" s="44"/>
      <c r="K97" s="44"/>
      <c r="L97" s="44"/>
      <c r="M97" s="44"/>
    </row>
    <row r="98" spans="1:38" s="268" customFormat="1">
      <c r="A98" s="44"/>
      <c r="B98" s="44"/>
      <c r="C98" s="488"/>
      <c r="D98" s="499"/>
      <c r="E98" s="489"/>
      <c r="F98" s="490"/>
      <c r="G98" s="491"/>
      <c r="H98" s="497"/>
      <c r="I98" s="490"/>
      <c r="J98" s="44"/>
      <c r="K98" s="44"/>
      <c r="L98" s="44"/>
      <c r="M98" s="44"/>
    </row>
    <row r="99" spans="1:38" s="268" customFormat="1">
      <c r="A99" s="44"/>
      <c r="B99" s="44"/>
      <c r="C99" s="488"/>
      <c r="D99" s="499"/>
      <c r="E99" s="489"/>
      <c r="F99" s="490"/>
      <c r="G99" s="491"/>
      <c r="H99" s="497"/>
      <c r="I99" s="490"/>
      <c r="J99" s="44"/>
      <c r="K99" s="44"/>
      <c r="L99" s="44"/>
      <c r="M99" s="44"/>
    </row>
    <row r="100" spans="1:38" s="268" customFormat="1">
      <c r="A100" s="44"/>
      <c r="B100" s="44"/>
      <c r="C100" s="488"/>
      <c r="D100" s="499"/>
      <c r="E100" s="489"/>
      <c r="F100" s="490"/>
      <c r="G100" s="491"/>
      <c r="H100" s="497"/>
      <c r="I100" s="490"/>
      <c r="J100" s="44"/>
      <c r="K100" s="44"/>
      <c r="L100" s="44"/>
      <c r="M100" s="44"/>
    </row>
    <row r="101" spans="1:38" s="268" customFormat="1">
      <c r="A101" s="44"/>
      <c r="B101" s="44"/>
      <c r="C101" s="488"/>
      <c r="D101" s="499"/>
      <c r="E101" s="489"/>
      <c r="F101" s="490"/>
      <c r="G101" s="491"/>
      <c r="H101" s="497"/>
      <c r="I101" s="490"/>
      <c r="J101" s="44"/>
      <c r="K101" s="44"/>
      <c r="L101" s="44"/>
      <c r="M101" s="44"/>
    </row>
    <row r="102" spans="1:38">
      <c r="C102" s="488"/>
      <c r="D102" s="499"/>
      <c r="E102" s="489"/>
      <c r="F102" s="490"/>
      <c r="G102" s="491"/>
      <c r="H102" s="497"/>
      <c r="I102" s="49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row>
    <row r="103" spans="1:38">
      <c r="C103" s="488"/>
      <c r="D103" s="499"/>
      <c r="E103" s="489"/>
      <c r="F103" s="490"/>
      <c r="G103" s="491"/>
      <c r="H103" s="497"/>
      <c r="I103" s="49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row>
    <row r="104" spans="1:38">
      <c r="C104" s="488"/>
      <c r="D104" s="499"/>
      <c r="E104" s="489"/>
      <c r="F104" s="490"/>
      <c r="G104" s="491"/>
      <c r="H104" s="497"/>
      <c r="I104" s="49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1:38">
      <c r="C105" s="488"/>
      <c r="D105" s="499"/>
      <c r="E105" s="489"/>
      <c r="F105" s="490"/>
      <c r="G105" s="491"/>
      <c r="H105" s="497"/>
      <c r="I105" s="49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row>
    <row r="106" spans="1:38">
      <c r="C106" s="488"/>
      <c r="D106" s="499"/>
      <c r="E106" s="489"/>
      <c r="F106" s="490"/>
      <c r="G106" s="491"/>
      <c r="H106" s="497"/>
      <c r="I106" s="49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row>
    <row r="107" spans="1:38">
      <c r="C107" s="488"/>
      <c r="D107" s="499"/>
      <c r="E107" s="489"/>
      <c r="F107" s="490"/>
      <c r="G107" s="491"/>
      <c r="H107" s="497"/>
      <c r="I107" s="49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row>
    <row r="108" spans="1:38">
      <c r="C108" s="488"/>
      <c r="D108" s="499"/>
      <c r="E108" s="489"/>
      <c r="F108" s="490"/>
      <c r="G108" s="491"/>
      <c r="H108" s="497"/>
      <c r="I108" s="49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row>
    <row r="109" spans="1:38">
      <c r="C109" s="488"/>
      <c r="D109" s="499"/>
      <c r="E109" s="489"/>
      <c r="F109" s="490"/>
      <c r="G109" s="491"/>
      <c r="H109" s="497"/>
      <c r="I109" s="49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row>
    <row r="110" spans="1:38">
      <c r="B110" s="66"/>
      <c r="C110" s="488"/>
      <c r="D110" s="499"/>
      <c r="E110" s="489"/>
      <c r="F110" s="490"/>
      <c r="G110" s="491"/>
      <c r="H110" s="497"/>
      <c r="I110" s="49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row>
    <row r="111" spans="1:38">
      <c r="A111" s="66"/>
      <c r="B111" s="66"/>
      <c r="C111" s="488"/>
      <c r="D111" s="499"/>
      <c r="E111" s="489"/>
      <c r="F111" s="490"/>
      <c r="G111" s="491"/>
      <c r="H111" s="497"/>
      <c r="I111" s="49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row>
    <row r="112" spans="1:38">
      <c r="A112" s="66"/>
      <c r="B112" s="66"/>
      <c r="C112" s="488"/>
      <c r="D112" s="499"/>
      <c r="E112" s="489"/>
      <c r="F112" s="490"/>
      <c r="G112" s="491"/>
      <c r="H112" s="497"/>
      <c r="I112" s="49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c r="A113" s="66"/>
      <c r="B113" s="66"/>
      <c r="C113" s="488"/>
      <c r="D113" s="499"/>
      <c r="E113" s="489"/>
      <c r="F113" s="490"/>
      <c r="G113" s="491"/>
      <c r="H113" s="497"/>
      <c r="I113" s="49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row>
    <row r="114" spans="1:38">
      <c r="A114" s="66"/>
      <c r="B114" s="66"/>
      <c r="C114" s="488"/>
      <c r="D114" s="499"/>
      <c r="E114" s="489"/>
      <c r="F114" s="490"/>
      <c r="G114" s="491"/>
      <c r="H114" s="497"/>
      <c r="I114" s="49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row>
    <row r="115" spans="1:38">
      <c r="A115" s="66"/>
      <c r="B115" s="66"/>
      <c r="C115" s="488"/>
      <c r="D115" s="499"/>
      <c r="E115" s="489"/>
      <c r="F115" s="490"/>
      <c r="G115" s="491"/>
      <c r="H115" s="497"/>
      <c r="I115" s="49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row>
    <row r="116" spans="1:38">
      <c r="A116" s="66"/>
      <c r="B116" s="66"/>
      <c r="C116" s="488"/>
      <c r="D116" s="499"/>
      <c r="E116" s="489"/>
      <c r="F116" s="490"/>
      <c r="G116" s="491"/>
      <c r="H116" s="497"/>
      <c r="I116" s="49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row>
    <row r="117" spans="1:38">
      <c r="A117" s="66"/>
      <c r="B117" s="66"/>
      <c r="C117" s="488"/>
      <c r="D117" s="499"/>
      <c r="E117" s="489"/>
      <c r="F117" s="490"/>
      <c r="G117" s="491"/>
      <c r="H117" s="497"/>
      <c r="I117" s="49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row>
    <row r="118" spans="1:38">
      <c r="A118" s="66"/>
      <c r="B118" s="66"/>
      <c r="C118" s="488"/>
      <c r="D118" s="499"/>
      <c r="E118" s="489"/>
      <c r="F118" s="490"/>
      <c r="G118" s="491"/>
      <c r="H118" s="497"/>
      <c r="I118" s="49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row>
    <row r="119" spans="1:38">
      <c r="A119" s="66"/>
      <c r="B119" s="66"/>
      <c r="C119" s="488"/>
      <c r="D119" s="499"/>
      <c r="E119" s="489"/>
      <c r="F119" s="490"/>
      <c r="G119" s="491"/>
      <c r="H119" s="497"/>
      <c r="I119" s="49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row>
    <row r="120" spans="1:38">
      <c r="A120" s="66"/>
      <c r="B120" s="66"/>
      <c r="C120" s="488"/>
      <c r="D120" s="499"/>
      <c r="E120" s="489"/>
      <c r="F120" s="490"/>
      <c r="G120" s="491"/>
      <c r="H120" s="497"/>
      <c r="I120" s="49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row>
    <row r="121" spans="1:38">
      <c r="A121" s="66"/>
      <c r="B121" s="66"/>
      <c r="C121" s="488"/>
      <c r="D121" s="499"/>
      <c r="E121" s="489"/>
      <c r="F121" s="490"/>
      <c r="G121" s="491"/>
      <c r="H121" s="497"/>
      <c r="I121" s="49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row>
    <row r="122" spans="1:38">
      <c r="A122" s="66"/>
      <c r="B122" s="66"/>
      <c r="C122" s="488"/>
      <c r="D122" s="499"/>
      <c r="E122" s="489"/>
      <c r="F122" s="490"/>
      <c r="G122" s="491"/>
      <c r="H122" s="497"/>
      <c r="I122" s="49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row>
    <row r="123" spans="1:38">
      <c r="A123" s="66"/>
      <c r="B123" s="66"/>
      <c r="F123" s="500"/>
      <c r="G123" s="500"/>
      <c r="H123" s="500"/>
      <c r="I123" s="50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row>
    <row r="124" spans="1:38">
      <c r="A124" s="66"/>
      <c r="B124" s="66"/>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row>
    <row r="125" spans="1:38">
      <c r="A125" s="66"/>
      <c r="B125" s="66"/>
      <c r="F125" s="501"/>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1:38">
      <c r="A126" s="66"/>
      <c r="B126" s="66"/>
      <c r="C126" s="66"/>
      <c r="D126" s="66"/>
      <c r="E126" s="66"/>
      <c r="F126" s="501"/>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row>
    <row r="127" spans="1:38">
      <c r="A127" s="66"/>
      <c r="B127" s="66"/>
      <c r="C127" s="66"/>
      <c r="D127" s="66"/>
      <c r="E127" s="66"/>
      <c r="F127" s="50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1:38">
      <c r="A128" s="66"/>
      <c r="B128" s="66"/>
      <c r="C128" s="66"/>
      <c r="D128" s="66"/>
      <c r="E128" s="66"/>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row>
    <row r="129" spans="1:38">
      <c r="A129" s="66"/>
      <c r="B129" s="66"/>
      <c r="C129" s="66"/>
      <c r="D129" s="66"/>
      <c r="E129" s="66"/>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row>
    <row r="130" spans="1:38">
      <c r="A130" s="66"/>
      <c r="B130" s="66"/>
      <c r="C130" s="66"/>
      <c r="D130" s="66"/>
      <c r="E130" s="66"/>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row>
    <row r="131" spans="1:38">
      <c r="A131" s="66"/>
      <c r="B131" s="66"/>
      <c r="C131" s="66"/>
      <c r="D131" s="66"/>
      <c r="E131" s="66"/>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row>
    <row r="132" spans="1:38">
      <c r="A132" s="66"/>
      <c r="B132" s="66"/>
      <c r="C132" s="66"/>
      <c r="D132" s="66"/>
      <c r="E132" s="66"/>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row>
    <row r="133" spans="1:38">
      <c r="A133" s="66"/>
      <c r="B133" s="66"/>
      <c r="C133" s="66"/>
      <c r="D133" s="66"/>
      <c r="E133" s="66"/>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row>
    <row r="134" spans="1:38">
      <c r="A134" s="66"/>
      <c r="B134" s="66"/>
      <c r="C134" s="66"/>
      <c r="D134" s="66"/>
      <c r="E134" s="66"/>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row>
    <row r="135" spans="1:38">
      <c r="A135" s="66"/>
      <c r="B135" s="66"/>
      <c r="C135" s="66"/>
      <c r="D135" s="66"/>
      <c r="E135" s="66"/>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row>
    <row r="136" spans="1:38">
      <c r="A136" s="66"/>
      <c r="B136" s="66"/>
      <c r="C136" s="66"/>
      <c r="D136" s="66"/>
      <c r="E136" s="66"/>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row>
    <row r="137" spans="1:38">
      <c r="A137" s="66"/>
      <c r="B137" s="66"/>
      <c r="C137" s="66"/>
      <c r="D137" s="66"/>
      <c r="E137" s="66"/>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row>
    <row r="138" spans="1:38">
      <c r="A138" s="66"/>
      <c r="B138" s="66"/>
      <c r="C138" s="66"/>
      <c r="D138" s="66"/>
      <c r="E138" s="66"/>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row>
    <row r="139" spans="1:38">
      <c r="A139" s="66"/>
      <c r="B139" s="66"/>
      <c r="C139" s="66"/>
      <c r="D139" s="66"/>
      <c r="E139" s="66"/>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row>
    <row r="140" spans="1:38">
      <c r="A140" s="66"/>
      <c r="B140" s="66"/>
      <c r="C140" s="66"/>
      <c r="D140" s="66"/>
      <c r="E140" s="66"/>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row>
    <row r="141" spans="1:38">
      <c r="A141" s="66"/>
      <c r="B141" s="66"/>
      <c r="C141" s="66"/>
      <c r="D141" s="66"/>
      <c r="E141" s="66"/>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row>
    <row r="142" spans="1:38">
      <c r="A142" s="66"/>
      <c r="B142" s="66"/>
      <c r="C142" s="66"/>
      <c r="D142" s="66"/>
      <c r="E142" s="66"/>
      <c r="F142" s="66"/>
      <c r="G142" s="66"/>
      <c r="H142" s="66"/>
      <c r="I142" s="66"/>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row>
    <row r="143" spans="1:38">
      <c r="A143" s="66"/>
      <c r="B143" s="66"/>
      <c r="C143" s="66"/>
      <c r="D143" s="66"/>
      <c r="E143" s="66"/>
      <c r="F143" s="66"/>
      <c r="G143" s="66"/>
      <c r="H143" s="66"/>
      <c r="I143" s="66"/>
      <c r="J143" s="66"/>
      <c r="K143" s="66"/>
      <c r="L143" s="66"/>
      <c r="M143" s="66"/>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row>
    <row r="144" spans="1:38">
      <c r="A144" s="66"/>
      <c r="B144" s="66"/>
      <c r="C144" s="66"/>
      <c r="D144" s="66"/>
      <c r="E144" s="66"/>
      <c r="F144" s="66"/>
      <c r="G144" s="66"/>
      <c r="H144" s="66"/>
      <c r="I144" s="66"/>
      <c r="J144" s="66"/>
      <c r="K144" s="66"/>
      <c r="L144" s="66"/>
      <c r="M144" s="66"/>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row>
    <row r="145" spans="1:38">
      <c r="A145" s="66"/>
      <c r="B145" s="66"/>
      <c r="C145" s="66"/>
      <c r="D145" s="66"/>
      <c r="E145" s="66"/>
      <c r="F145" s="66"/>
      <c r="G145" s="66"/>
      <c r="H145" s="66"/>
      <c r="I145" s="66"/>
      <c r="J145" s="66"/>
      <c r="K145" s="66"/>
      <c r="L145" s="66"/>
      <c r="M145" s="66"/>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row>
    <row r="146" spans="1:38">
      <c r="A146" s="66"/>
      <c r="B146" s="66"/>
      <c r="C146" s="66"/>
      <c r="D146" s="66"/>
      <c r="E146" s="66"/>
      <c r="F146" s="66"/>
      <c r="G146" s="66"/>
      <c r="H146" s="66"/>
      <c r="I146" s="66"/>
      <c r="J146" s="66"/>
      <c r="K146" s="66"/>
      <c r="L146" s="66"/>
      <c r="M146" s="66"/>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row>
    <row r="147" spans="1:38">
      <c r="A147" s="66"/>
      <c r="B147" s="66"/>
      <c r="C147" s="66"/>
      <c r="D147" s="66"/>
      <c r="E147" s="66"/>
      <c r="F147" s="66"/>
      <c r="G147" s="66"/>
      <c r="H147" s="66"/>
      <c r="I147" s="66"/>
      <c r="J147" s="66"/>
      <c r="K147" s="66"/>
      <c r="L147" s="66"/>
      <c r="M147" s="66"/>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row>
    <row r="148" spans="1:38">
      <c r="A148" s="66"/>
      <c r="B148" s="66"/>
      <c r="C148" s="66"/>
      <c r="D148" s="66"/>
      <c r="E148" s="66"/>
      <c r="F148" s="66"/>
      <c r="G148" s="66"/>
      <c r="H148" s="66"/>
      <c r="I148" s="66"/>
      <c r="J148" s="66"/>
      <c r="K148" s="66"/>
      <c r="L148" s="66"/>
      <c r="M148" s="66"/>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row>
    <row r="149" spans="1:38">
      <c r="A149" s="66"/>
      <c r="B149" s="66"/>
      <c r="C149" s="66"/>
      <c r="D149" s="66"/>
      <c r="E149" s="66"/>
      <c r="F149" s="66"/>
      <c r="G149" s="66"/>
      <c r="H149" s="66"/>
      <c r="I149" s="66"/>
      <c r="J149" s="66"/>
      <c r="K149" s="66"/>
      <c r="L149" s="66"/>
      <c r="M149" s="66"/>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row>
    <row r="150" spans="1:38">
      <c r="A150" s="66"/>
      <c r="B150" s="66"/>
      <c r="C150" s="66"/>
      <c r="D150" s="66"/>
      <c r="E150" s="66"/>
      <c r="F150" s="66"/>
      <c r="G150" s="66"/>
      <c r="H150" s="66"/>
      <c r="I150" s="66"/>
      <c r="J150" s="66"/>
      <c r="K150" s="66"/>
      <c r="L150" s="66"/>
      <c r="M150" s="66"/>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row>
    <row r="151" spans="1:38">
      <c r="A151" s="66"/>
      <c r="B151" s="66"/>
      <c r="C151" s="66"/>
      <c r="D151" s="66"/>
      <c r="E151" s="66"/>
      <c r="F151" s="66"/>
      <c r="G151" s="66"/>
      <c r="H151" s="66"/>
      <c r="I151" s="66"/>
      <c r="J151" s="66"/>
      <c r="K151" s="66"/>
      <c r="L151" s="66"/>
      <c r="M151" s="66"/>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row>
    <row r="152" spans="1:38">
      <c r="A152" s="66"/>
      <c r="B152" s="66"/>
      <c r="C152" s="66"/>
      <c r="D152" s="66"/>
      <c r="E152" s="66"/>
      <c r="F152" s="66"/>
      <c r="G152" s="66"/>
      <c r="H152" s="66"/>
      <c r="I152" s="66"/>
      <c r="J152" s="66"/>
      <c r="K152" s="66"/>
      <c r="L152" s="66"/>
      <c r="M152" s="66"/>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row>
    <row r="153" spans="1:38">
      <c r="A153" s="66"/>
      <c r="B153" s="66"/>
      <c r="C153" s="66"/>
      <c r="D153" s="66"/>
      <c r="E153" s="66"/>
      <c r="F153" s="66"/>
      <c r="G153" s="66"/>
      <c r="H153" s="66"/>
      <c r="I153" s="66"/>
      <c r="J153" s="66"/>
      <c r="K153" s="66"/>
      <c r="L153" s="66"/>
      <c r="M153" s="66"/>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row>
    <row r="154" spans="1:38">
      <c r="A154" s="66"/>
      <c r="B154" s="66"/>
      <c r="C154" s="66"/>
      <c r="D154" s="66"/>
      <c r="E154" s="66"/>
      <c r="F154" s="66"/>
      <c r="G154" s="66"/>
      <c r="H154" s="66"/>
      <c r="I154" s="66"/>
      <c r="J154" s="66"/>
      <c r="K154" s="66"/>
      <c r="L154" s="66"/>
      <c r="M154" s="66"/>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row>
    <row r="155" spans="1:38">
      <c r="A155" s="66"/>
      <c r="B155" s="66"/>
      <c r="C155" s="66"/>
      <c r="D155" s="66"/>
      <c r="E155" s="66"/>
      <c r="F155" s="66"/>
      <c r="G155" s="66"/>
      <c r="H155" s="66"/>
      <c r="I155" s="66"/>
      <c r="J155" s="66"/>
      <c r="K155" s="66"/>
      <c r="L155" s="66"/>
      <c r="M155" s="66"/>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row>
    <row r="156" spans="1:38">
      <c r="A156" s="66"/>
      <c r="B156" s="66"/>
      <c r="C156" s="66"/>
      <c r="D156" s="66"/>
      <c r="E156" s="66"/>
      <c r="F156" s="66"/>
      <c r="G156" s="66"/>
      <c r="H156" s="66"/>
      <c r="I156" s="66"/>
      <c r="J156" s="66"/>
      <c r="K156" s="66"/>
      <c r="L156" s="66"/>
      <c r="M156" s="66"/>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row>
    <row r="157" spans="1:38">
      <c r="A157" s="66"/>
      <c r="B157" s="66"/>
      <c r="C157" s="66"/>
      <c r="D157" s="66"/>
      <c r="E157" s="66"/>
      <c r="F157" s="66"/>
      <c r="G157" s="66"/>
      <c r="H157" s="66"/>
      <c r="I157" s="66"/>
      <c r="J157" s="66"/>
      <c r="K157" s="66"/>
      <c r="L157" s="66"/>
      <c r="M157" s="66"/>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row>
    <row r="158" spans="1:38">
      <c r="A158" s="66"/>
      <c r="J158" s="66"/>
      <c r="K158" s="66"/>
      <c r="L158" s="66"/>
      <c r="M158" s="66"/>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row>
    <row r="159" spans="1:38" s="231" customFormat="1">
      <c r="A159" s="44"/>
      <c r="B159" s="44"/>
      <c r="C159" s="43"/>
      <c r="D159" s="44"/>
      <c r="E159" s="44"/>
      <c r="F159" s="44"/>
      <c r="G159" s="44"/>
      <c r="H159" s="44"/>
      <c r="I159" s="44"/>
      <c r="J159" s="44"/>
      <c r="K159" s="44"/>
      <c r="L159" s="44"/>
      <c r="M159" s="44"/>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row>
    <row r="160" spans="1:38">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row>
    <row r="161" spans="1:38">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row>
    <row r="162" spans="1:38">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row>
    <row r="163" spans="1:38">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row>
    <row r="164" spans="1:38">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row>
    <row r="165" spans="1:38">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row>
    <row r="166" spans="1:38">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row>
    <row r="167" spans="1:38">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row>
    <row r="168" spans="1:38">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row>
    <row r="169" spans="1:38">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row>
    <row r="170" spans="1:38">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row>
    <row r="171" spans="1:38">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row>
    <row r="172" spans="1:38">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row>
    <row r="173" spans="1:38">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row>
    <row r="174" spans="1:38">
      <c r="B174" s="66"/>
      <c r="C174" s="66"/>
      <c r="D174" s="66"/>
      <c r="E174" s="66"/>
      <c r="F174" s="66"/>
      <c r="G174" s="66"/>
      <c r="H174" s="66"/>
      <c r="I174" s="66"/>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row>
    <row r="175" spans="1:38">
      <c r="A175" s="66"/>
      <c r="B175" s="66"/>
      <c r="C175" s="66"/>
      <c r="D175" s="66"/>
      <c r="E175" s="66"/>
      <c r="F175" s="66"/>
      <c r="G175" s="66"/>
      <c r="H175" s="66"/>
      <c r="I175" s="66"/>
      <c r="J175" s="66"/>
      <c r="K175" s="66"/>
      <c r="L175" s="66"/>
      <c r="M175" s="66"/>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row>
    <row r="176" spans="1:38">
      <c r="A176" s="66"/>
      <c r="B176" s="66"/>
      <c r="C176" s="66"/>
      <c r="D176" s="66"/>
      <c r="E176" s="66"/>
      <c r="F176" s="66"/>
      <c r="G176" s="66"/>
      <c r="H176" s="66"/>
      <c r="I176" s="66"/>
      <c r="J176" s="66"/>
      <c r="K176" s="66"/>
      <c r="L176" s="66"/>
      <c r="M176" s="66"/>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row>
    <row r="177" spans="1:38">
      <c r="A177" s="66"/>
      <c r="B177" s="66"/>
      <c r="C177" s="66"/>
      <c r="D177" s="66"/>
      <c r="E177" s="66"/>
      <c r="F177" s="66"/>
      <c r="G177" s="66"/>
      <c r="H177" s="66"/>
      <c r="I177" s="66"/>
      <c r="J177" s="66"/>
      <c r="K177" s="66"/>
      <c r="L177" s="66"/>
      <c r="M177" s="66"/>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row>
    <row r="178" spans="1:38">
      <c r="A178" s="66"/>
      <c r="B178" s="66"/>
      <c r="C178" s="66"/>
      <c r="D178" s="66"/>
      <c r="E178" s="66"/>
      <c r="F178" s="66"/>
      <c r="G178" s="66"/>
      <c r="H178" s="66"/>
      <c r="I178" s="66"/>
      <c r="J178" s="66"/>
      <c r="K178" s="66"/>
      <c r="L178" s="66"/>
      <c r="M178" s="66"/>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row>
    <row r="179" spans="1:38">
      <c r="A179" s="66"/>
      <c r="J179" s="66"/>
      <c r="K179" s="66"/>
      <c r="L179" s="66"/>
      <c r="M179" s="66"/>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row>
  </sheetData>
  <mergeCells count="15">
    <mergeCell ref="B77:I77"/>
    <mergeCell ref="B78:I78"/>
    <mergeCell ref="K73:U73"/>
    <mergeCell ref="B76:I76"/>
    <mergeCell ref="H9:I9"/>
    <mergeCell ref="B75:I75"/>
    <mergeCell ref="A1:I1"/>
    <mergeCell ref="A2:I2"/>
    <mergeCell ref="A4:I4"/>
    <mergeCell ref="A3:I3"/>
    <mergeCell ref="B74:I74"/>
    <mergeCell ref="B72:I72"/>
    <mergeCell ref="B73:I73"/>
    <mergeCell ref="B24:F24"/>
    <mergeCell ref="H67:I67"/>
  </mergeCells>
  <printOptions horizontalCentered="1"/>
  <pageMargins left="0.7" right="0.7" top="0.7" bottom="0.7" header="0.3" footer="0.5"/>
  <pageSetup scale="89" fitToHeight="2"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9"/>
  <sheetViews>
    <sheetView workbookViewId="0">
      <selection activeCell="L6" sqref="L6"/>
    </sheetView>
  </sheetViews>
  <sheetFormatPr defaultColWidth="9.109375" defaultRowHeight="13.2"/>
  <cols>
    <col min="1" max="1" width="6.44140625" style="44" bestFit="1" customWidth="1"/>
    <col min="2" max="2" width="7.6640625" style="44" customWidth="1"/>
    <col min="3" max="3" width="8.6640625" style="43" customWidth="1"/>
    <col min="4" max="5" width="8.6640625" style="44" customWidth="1"/>
    <col min="6" max="6" width="16.6640625" style="44" customWidth="1"/>
    <col min="7" max="7" width="14.6640625" style="44" customWidth="1"/>
    <col min="8" max="9" width="15.6640625" style="44" customWidth="1"/>
    <col min="10" max="10" width="9.109375" style="44"/>
    <col min="11" max="12" width="11.6640625" style="44" customWidth="1"/>
    <col min="13" max="13" width="12.44140625" style="44" bestFit="1" customWidth="1"/>
    <col min="14" max="16384" width="9.109375" style="66"/>
  </cols>
  <sheetData>
    <row r="1" spans="1:18">
      <c r="A1" s="2039" t="s">
        <v>952</v>
      </c>
      <c r="B1" s="2039"/>
      <c r="C1" s="2039"/>
      <c r="D1" s="2039"/>
      <c r="E1" s="2039"/>
      <c r="F1" s="2039"/>
      <c r="G1" s="2039"/>
      <c r="H1" s="2039"/>
      <c r="I1" s="2039"/>
    </row>
    <row r="2" spans="1:18">
      <c r="A2" s="2040" t="s">
        <v>924</v>
      </c>
      <c r="B2" s="2040"/>
      <c r="C2" s="2040"/>
      <c r="D2" s="2040"/>
      <c r="E2" s="2040"/>
      <c r="F2" s="2040"/>
      <c r="G2" s="2040"/>
      <c r="H2" s="2040"/>
      <c r="I2" s="2040"/>
      <c r="K2" s="2046" t="s">
        <v>1613</v>
      </c>
      <c r="L2" s="2046"/>
      <c r="M2" s="2046"/>
      <c r="N2" s="2046"/>
      <c r="O2" s="2046"/>
      <c r="P2" s="2046"/>
      <c r="Q2" s="2046"/>
    </row>
    <row r="3" spans="1:18" s="79" customFormat="1">
      <c r="A3" s="2040" t="s">
        <v>1483</v>
      </c>
      <c r="B3" s="2040"/>
      <c r="C3" s="2040"/>
      <c r="D3" s="2040"/>
      <c r="E3" s="2040"/>
      <c r="F3" s="2040"/>
      <c r="G3" s="2040"/>
      <c r="H3" s="2040"/>
      <c r="I3" s="2040"/>
      <c r="J3" s="43"/>
      <c r="K3" s="2046"/>
      <c r="L3" s="2046"/>
      <c r="M3" s="2046"/>
      <c r="N3" s="2046"/>
      <c r="O3" s="2046"/>
      <c r="P3" s="2046"/>
      <c r="Q3" s="2046"/>
    </row>
    <row r="4" spans="1:18">
      <c r="A4" s="2039" t="s">
        <v>424</v>
      </c>
      <c r="B4" s="2039"/>
      <c r="C4" s="2039"/>
      <c r="D4" s="2039"/>
      <c r="E4" s="2039"/>
      <c r="F4" s="2039"/>
      <c r="G4" s="2039"/>
      <c r="H4" s="2039"/>
      <c r="I4" s="2039"/>
    </row>
    <row r="5" spans="1:18">
      <c r="A5" s="1668"/>
      <c r="B5" s="1668"/>
      <c r="C5" s="1668"/>
      <c r="D5" s="1668"/>
      <c r="E5" s="1668"/>
      <c r="F5" s="1668"/>
      <c r="G5" s="1668"/>
      <c r="H5" s="1668"/>
      <c r="I5" s="1668"/>
    </row>
    <row r="6" spans="1:18" s="79" customFormat="1">
      <c r="A6" s="486" t="s">
        <v>324</v>
      </c>
      <c r="B6" s="1670" t="s">
        <v>68</v>
      </c>
      <c r="C6" s="1670" t="s">
        <v>115</v>
      </c>
      <c r="D6" s="596" t="s">
        <v>56</v>
      </c>
      <c r="E6" s="1670" t="s">
        <v>69</v>
      </c>
      <c r="F6" s="597" t="s">
        <v>67</v>
      </c>
      <c r="G6" s="1670" t="s">
        <v>157</v>
      </c>
      <c r="H6" s="1670" t="s">
        <v>70</v>
      </c>
      <c r="I6" s="598" t="s">
        <v>170</v>
      </c>
      <c r="J6" s="44"/>
      <c r="K6" s="44"/>
      <c r="L6" s="44"/>
      <c r="M6" s="44"/>
      <c r="N6" s="222"/>
    </row>
    <row r="7" spans="1:18" s="79" customFormat="1">
      <c r="A7" s="486"/>
      <c r="B7" s="1670"/>
      <c r="C7" s="1670"/>
      <c r="D7" s="596"/>
      <c r="E7" s="1670"/>
      <c r="F7" s="597"/>
      <c r="G7" s="1670"/>
      <c r="H7" s="1670"/>
      <c r="I7" s="598"/>
      <c r="J7" s="44"/>
      <c r="K7" s="44"/>
      <c r="L7" s="44"/>
      <c r="M7" s="44"/>
      <c r="N7" s="222"/>
    </row>
    <row r="8" spans="1:18">
      <c r="A8" s="66"/>
      <c r="B8" s="1042" t="s">
        <v>591</v>
      </c>
      <c r="C8" s="1668"/>
      <c r="D8" s="1668"/>
      <c r="E8" s="1668"/>
      <c r="F8" s="1668"/>
      <c r="H8" s="1668"/>
      <c r="I8" s="1668"/>
    </row>
    <row r="9" spans="1:18">
      <c r="A9" s="891">
        <v>1</v>
      </c>
      <c r="B9" s="179" t="s">
        <v>920</v>
      </c>
      <c r="C9" s="1668"/>
      <c r="D9" s="1668"/>
      <c r="E9" s="1668"/>
      <c r="F9" s="1668"/>
      <c r="G9" s="1164" t="s">
        <v>149</v>
      </c>
      <c r="H9" s="2045" t="s">
        <v>141</v>
      </c>
      <c r="I9" s="2045"/>
      <c r="K9" s="485"/>
    </row>
    <row r="10" spans="1:18" s="268" customFormat="1" ht="15">
      <c r="A10" s="891">
        <f>+A9+1</f>
        <v>2</v>
      </c>
      <c r="B10" s="923" t="s">
        <v>28</v>
      </c>
      <c r="C10" s="1668"/>
      <c r="D10" s="1668"/>
      <c r="E10" s="1668"/>
      <c r="F10" s="1744"/>
      <c r="G10" s="1693">
        <v>1798928.56</v>
      </c>
      <c r="H10" s="1782" t="s">
        <v>1317</v>
      </c>
      <c r="I10" s="711"/>
      <c r="J10" s="44"/>
      <c r="K10" s="485"/>
      <c r="L10" s="44"/>
      <c r="M10" s="44"/>
      <c r="N10" s="66"/>
      <c r="O10" s="66"/>
      <c r="P10" s="66"/>
      <c r="Q10" s="66"/>
      <c r="R10" s="66"/>
    </row>
    <row r="11" spans="1:18" s="268" customFormat="1" ht="15">
      <c r="A11" s="891">
        <f t="shared" ref="A11:A33" si="0">+A10+1</f>
        <v>3</v>
      </c>
      <c r="B11" s="923" t="s">
        <v>29</v>
      </c>
      <c r="C11" s="1668"/>
      <c r="D11" s="1668"/>
      <c r="E11" s="1668"/>
      <c r="F11" s="1744"/>
      <c r="G11" s="1693">
        <v>1500731.76</v>
      </c>
      <c r="H11" s="1782" t="s">
        <v>1317</v>
      </c>
      <c r="I11" s="711"/>
      <c r="J11" s="44"/>
      <c r="K11" s="485"/>
      <c r="L11" s="44"/>
      <c r="M11" s="44"/>
      <c r="N11" s="66"/>
      <c r="O11" s="66"/>
      <c r="P11" s="66"/>
      <c r="Q11" s="66"/>
      <c r="R11" s="66"/>
    </row>
    <row r="12" spans="1:18" s="268" customFormat="1" ht="15">
      <c r="A12" s="891">
        <f t="shared" si="0"/>
        <v>4</v>
      </c>
      <c r="B12" s="923" t="s">
        <v>30</v>
      </c>
      <c r="C12" s="1668"/>
      <c r="D12" s="1668"/>
      <c r="E12" s="1668"/>
      <c r="F12" s="1744"/>
      <c r="G12" s="1693">
        <v>1806772.09</v>
      </c>
      <c r="H12" s="1745"/>
      <c r="I12" s="711"/>
      <c r="J12" s="44"/>
      <c r="K12" s="485"/>
      <c r="L12" s="44"/>
      <c r="M12" s="44"/>
    </row>
    <row r="13" spans="1:18" s="268" customFormat="1" ht="15">
      <c r="A13" s="891">
        <f t="shared" si="0"/>
        <v>5</v>
      </c>
      <c r="B13" s="923" t="s">
        <v>31</v>
      </c>
      <c r="C13" s="1668"/>
      <c r="D13" s="1668"/>
      <c r="E13" s="1668"/>
      <c r="F13" s="1744"/>
      <c r="G13" s="1693">
        <v>1505836.29</v>
      </c>
      <c r="H13" s="1745"/>
      <c r="I13" s="711"/>
      <c r="J13" s="44"/>
      <c r="K13" s="485"/>
      <c r="L13" s="44"/>
      <c r="M13" s="44"/>
    </row>
    <row r="14" spans="1:18" s="268" customFormat="1" ht="15">
      <c r="A14" s="891">
        <f t="shared" si="0"/>
        <v>6</v>
      </c>
      <c r="B14" s="923" t="s">
        <v>27</v>
      </c>
      <c r="C14" s="1668"/>
      <c r="D14" s="1668"/>
      <c r="E14" s="1668"/>
      <c r="F14" s="1744"/>
      <c r="G14" s="1693">
        <v>1746854.81</v>
      </c>
      <c r="H14" s="1745"/>
      <c r="I14" s="711"/>
      <c r="J14" s="44"/>
      <c r="K14" s="485"/>
      <c r="L14" s="44"/>
      <c r="M14" s="44"/>
    </row>
    <row r="15" spans="1:18" s="268" customFormat="1" ht="15">
      <c r="A15" s="891">
        <f t="shared" si="0"/>
        <v>7</v>
      </c>
      <c r="B15" s="923" t="s">
        <v>32</v>
      </c>
      <c r="C15" s="1668"/>
      <c r="D15" s="1668"/>
      <c r="E15" s="1668"/>
      <c r="F15" s="1744"/>
      <c r="G15" s="1693">
        <v>1937416.38</v>
      </c>
      <c r="H15" s="1745"/>
      <c r="I15" s="711"/>
      <c r="J15" s="44"/>
      <c r="K15" s="485"/>
      <c r="L15" s="44"/>
      <c r="M15" s="44"/>
    </row>
    <row r="16" spans="1:18" s="268" customFormat="1" ht="15">
      <c r="A16" s="891">
        <f t="shared" si="0"/>
        <v>8</v>
      </c>
      <c r="B16" s="923" t="s">
        <v>33</v>
      </c>
      <c r="C16" s="1668"/>
      <c r="D16" s="1668"/>
      <c r="E16" s="1668"/>
      <c r="F16" s="1744"/>
      <c r="G16" s="1693">
        <v>2127107.11</v>
      </c>
      <c r="H16" s="1745"/>
      <c r="I16" s="711"/>
      <c r="J16" s="44"/>
      <c r="K16" s="485"/>
      <c r="L16" s="44"/>
      <c r="M16" s="44"/>
    </row>
    <row r="17" spans="1:13" s="268" customFormat="1" ht="15">
      <c r="A17" s="891">
        <f t="shared" si="0"/>
        <v>9</v>
      </c>
      <c r="B17" s="923" t="s">
        <v>34</v>
      </c>
      <c r="C17" s="1668"/>
      <c r="D17" s="1668"/>
      <c r="E17" s="1668"/>
      <c r="F17" s="1744"/>
      <c r="G17" s="1693">
        <v>2540558.9300000002</v>
      </c>
      <c r="H17" s="1745"/>
      <c r="I17" s="711"/>
      <c r="J17" s="44"/>
      <c r="K17" s="485"/>
      <c r="L17" s="44"/>
      <c r="M17" s="44"/>
    </row>
    <row r="18" spans="1:13" s="268" customFormat="1" ht="15">
      <c r="A18" s="891">
        <f t="shared" si="0"/>
        <v>10</v>
      </c>
      <c r="B18" s="923" t="s">
        <v>35</v>
      </c>
      <c r="C18" s="1668"/>
      <c r="D18" s="1668"/>
      <c r="E18" s="1668"/>
      <c r="F18" s="1744"/>
      <c r="G18" s="1693">
        <v>2039402.37</v>
      </c>
      <c r="H18" s="1745"/>
      <c r="I18" s="711"/>
      <c r="J18" s="44"/>
      <c r="K18" s="485"/>
      <c r="L18" s="44"/>
      <c r="M18" s="44"/>
    </row>
    <row r="19" spans="1:13" s="268" customFormat="1" ht="15">
      <c r="A19" s="891">
        <f t="shared" si="0"/>
        <v>11</v>
      </c>
      <c r="B19" s="923" t="s">
        <v>36</v>
      </c>
      <c r="C19" s="1668"/>
      <c r="D19" s="1668"/>
      <c r="E19" s="1668"/>
      <c r="F19" s="1744"/>
      <c r="G19" s="1693">
        <v>1820156.85</v>
      </c>
      <c r="H19" s="1745"/>
      <c r="I19" s="711"/>
      <c r="J19" s="44"/>
      <c r="K19" s="485"/>
      <c r="L19" s="44"/>
      <c r="M19" s="44"/>
    </row>
    <row r="20" spans="1:13" s="268" customFormat="1" ht="15">
      <c r="A20" s="891">
        <f t="shared" si="0"/>
        <v>12</v>
      </c>
      <c r="B20" s="923" t="s">
        <v>37</v>
      </c>
      <c r="C20" s="1668"/>
      <c r="D20" s="1668"/>
      <c r="E20" s="1668"/>
      <c r="F20" s="1744"/>
      <c r="G20" s="1693">
        <v>1938347.22</v>
      </c>
      <c r="H20" s="1745"/>
      <c r="I20" s="711"/>
      <c r="J20" s="44"/>
      <c r="K20" s="485"/>
      <c r="L20" s="44"/>
      <c r="M20" s="44"/>
    </row>
    <row r="21" spans="1:13" s="268" customFormat="1" ht="15">
      <c r="A21" s="891">
        <f t="shared" si="0"/>
        <v>13</v>
      </c>
      <c r="B21" s="923" t="s">
        <v>38</v>
      </c>
      <c r="C21" s="1668"/>
      <c r="D21" s="1668"/>
      <c r="E21" s="1668"/>
      <c r="F21" s="1744"/>
      <c r="G21" s="1694">
        <v>1692484.27</v>
      </c>
      <c r="H21" s="1745"/>
      <c r="I21" s="711"/>
      <c r="J21" s="44"/>
      <c r="K21" s="485"/>
      <c r="L21" s="44"/>
      <c r="M21" s="44"/>
    </row>
    <row r="22" spans="1:13" s="268" customFormat="1">
      <c r="A22" s="891">
        <f t="shared" si="0"/>
        <v>14</v>
      </c>
      <c r="B22" s="179" t="s">
        <v>921</v>
      </c>
      <c r="D22" s="179"/>
      <c r="E22" s="179"/>
      <c r="G22" s="154">
        <f>SUM(G10:G21)</f>
        <v>22454596.640000001</v>
      </c>
      <c r="H22" s="179" t="str">
        <f>+"Sum (Line "&amp;A10&amp;" to "&amp;A21&amp;")"</f>
        <v>Sum (Line 2 to 13)</v>
      </c>
      <c r="J22" s="44"/>
      <c r="K22" s="485"/>
      <c r="L22" s="44"/>
      <c r="M22" s="44"/>
    </row>
    <row r="23" spans="1:13" s="268" customFormat="1">
      <c r="A23" s="891">
        <f t="shared" si="0"/>
        <v>15</v>
      </c>
      <c r="B23" s="179" t="s">
        <v>542</v>
      </c>
      <c r="D23" s="179"/>
      <c r="E23" s="179"/>
      <c r="G23" s="269">
        <v>6935319.0426361728</v>
      </c>
      <c r="H23" s="1767" t="s">
        <v>1614</v>
      </c>
      <c r="J23" s="44"/>
      <c r="K23" s="485"/>
      <c r="L23" s="44"/>
      <c r="M23" s="44"/>
    </row>
    <row r="24" spans="1:13" s="268" customFormat="1" ht="13.2" customHeight="1">
      <c r="A24" s="891">
        <f t="shared" si="0"/>
        <v>16</v>
      </c>
      <c r="B24" s="2042" t="s">
        <v>968</v>
      </c>
      <c r="C24" s="2042"/>
      <c r="D24" s="2042"/>
      <c r="E24" s="2042"/>
      <c r="F24" s="2042"/>
      <c r="G24" s="264"/>
      <c r="H24" s="1445"/>
      <c r="I24" s="1668"/>
      <c r="J24" s="44"/>
      <c r="K24" s="485"/>
      <c r="L24" s="44"/>
      <c r="M24" s="44"/>
    </row>
    <row r="25" spans="1:13" s="268" customFormat="1">
      <c r="A25" s="891">
        <f t="shared" si="0"/>
        <v>17</v>
      </c>
      <c r="B25" s="268" t="s">
        <v>969</v>
      </c>
      <c r="D25" s="180"/>
      <c r="E25" s="180"/>
      <c r="F25" s="43"/>
      <c r="G25" s="1695">
        <f>+G22+G23-G24</f>
        <v>29389915.682636172</v>
      </c>
      <c r="H25" s="1781" t="str">
        <f>+"Sum (Line "&amp;A22&amp;" + "&amp;A23&amp;" - "&amp;A24&amp;")"</f>
        <v>Sum (Line 14 + 15 - 16)</v>
      </c>
      <c r="I25" s="1668"/>
      <c r="J25" s="44"/>
      <c r="K25" s="44"/>
      <c r="L25" s="44"/>
      <c r="M25" s="44"/>
    </row>
    <row r="26" spans="1:13" s="268" customFormat="1">
      <c r="A26" s="891">
        <f t="shared" si="0"/>
        <v>18</v>
      </c>
      <c r="B26" s="1041"/>
      <c r="C26" s="1668"/>
      <c r="D26" s="180"/>
      <c r="E26" s="179"/>
      <c r="F26" s="43"/>
      <c r="G26" s="43"/>
      <c r="H26" s="44"/>
      <c r="I26" s="1668"/>
      <c r="J26" s="44"/>
      <c r="K26" s="44"/>
      <c r="L26" s="44"/>
      <c r="M26" s="44"/>
    </row>
    <row r="27" spans="1:13" s="268" customFormat="1">
      <c r="A27" s="891">
        <f t="shared" si="0"/>
        <v>19</v>
      </c>
      <c r="B27" s="43" t="s">
        <v>970</v>
      </c>
      <c r="D27" s="43"/>
      <c r="E27" s="43"/>
      <c r="F27" s="43"/>
      <c r="G27" s="78">
        <v>21533055.293221574</v>
      </c>
      <c r="H27" s="1781" t="s">
        <v>983</v>
      </c>
      <c r="I27" s="1668"/>
      <c r="J27" s="44"/>
      <c r="K27" s="44"/>
      <c r="L27" s="44"/>
      <c r="M27" s="44"/>
    </row>
    <row r="28" spans="1:13" s="268" customFormat="1" ht="15">
      <c r="A28" s="891">
        <f t="shared" si="0"/>
        <v>20</v>
      </c>
      <c r="B28" s="43"/>
      <c r="D28" s="1668"/>
      <c r="E28" s="1668"/>
      <c r="F28" s="1668"/>
      <c r="G28" s="487"/>
      <c r="H28" s="1785" t="s">
        <v>1615</v>
      </c>
      <c r="I28" s="1668"/>
      <c r="J28" s="44"/>
      <c r="K28" s="44"/>
      <c r="L28" s="44"/>
      <c r="M28" s="44"/>
    </row>
    <row r="29" spans="1:13" s="268" customFormat="1">
      <c r="A29" s="891">
        <f t="shared" si="0"/>
        <v>21</v>
      </c>
      <c r="B29" s="43" t="s">
        <v>896</v>
      </c>
      <c r="D29" s="43"/>
      <c r="E29" s="43"/>
      <c r="F29" s="43"/>
      <c r="G29" s="256">
        <f>+G27-G25</f>
        <v>-7856860.3894145973</v>
      </c>
      <c r="H29" s="1671" t="str">
        <f>+"Line "&amp;A27&amp;" - Line "&amp;A25</f>
        <v>Line 19 - Line 17</v>
      </c>
      <c r="I29" s="1668"/>
      <c r="J29" s="44"/>
      <c r="K29" s="44"/>
      <c r="L29" s="44"/>
      <c r="M29" s="44"/>
    </row>
    <row r="30" spans="1:13" s="268" customFormat="1">
      <c r="A30" s="1671">
        <f t="shared" si="0"/>
        <v>22</v>
      </c>
      <c r="B30" s="43"/>
      <c r="D30" s="43"/>
      <c r="E30" s="43"/>
      <c r="F30" s="43"/>
      <c r="G30" s="256"/>
      <c r="H30" s="1671"/>
      <c r="I30" s="1668"/>
      <c r="J30" s="44"/>
      <c r="K30" s="44"/>
      <c r="L30" s="44"/>
      <c r="M30" s="44"/>
    </row>
    <row r="31" spans="1:13" s="268" customFormat="1">
      <c r="A31" s="1671">
        <f t="shared" si="0"/>
        <v>23</v>
      </c>
      <c r="B31" s="43" t="s">
        <v>897</v>
      </c>
      <c r="D31" s="43"/>
      <c r="E31" s="43"/>
      <c r="F31" s="43"/>
      <c r="G31" s="264"/>
      <c r="H31" s="1671" t="s">
        <v>540</v>
      </c>
      <c r="I31" s="1668"/>
      <c r="J31" s="44"/>
      <c r="K31" s="485"/>
      <c r="L31" s="44"/>
      <c r="M31" s="44"/>
    </row>
    <row r="32" spans="1:13" s="268" customFormat="1">
      <c r="A32" s="1671">
        <f t="shared" si="0"/>
        <v>24</v>
      </c>
      <c r="B32" s="43"/>
      <c r="D32" s="43"/>
      <c r="E32" s="43"/>
      <c r="F32" s="43"/>
      <c r="G32" s="78"/>
      <c r="H32" s="1671"/>
      <c r="I32" s="1668"/>
      <c r="J32" s="44"/>
      <c r="K32" s="44"/>
      <c r="L32" s="44"/>
      <c r="M32" s="44"/>
    </row>
    <row r="33" spans="1:13" s="268" customFormat="1">
      <c r="A33" s="1671">
        <f t="shared" si="0"/>
        <v>25</v>
      </c>
      <c r="B33" s="1041" t="s">
        <v>971</v>
      </c>
      <c r="C33" s="1668"/>
      <c r="D33" s="180"/>
      <c r="E33" s="179"/>
      <c r="F33" s="43"/>
      <c r="G33" s="43"/>
      <c r="H33" s="44"/>
      <c r="I33" s="1668"/>
      <c r="J33" s="44"/>
      <c r="K33" s="44"/>
      <c r="L33" s="44"/>
      <c r="M33" s="44"/>
    </row>
    <row r="34" spans="1:13" s="268" customFormat="1">
      <c r="A34" s="1671"/>
      <c r="B34" s="1041"/>
      <c r="C34" s="1668"/>
      <c r="D34" s="1696" t="s">
        <v>1481</v>
      </c>
      <c r="E34" s="179"/>
      <c r="F34" s="43"/>
      <c r="G34" s="43"/>
      <c r="H34" s="44"/>
      <c r="I34" s="1668"/>
      <c r="J34" s="44"/>
      <c r="K34" s="44"/>
      <c r="L34" s="44"/>
      <c r="M34" s="44"/>
    </row>
    <row r="35" spans="1:13" s="268" customFormat="1" ht="54" customHeight="1">
      <c r="A35" s="1671"/>
      <c r="B35" s="1143" t="s">
        <v>425</v>
      </c>
      <c r="C35" s="624" t="s">
        <v>426</v>
      </c>
      <c r="D35" s="624" t="s">
        <v>286</v>
      </c>
      <c r="E35" s="624" t="s">
        <v>913</v>
      </c>
      <c r="F35" s="624" t="s">
        <v>844</v>
      </c>
      <c r="G35" s="624" t="s">
        <v>440</v>
      </c>
      <c r="H35" s="624" t="s">
        <v>427</v>
      </c>
      <c r="I35" s="624" t="s">
        <v>428</v>
      </c>
      <c r="J35" s="44"/>
      <c r="K35" s="44"/>
      <c r="L35" s="44"/>
      <c r="M35" s="44"/>
    </row>
    <row r="36" spans="1:13" s="268" customFormat="1" ht="15" customHeight="1">
      <c r="A36" s="1671">
        <f>+A33+1</f>
        <v>26</v>
      </c>
      <c r="B36" s="1164" t="s">
        <v>68</v>
      </c>
      <c r="C36" s="577" t="s">
        <v>115</v>
      </c>
      <c r="D36" s="577" t="s">
        <v>829</v>
      </c>
      <c r="E36" s="577" t="s">
        <v>830</v>
      </c>
      <c r="F36" s="577" t="s">
        <v>831</v>
      </c>
      <c r="G36" s="1481" t="s">
        <v>974</v>
      </c>
      <c r="H36" s="1481" t="s">
        <v>975</v>
      </c>
      <c r="I36" s="577" t="s">
        <v>170</v>
      </c>
      <c r="J36" s="44"/>
      <c r="K36" s="44"/>
      <c r="L36" s="44"/>
      <c r="M36" s="44"/>
    </row>
    <row r="37" spans="1:13" s="268" customFormat="1" ht="15">
      <c r="A37" s="889">
        <f>+A36+0.01</f>
        <v>26.01</v>
      </c>
      <c r="B37" s="43"/>
      <c r="C37" s="1697">
        <v>42005</v>
      </c>
      <c r="D37" s="1698">
        <v>0</v>
      </c>
      <c r="E37" s="489">
        <v>0</v>
      </c>
      <c r="F37" s="859">
        <f t="shared" ref="F37:F64" si="1">H37*E37</f>
        <v>0</v>
      </c>
      <c r="G37" s="1647">
        <f>+G$29/12</f>
        <v>-654738.36578454974</v>
      </c>
      <c r="H37" s="1447">
        <f>IF((B37=1),G37,G37)</f>
        <v>-654738.36578454974</v>
      </c>
      <c r="I37" s="859">
        <f>F37+G37</f>
        <v>-654738.36578454974</v>
      </c>
      <c r="J37" s="44"/>
      <c r="K37" s="44"/>
      <c r="L37" s="492"/>
      <c r="M37" s="493"/>
    </row>
    <row r="38" spans="1:13" s="268" customFormat="1">
      <c r="A38" s="889">
        <f t="shared" ref="A38:A65" si="2">+A37+0.01</f>
        <v>26.020000000000003</v>
      </c>
      <c r="B38" s="43"/>
      <c r="C38" s="1697">
        <v>42036</v>
      </c>
      <c r="D38" s="1698">
        <v>0</v>
      </c>
      <c r="E38" s="489">
        <v>0</v>
      </c>
      <c r="F38" s="859">
        <f t="shared" si="1"/>
        <v>0</v>
      </c>
      <c r="G38" s="1647">
        <f t="shared" ref="G38:G48" si="3">+G$29/12</f>
        <v>-654738.36578454974</v>
      </c>
      <c r="H38" s="1447">
        <f t="shared" ref="H38:H64" si="4">IF((B38=1),I37+G38,+H37+G38)</f>
        <v>-1309476.7315690995</v>
      </c>
      <c r="I38" s="859">
        <f>I37+F38+G38</f>
        <v>-1309476.7315690995</v>
      </c>
      <c r="J38" s="44"/>
    </row>
    <row r="39" spans="1:13" s="268" customFormat="1">
      <c r="A39" s="889">
        <f t="shared" si="2"/>
        <v>26.030000000000005</v>
      </c>
      <c r="B39" s="43"/>
      <c r="C39" s="1697">
        <v>42064</v>
      </c>
      <c r="D39" s="1698">
        <v>0</v>
      </c>
      <c r="E39" s="489">
        <v>0</v>
      </c>
      <c r="F39" s="859">
        <f t="shared" si="1"/>
        <v>0</v>
      </c>
      <c r="G39" s="1647">
        <f t="shared" si="3"/>
        <v>-654738.36578454974</v>
      </c>
      <c r="H39" s="1447">
        <f t="shared" si="4"/>
        <v>-1964215.0973536493</v>
      </c>
      <c r="I39" s="859">
        <f t="shared" ref="I39:I65" si="5">I38+F39+G39</f>
        <v>-1964215.0973536493</v>
      </c>
      <c r="J39" s="44"/>
    </row>
    <row r="40" spans="1:13" s="268" customFormat="1">
      <c r="A40" s="889">
        <f t="shared" si="2"/>
        <v>26.040000000000006</v>
      </c>
      <c r="B40" s="43">
        <v>1</v>
      </c>
      <c r="C40" s="1697">
        <v>42095</v>
      </c>
      <c r="D40" s="1698">
        <v>0</v>
      </c>
      <c r="E40" s="489">
        <v>0</v>
      </c>
      <c r="F40" s="859">
        <f t="shared" si="1"/>
        <v>0</v>
      </c>
      <c r="G40" s="1647">
        <f t="shared" si="3"/>
        <v>-654738.36578454974</v>
      </c>
      <c r="H40" s="1447">
        <f t="shared" si="4"/>
        <v>-2618953.4631381989</v>
      </c>
      <c r="I40" s="859">
        <f t="shared" si="5"/>
        <v>-2618953.4631381989</v>
      </c>
      <c r="J40" s="44"/>
    </row>
    <row r="41" spans="1:13" s="268" customFormat="1">
      <c r="A41" s="889">
        <f t="shared" si="2"/>
        <v>26.050000000000008</v>
      </c>
      <c r="B41" s="43"/>
      <c r="C41" s="1697">
        <v>42125</v>
      </c>
      <c r="D41" s="1698">
        <v>0</v>
      </c>
      <c r="E41" s="489">
        <v>0</v>
      </c>
      <c r="F41" s="859">
        <f t="shared" si="1"/>
        <v>0</v>
      </c>
      <c r="G41" s="1647">
        <f t="shared" si="3"/>
        <v>-654738.36578454974</v>
      </c>
      <c r="H41" s="1447">
        <f t="shared" si="4"/>
        <v>-3273691.8289227486</v>
      </c>
      <c r="I41" s="859">
        <f t="shared" si="5"/>
        <v>-3273691.8289227486</v>
      </c>
      <c r="J41" s="44"/>
      <c r="K41" s="256"/>
      <c r="L41" s="78"/>
      <c r="M41" s="256"/>
    </row>
    <row r="42" spans="1:13" s="268" customFormat="1">
      <c r="A42" s="889">
        <f t="shared" si="2"/>
        <v>26.060000000000009</v>
      </c>
      <c r="B42" s="43"/>
      <c r="C42" s="1697">
        <v>42156</v>
      </c>
      <c r="D42" s="1698">
        <v>0</v>
      </c>
      <c r="E42" s="489">
        <v>0</v>
      </c>
      <c r="F42" s="859">
        <f t="shared" si="1"/>
        <v>0</v>
      </c>
      <c r="G42" s="1647">
        <f t="shared" si="3"/>
        <v>-654738.36578454974</v>
      </c>
      <c r="H42" s="1447">
        <f t="shared" si="4"/>
        <v>-3928430.1947072982</v>
      </c>
      <c r="I42" s="859">
        <f t="shared" si="5"/>
        <v>-3928430.1947072982</v>
      </c>
      <c r="J42" s="44"/>
      <c r="K42" s="256"/>
      <c r="L42" s="78"/>
      <c r="M42" s="256"/>
    </row>
    <row r="43" spans="1:13" s="268" customFormat="1">
      <c r="A43" s="889">
        <f t="shared" si="2"/>
        <v>26.070000000000011</v>
      </c>
      <c r="B43" s="43">
        <v>1</v>
      </c>
      <c r="C43" s="1697">
        <v>42186</v>
      </c>
      <c r="D43" s="1698">
        <v>0</v>
      </c>
      <c r="E43" s="489">
        <v>0</v>
      </c>
      <c r="F43" s="859">
        <f t="shared" si="1"/>
        <v>0</v>
      </c>
      <c r="G43" s="1647">
        <f t="shared" si="3"/>
        <v>-654738.36578454974</v>
      </c>
      <c r="H43" s="1447">
        <f t="shared" si="4"/>
        <v>-4583168.5604918478</v>
      </c>
      <c r="I43" s="859">
        <f t="shared" si="5"/>
        <v>-4583168.5604918478</v>
      </c>
      <c r="J43" s="44"/>
      <c r="K43" s="256"/>
      <c r="L43" s="78"/>
      <c r="M43" s="256"/>
    </row>
    <row r="44" spans="1:13" s="268" customFormat="1">
      <c r="A44" s="889">
        <f t="shared" si="2"/>
        <v>26.080000000000013</v>
      </c>
      <c r="B44" s="43"/>
      <c r="C44" s="1697">
        <v>42217</v>
      </c>
      <c r="D44" s="1698">
        <v>0</v>
      </c>
      <c r="E44" s="489">
        <v>0</v>
      </c>
      <c r="F44" s="859">
        <f t="shared" si="1"/>
        <v>0</v>
      </c>
      <c r="G44" s="1647">
        <f t="shared" si="3"/>
        <v>-654738.36578454974</v>
      </c>
      <c r="H44" s="1447">
        <f t="shared" si="4"/>
        <v>-5237906.9262763979</v>
      </c>
      <c r="I44" s="859">
        <f t="shared" si="5"/>
        <v>-5237906.9262763979</v>
      </c>
      <c r="J44" s="44"/>
      <c r="K44" s="256"/>
      <c r="L44" s="78"/>
      <c r="M44" s="256"/>
    </row>
    <row r="45" spans="1:13" s="268" customFormat="1">
      <c r="A45" s="889">
        <f t="shared" si="2"/>
        <v>26.090000000000014</v>
      </c>
      <c r="B45" s="43"/>
      <c r="C45" s="1697">
        <v>42248</v>
      </c>
      <c r="D45" s="1698">
        <v>0</v>
      </c>
      <c r="E45" s="489">
        <v>0</v>
      </c>
      <c r="F45" s="859">
        <f t="shared" si="1"/>
        <v>0</v>
      </c>
      <c r="G45" s="1647">
        <f t="shared" si="3"/>
        <v>-654738.36578454974</v>
      </c>
      <c r="H45" s="1447">
        <f t="shared" si="4"/>
        <v>-5892645.292060948</v>
      </c>
      <c r="I45" s="859">
        <f t="shared" si="5"/>
        <v>-5892645.292060948</v>
      </c>
      <c r="J45" s="44"/>
      <c r="K45" s="256"/>
      <c r="L45" s="78"/>
      <c r="M45" s="256"/>
    </row>
    <row r="46" spans="1:13" s="268" customFormat="1">
      <c r="A46" s="889">
        <f t="shared" si="2"/>
        <v>26.100000000000016</v>
      </c>
      <c r="B46" s="43">
        <v>1</v>
      </c>
      <c r="C46" s="1697">
        <v>42278</v>
      </c>
      <c r="D46" s="1698">
        <v>0</v>
      </c>
      <c r="E46" s="489">
        <v>0</v>
      </c>
      <c r="F46" s="859">
        <f t="shared" si="1"/>
        <v>0</v>
      </c>
      <c r="G46" s="1647">
        <f t="shared" si="3"/>
        <v>-654738.36578454974</v>
      </c>
      <c r="H46" s="1447">
        <f t="shared" si="4"/>
        <v>-6547383.6578454981</v>
      </c>
      <c r="I46" s="859">
        <f t="shared" si="5"/>
        <v>-6547383.6578454981</v>
      </c>
      <c r="J46" s="44"/>
      <c r="K46" s="256"/>
      <c r="L46" s="78"/>
      <c r="M46" s="256"/>
    </row>
    <row r="47" spans="1:13" s="268" customFormat="1">
      <c r="A47" s="889">
        <f t="shared" si="2"/>
        <v>26.110000000000017</v>
      </c>
      <c r="B47" s="43"/>
      <c r="C47" s="1697">
        <v>42309</v>
      </c>
      <c r="D47" s="1698">
        <v>3.2500000000000001E-2</v>
      </c>
      <c r="E47" s="489">
        <f>+D47/12</f>
        <v>2.7083333333333334E-3</v>
      </c>
      <c r="F47" s="859">
        <f t="shared" si="1"/>
        <v>-19505.747147331382</v>
      </c>
      <c r="G47" s="1647">
        <f t="shared" si="3"/>
        <v>-654738.36578454974</v>
      </c>
      <c r="H47" s="1447">
        <f t="shared" si="4"/>
        <v>-7202122.0236300481</v>
      </c>
      <c r="I47" s="859">
        <f t="shared" si="5"/>
        <v>-7221627.7707773792</v>
      </c>
      <c r="J47" s="44"/>
      <c r="K47" s="256"/>
      <c r="L47" s="78"/>
      <c r="M47" s="256"/>
    </row>
    <row r="48" spans="1:13" s="268" customFormat="1">
      <c r="A48" s="889">
        <f t="shared" si="2"/>
        <v>26.120000000000019</v>
      </c>
      <c r="B48" s="43"/>
      <c r="C48" s="1697">
        <v>42339</v>
      </c>
      <c r="D48" s="1698">
        <v>3.2500000000000001E-2</v>
      </c>
      <c r="E48" s="489">
        <f t="shared" ref="E48:E65" si="6">+D48/12</f>
        <v>2.7083333333333334E-3</v>
      </c>
      <c r="F48" s="859">
        <f t="shared" si="1"/>
        <v>-21278.99688799787</v>
      </c>
      <c r="G48" s="1647">
        <f t="shared" si="3"/>
        <v>-654738.36578454974</v>
      </c>
      <c r="H48" s="1447">
        <f t="shared" si="4"/>
        <v>-7856860.3894145982</v>
      </c>
      <c r="I48" s="859">
        <f t="shared" si="5"/>
        <v>-7897645.133449927</v>
      </c>
      <c r="J48" s="44"/>
      <c r="K48" s="256"/>
      <c r="L48" s="78"/>
      <c r="M48" s="256"/>
    </row>
    <row r="49" spans="1:13" s="268" customFormat="1" ht="15">
      <c r="A49" s="889">
        <f t="shared" si="2"/>
        <v>26.13000000000002</v>
      </c>
      <c r="B49" s="43">
        <v>1</v>
      </c>
      <c r="C49" s="1697">
        <v>42370</v>
      </c>
      <c r="D49" s="1698">
        <v>3.2500000000000001E-2</v>
      </c>
      <c r="E49" s="489">
        <f t="shared" si="6"/>
        <v>2.7083333333333334E-3</v>
      </c>
      <c r="F49" s="859">
        <f t="shared" si="1"/>
        <v>-21389.455569760219</v>
      </c>
      <c r="G49" s="1647"/>
      <c r="H49" s="1447">
        <f t="shared" si="4"/>
        <v>-7897645.133449927</v>
      </c>
      <c r="I49" s="859">
        <f t="shared" si="5"/>
        <v>-7919034.5890196869</v>
      </c>
      <c r="J49" s="44"/>
      <c r="K49" s="495"/>
      <c r="L49" s="484"/>
      <c r="M49" s="495"/>
    </row>
    <row r="50" spans="1:13" s="268" customFormat="1">
      <c r="A50" s="889">
        <f t="shared" si="2"/>
        <v>26.140000000000022</v>
      </c>
      <c r="B50" s="84"/>
      <c r="C50" s="1697">
        <v>42401</v>
      </c>
      <c r="D50" s="1698">
        <v>3.2500000000000001E-2</v>
      </c>
      <c r="E50" s="489">
        <f t="shared" si="6"/>
        <v>2.7083333333333334E-3</v>
      </c>
      <c r="F50" s="859">
        <f t="shared" si="1"/>
        <v>-21389.455569760219</v>
      </c>
      <c r="G50" s="1647"/>
      <c r="H50" s="1447">
        <f t="shared" si="4"/>
        <v>-7897645.133449927</v>
      </c>
      <c r="I50" s="859">
        <f t="shared" si="5"/>
        <v>-7940424.0445894469</v>
      </c>
      <c r="J50" s="44"/>
      <c r="K50" s="256"/>
      <c r="L50" s="256"/>
      <c r="M50" s="44"/>
    </row>
    <row r="51" spans="1:13" s="268" customFormat="1">
      <c r="A51" s="889">
        <f t="shared" si="2"/>
        <v>26.150000000000023</v>
      </c>
      <c r="B51" s="496"/>
      <c r="C51" s="1697">
        <v>42430</v>
      </c>
      <c r="D51" s="1698">
        <v>3.2500000000000001E-2</v>
      </c>
      <c r="E51" s="489">
        <f t="shared" si="6"/>
        <v>2.7083333333333334E-3</v>
      </c>
      <c r="F51" s="859">
        <f t="shared" si="1"/>
        <v>-21389.455569760219</v>
      </c>
      <c r="G51" s="1647"/>
      <c r="H51" s="1447">
        <f t="shared" si="4"/>
        <v>-7897645.133449927</v>
      </c>
      <c r="I51" s="859">
        <f t="shared" si="5"/>
        <v>-7961813.5001592068</v>
      </c>
      <c r="J51" s="44"/>
      <c r="K51" s="44"/>
      <c r="L51" s="44"/>
      <c r="M51" s="44"/>
    </row>
    <row r="52" spans="1:13" s="268" customFormat="1">
      <c r="A52" s="889">
        <f t="shared" si="2"/>
        <v>26.160000000000025</v>
      </c>
      <c r="B52" s="43">
        <v>1</v>
      </c>
      <c r="C52" s="1697">
        <v>42461</v>
      </c>
      <c r="D52" s="1699">
        <v>3.4599999999999999E-2</v>
      </c>
      <c r="E52" s="489">
        <f t="shared" si="6"/>
        <v>2.8833333333333332E-3</v>
      </c>
      <c r="F52" s="859">
        <f t="shared" si="1"/>
        <v>-22956.562258792379</v>
      </c>
      <c r="G52" s="1647"/>
      <c r="H52" s="1447">
        <f t="shared" si="4"/>
        <v>-7961813.5001592068</v>
      </c>
      <c r="I52" s="859">
        <f t="shared" si="5"/>
        <v>-7984770.0624179989</v>
      </c>
      <c r="J52" s="44"/>
      <c r="K52" s="44"/>
      <c r="L52" s="44"/>
      <c r="M52" s="44"/>
    </row>
    <row r="53" spans="1:13" s="268" customFormat="1" ht="13.8" thickBot="1">
      <c r="A53" s="889">
        <f t="shared" si="2"/>
        <v>26.170000000000027</v>
      </c>
      <c r="B53" s="496"/>
      <c r="C53" s="1697">
        <v>42491</v>
      </c>
      <c r="D53" s="1699">
        <v>3.4599999999999999E-2</v>
      </c>
      <c r="E53" s="489">
        <f t="shared" si="6"/>
        <v>2.8833333333333332E-3</v>
      </c>
      <c r="F53" s="859">
        <f t="shared" si="1"/>
        <v>-22956.562258792379</v>
      </c>
      <c r="G53" s="1647"/>
      <c r="H53" s="1447">
        <f t="shared" si="4"/>
        <v>-7961813.5001592068</v>
      </c>
      <c r="I53" s="859">
        <f t="shared" si="5"/>
        <v>-8007726.624676791</v>
      </c>
      <c r="J53" s="44"/>
      <c r="K53" s="43"/>
      <c r="L53" s="43"/>
      <c r="M53" s="43"/>
    </row>
    <row r="54" spans="1:13" s="268" customFormat="1">
      <c r="A54" s="889">
        <f t="shared" si="2"/>
        <v>26.180000000000028</v>
      </c>
      <c r="B54" s="496"/>
      <c r="C54" s="1697">
        <v>42522</v>
      </c>
      <c r="D54" s="1699">
        <v>3.4599999999999999E-2</v>
      </c>
      <c r="E54" s="489">
        <f t="shared" si="6"/>
        <v>2.8833333333333332E-3</v>
      </c>
      <c r="F54" s="859">
        <f t="shared" si="1"/>
        <v>-21001.659342833365</v>
      </c>
      <c r="G54" s="1700">
        <v>678001.01131526497</v>
      </c>
      <c r="H54" s="1447">
        <f>IF((B54=1),I53+G54,+H53+G54)</f>
        <v>-7283812.4888439421</v>
      </c>
      <c r="I54" s="859">
        <f>I53+F54+G54</f>
        <v>-7350727.2727043601</v>
      </c>
      <c r="J54" s="44"/>
      <c r="K54" s="43"/>
      <c r="L54" s="43"/>
      <c r="M54" s="43"/>
    </row>
    <row r="55" spans="1:13" s="268" customFormat="1">
      <c r="A55" s="889">
        <f t="shared" si="2"/>
        <v>26.19000000000003</v>
      </c>
      <c r="B55" s="43">
        <v>1</v>
      </c>
      <c r="C55" s="1697">
        <v>42552</v>
      </c>
      <c r="D55" s="1699">
        <v>3.5000000000000003E-2</v>
      </c>
      <c r="E55" s="489">
        <f t="shared" si="6"/>
        <v>2.9166666666666668E-3</v>
      </c>
      <c r="F55" s="859">
        <f t="shared" si="1"/>
        <v>-19462.118262384862</v>
      </c>
      <c r="G55" s="1701">
        <f>+G54</f>
        <v>678001.01131526497</v>
      </c>
      <c r="H55" s="1447">
        <f t="shared" si="4"/>
        <v>-6672726.2613890953</v>
      </c>
      <c r="I55" s="859">
        <f t="shared" si="5"/>
        <v>-6692188.3796514804</v>
      </c>
      <c r="J55" s="44"/>
      <c r="K55" s="43"/>
      <c r="L55" s="43"/>
      <c r="M55" s="43"/>
    </row>
    <row r="56" spans="1:13" s="268" customFormat="1">
      <c r="A56" s="889">
        <f t="shared" si="2"/>
        <v>26.200000000000031</v>
      </c>
      <c r="B56" s="44"/>
      <c r="C56" s="1697">
        <v>42583</v>
      </c>
      <c r="D56" s="1699">
        <v>3.5000000000000003E-2</v>
      </c>
      <c r="E56" s="489">
        <f t="shared" si="6"/>
        <v>2.9166666666666668E-3</v>
      </c>
      <c r="F56" s="859">
        <f t="shared" si="1"/>
        <v>-17484.615312715341</v>
      </c>
      <c r="G56" s="1701">
        <f>+G55</f>
        <v>678001.01131526497</v>
      </c>
      <c r="H56" s="1447">
        <f t="shared" si="4"/>
        <v>-5994725.2500738306</v>
      </c>
      <c r="I56" s="859">
        <f t="shared" si="5"/>
        <v>-6031671.9836489307</v>
      </c>
      <c r="J56" s="44"/>
      <c r="K56" s="43"/>
      <c r="L56" s="43"/>
      <c r="M56" s="43"/>
    </row>
    <row r="57" spans="1:13" s="268" customFormat="1">
      <c r="A57" s="889">
        <f t="shared" si="2"/>
        <v>26.210000000000033</v>
      </c>
      <c r="B57" s="44"/>
      <c r="C57" s="1697">
        <v>42614</v>
      </c>
      <c r="D57" s="1699">
        <v>3.5000000000000003E-2</v>
      </c>
      <c r="E57" s="489">
        <f t="shared" si="6"/>
        <v>2.9166666666666668E-3</v>
      </c>
      <c r="F57" s="859">
        <f t="shared" si="1"/>
        <v>-15507.112363045817</v>
      </c>
      <c r="G57" s="1701">
        <f t="shared" ref="G57:G65" si="7">+G56</f>
        <v>678001.01131526497</v>
      </c>
      <c r="H57" s="1447">
        <f t="shared" si="4"/>
        <v>-5316724.2387585659</v>
      </c>
      <c r="I57" s="859">
        <f t="shared" si="5"/>
        <v>-5369178.084696712</v>
      </c>
      <c r="J57" s="44"/>
      <c r="K57" s="43"/>
      <c r="L57" s="43"/>
      <c r="M57" s="43"/>
    </row>
    <row r="58" spans="1:13" s="268" customFormat="1">
      <c r="A58" s="889">
        <f t="shared" si="2"/>
        <v>26.220000000000034</v>
      </c>
      <c r="B58" s="43">
        <v>1</v>
      </c>
      <c r="C58" s="1697">
        <v>42644</v>
      </c>
      <c r="D58" s="1699">
        <v>3.5000000000000003E-2</v>
      </c>
      <c r="E58" s="489">
        <f t="shared" si="6"/>
        <v>2.9166666666666668E-3</v>
      </c>
      <c r="F58" s="859">
        <f t="shared" si="1"/>
        <v>-13682.599797362554</v>
      </c>
      <c r="G58" s="1701">
        <f t="shared" si="7"/>
        <v>678001.01131526497</v>
      </c>
      <c r="H58" s="1447">
        <f t="shared" si="4"/>
        <v>-4691177.0733814472</v>
      </c>
      <c r="I58" s="859">
        <f t="shared" si="5"/>
        <v>-4704859.6731788097</v>
      </c>
      <c r="J58" s="44"/>
      <c r="K58" s="43" t="s">
        <v>429</v>
      </c>
      <c r="L58" s="43"/>
      <c r="M58" s="43"/>
    </row>
    <row r="59" spans="1:13" s="268" customFormat="1">
      <c r="A59" s="889">
        <f t="shared" si="2"/>
        <v>26.230000000000036</v>
      </c>
      <c r="B59" s="44"/>
      <c r="C59" s="1697">
        <v>42675</v>
      </c>
      <c r="D59" s="1699">
        <v>3.5000000000000003E-2</v>
      </c>
      <c r="E59" s="489">
        <f t="shared" si="6"/>
        <v>2.9166666666666668E-3</v>
      </c>
      <c r="F59" s="859">
        <f t="shared" si="1"/>
        <v>-11705.096847693032</v>
      </c>
      <c r="G59" s="1701">
        <f t="shared" si="7"/>
        <v>678001.01131526497</v>
      </c>
      <c r="H59" s="1447">
        <f t="shared" si="4"/>
        <v>-4013176.0620661825</v>
      </c>
      <c r="I59" s="859">
        <f t="shared" si="5"/>
        <v>-4038563.7587112384</v>
      </c>
      <c r="J59" s="44"/>
      <c r="K59" s="43" t="s">
        <v>430</v>
      </c>
      <c r="L59" s="43"/>
      <c r="M59" s="43"/>
    </row>
    <row r="60" spans="1:13" s="268" customFormat="1" ht="13.8" thickBot="1">
      <c r="A60" s="889">
        <f t="shared" si="2"/>
        <v>26.240000000000038</v>
      </c>
      <c r="B60" s="44"/>
      <c r="C60" s="1697">
        <v>42705</v>
      </c>
      <c r="D60" s="1699">
        <v>3.5000000000000003E-2</v>
      </c>
      <c r="E60" s="489">
        <f t="shared" si="6"/>
        <v>2.9166666666666668E-3</v>
      </c>
      <c r="F60" s="859">
        <f t="shared" si="1"/>
        <v>-9727.5938980235114</v>
      </c>
      <c r="G60" s="1702">
        <f t="shared" si="7"/>
        <v>678001.01131526497</v>
      </c>
      <c r="H60" s="1447">
        <f t="shared" si="4"/>
        <v>-3335175.0507509178</v>
      </c>
      <c r="I60" s="859">
        <f t="shared" si="5"/>
        <v>-3370290.3412939971</v>
      </c>
      <c r="J60" s="44"/>
      <c r="K60" s="43"/>
      <c r="L60" s="43"/>
      <c r="M60" s="43"/>
    </row>
    <row r="61" spans="1:13" s="268" customFormat="1">
      <c r="A61" s="889">
        <f t="shared" si="2"/>
        <v>26.250000000000039</v>
      </c>
      <c r="B61" s="43">
        <v>1</v>
      </c>
      <c r="C61" s="1697">
        <v>42736</v>
      </c>
      <c r="D61" s="1699">
        <v>3.5000000000000003E-2</v>
      </c>
      <c r="E61" s="489">
        <f t="shared" si="6"/>
        <v>2.9166666666666668E-3</v>
      </c>
      <c r="F61" s="859">
        <f t="shared" si="1"/>
        <v>-7852.5105457713034</v>
      </c>
      <c r="G61" s="1647">
        <f t="shared" si="7"/>
        <v>678001.01131526497</v>
      </c>
      <c r="H61" s="1447">
        <f t="shared" si="4"/>
        <v>-2692289.3299787324</v>
      </c>
      <c r="I61" s="859">
        <f t="shared" si="5"/>
        <v>-2700141.840524503</v>
      </c>
      <c r="J61" s="43"/>
      <c r="K61" s="43" t="s">
        <v>431</v>
      </c>
      <c r="L61" s="43"/>
      <c r="M61" s="43"/>
    </row>
    <row r="62" spans="1:13" s="268" customFormat="1">
      <c r="A62" s="889">
        <f t="shared" si="2"/>
        <v>26.260000000000041</v>
      </c>
      <c r="B62" s="84"/>
      <c r="C62" s="1697">
        <v>42767</v>
      </c>
      <c r="D62" s="1699">
        <v>3.5000000000000003E-2</v>
      </c>
      <c r="E62" s="489">
        <f t="shared" si="6"/>
        <v>2.9166666666666668E-3</v>
      </c>
      <c r="F62" s="859">
        <f t="shared" si="1"/>
        <v>-5875.0075961017801</v>
      </c>
      <c r="G62" s="1647">
        <f t="shared" si="7"/>
        <v>678001.01131526497</v>
      </c>
      <c r="H62" s="1447">
        <f t="shared" si="4"/>
        <v>-2014288.3186634674</v>
      </c>
      <c r="I62" s="859">
        <f t="shared" si="5"/>
        <v>-2028015.8368053397</v>
      </c>
      <c r="J62" s="43"/>
      <c r="K62" s="43"/>
      <c r="L62" s="925" t="s">
        <v>432</v>
      </c>
      <c r="M62" s="926" t="str">
        <f ca="1">CELL("address",I65)</f>
        <v>$I$65</v>
      </c>
    </row>
    <row r="63" spans="1:13" s="268" customFormat="1">
      <c r="A63" s="889">
        <f t="shared" si="2"/>
        <v>26.270000000000042</v>
      </c>
      <c r="B63" s="496"/>
      <c r="C63" s="1697">
        <v>42795</v>
      </c>
      <c r="D63" s="1699">
        <v>3.5000000000000003E-2</v>
      </c>
      <c r="E63" s="489">
        <f t="shared" si="6"/>
        <v>2.9166666666666668E-3</v>
      </c>
      <c r="F63" s="859">
        <f t="shared" si="1"/>
        <v>-3897.5046464322572</v>
      </c>
      <c r="G63" s="1647">
        <f t="shared" si="7"/>
        <v>678001.01131526497</v>
      </c>
      <c r="H63" s="1447">
        <f t="shared" si="4"/>
        <v>-1336287.3073482024</v>
      </c>
      <c r="I63" s="859">
        <f t="shared" si="5"/>
        <v>-1353912.3301365071</v>
      </c>
      <c r="J63" s="43"/>
      <c r="K63" s="43"/>
      <c r="L63" s="925" t="s">
        <v>433</v>
      </c>
      <c r="M63" s="925">
        <v>0</v>
      </c>
    </row>
    <row r="64" spans="1:13" s="268" customFormat="1">
      <c r="A64" s="889">
        <f t="shared" si="2"/>
        <v>26.280000000000044</v>
      </c>
      <c r="B64" s="43">
        <v>1</v>
      </c>
      <c r="C64" s="1697">
        <v>42826</v>
      </c>
      <c r="D64" s="1699">
        <v>3.7100000000000001E-2</v>
      </c>
      <c r="E64" s="489">
        <f t="shared" si="6"/>
        <v>3.0916666666666666E-3</v>
      </c>
      <c r="F64" s="859">
        <f t="shared" si="1"/>
        <v>-2089.6924940223403</v>
      </c>
      <c r="G64" s="1647">
        <f t="shared" si="7"/>
        <v>678001.01131526497</v>
      </c>
      <c r="H64" s="1447">
        <f t="shared" si="4"/>
        <v>-675911.31882124208</v>
      </c>
      <c r="I64" s="859">
        <f t="shared" si="5"/>
        <v>-678001.01131526451</v>
      </c>
      <c r="J64" s="43"/>
      <c r="K64" s="43"/>
      <c r="L64" s="925" t="s">
        <v>434</v>
      </c>
      <c r="M64" s="926" t="str">
        <f ca="1">CELL("address",G54)</f>
        <v>$G$54</v>
      </c>
    </row>
    <row r="65" spans="1:21" s="268" customFormat="1" ht="15">
      <c r="A65" s="889">
        <f t="shared" si="2"/>
        <v>26.290000000000045</v>
      </c>
      <c r="B65" s="43"/>
      <c r="C65" s="1697">
        <v>42856</v>
      </c>
      <c r="D65" s="1699">
        <v>3.7100000000000001E-2</v>
      </c>
      <c r="E65" s="489">
        <f t="shared" si="6"/>
        <v>3.0916666666666666E-3</v>
      </c>
      <c r="F65" s="1703">
        <f>H65*E65</f>
        <v>0</v>
      </c>
      <c r="G65" s="1647">
        <f t="shared" si="7"/>
        <v>678001.01131526497</v>
      </c>
      <c r="H65" s="1447"/>
      <c r="I65" s="1307">
        <f t="shared" si="5"/>
        <v>0</v>
      </c>
      <c r="J65" s="43"/>
      <c r="K65" s="43"/>
      <c r="L65" s="43"/>
      <c r="M65" s="43"/>
    </row>
    <row r="66" spans="1:21" s="268" customFormat="1">
      <c r="A66" s="891">
        <f>+A36+1</f>
        <v>27</v>
      </c>
      <c r="B66" s="43" t="s">
        <v>818</v>
      </c>
      <c r="C66" s="488"/>
      <c r="D66" s="494"/>
      <c r="E66" s="1165"/>
      <c r="F66" s="859">
        <f>SUM(F37:F65)</f>
        <v>-279151.74636858079</v>
      </c>
      <c r="G66" s="927"/>
      <c r="H66" s="490" t="str">
        <f>+"Col. "&amp;F6&amp;" Sum of Line "&amp;A36&amp;" Subparts"</f>
        <v>Col. E Sum of Line 26 Subparts</v>
      </c>
      <c r="I66" s="928"/>
      <c r="J66" s="43"/>
      <c r="K66" s="43"/>
      <c r="L66" s="43"/>
      <c r="M66" s="43"/>
    </row>
    <row r="67" spans="1:21" s="268" customFormat="1" ht="13.8" thickBot="1">
      <c r="A67" s="1671">
        <f>A66+1</f>
        <v>28</v>
      </c>
      <c r="B67" s="1482" t="s">
        <v>976</v>
      </c>
      <c r="C67" s="488"/>
      <c r="D67" s="494"/>
      <c r="E67" s="1165"/>
      <c r="F67" s="1483">
        <f>+G29+G31</f>
        <v>-7856860.3894145973</v>
      </c>
      <c r="G67" s="498"/>
      <c r="H67" s="2043" t="str">
        <f>+"Col. "&amp;G6&amp;" Line "&amp;A29&amp;" + Line "&amp;A31</f>
        <v>Col. F Line 21 + Line 23</v>
      </c>
      <c r="I67" s="2043"/>
      <c r="J67" s="43"/>
      <c r="K67" s="43"/>
      <c r="L67" s="43"/>
      <c r="M67" s="43"/>
    </row>
    <row r="68" spans="1:21" s="268" customFormat="1" ht="13.8" thickBot="1">
      <c r="A68" s="1671">
        <f>A67+1</f>
        <v>29</v>
      </c>
      <c r="B68" s="43" t="s">
        <v>977</v>
      </c>
      <c r="C68" s="488"/>
      <c r="D68" s="494"/>
      <c r="E68" s="1165"/>
      <c r="F68" s="1484">
        <f>SUM(F66:F67)</f>
        <v>-8136012.1357831778</v>
      </c>
      <c r="G68" s="490"/>
      <c r="H68" s="490" t="str">
        <f>+"Col. "&amp;F6&amp;" Line "&amp;A66&amp;" + "&amp;A67</f>
        <v>Col. E Line 27 + 28</v>
      </c>
      <c r="I68" s="490"/>
      <c r="J68" s="43"/>
      <c r="K68" s="43"/>
      <c r="L68" s="43"/>
      <c r="M68" s="43"/>
    </row>
    <row r="69" spans="1:21" s="268" customFormat="1" ht="13.8" thickBot="1">
      <c r="A69" s="44"/>
      <c r="B69" s="43"/>
      <c r="C69" s="43"/>
      <c r="D69" s="43"/>
      <c r="E69" s="43"/>
      <c r="F69" s="43"/>
      <c r="G69" s="1704">
        <f>-SUM(G54:G60)</f>
        <v>-4746007.0792068541</v>
      </c>
      <c r="H69" s="1705" t="s">
        <v>1610</v>
      </c>
      <c r="I69" s="1706"/>
      <c r="J69" s="43"/>
      <c r="K69" s="43"/>
      <c r="L69" s="43"/>
      <c r="M69" s="43"/>
    </row>
    <row r="70" spans="1:21" s="44" customFormat="1">
      <c r="B70" s="43"/>
      <c r="C70" s="488"/>
      <c r="D70" s="494"/>
      <c r="E70" s="1165"/>
      <c r="F70" s="490"/>
      <c r="G70" s="491"/>
      <c r="H70" s="497"/>
      <c r="I70" s="490"/>
      <c r="J70" s="43"/>
      <c r="K70" s="43"/>
      <c r="L70" s="43"/>
      <c r="M70" s="43"/>
    </row>
    <row r="71" spans="1:21" s="268" customFormat="1">
      <c r="A71" s="44" t="s">
        <v>299</v>
      </c>
      <c r="B71" s="43"/>
      <c r="C71" s="488"/>
      <c r="D71" s="494"/>
      <c r="E71" s="1165"/>
      <c r="F71" s="490"/>
      <c r="G71" s="491"/>
      <c r="H71" s="497"/>
      <c r="I71" s="490"/>
      <c r="J71" s="44"/>
      <c r="K71" s="44"/>
      <c r="L71" s="44"/>
      <c r="M71" s="44"/>
    </row>
    <row r="72" spans="1:21" s="268" customFormat="1" ht="39.6" customHeight="1">
      <c r="A72" s="702">
        <v>1</v>
      </c>
      <c r="B72" s="2041" t="s">
        <v>957</v>
      </c>
      <c r="C72" s="2041"/>
      <c r="D72" s="2041"/>
      <c r="E72" s="2041"/>
      <c r="F72" s="2041"/>
      <c r="G72" s="2041"/>
      <c r="H72" s="2041"/>
      <c r="I72" s="2041"/>
      <c r="J72" s="44"/>
      <c r="K72" s="44"/>
      <c r="L72" s="44"/>
      <c r="M72" s="44"/>
    </row>
    <row r="73" spans="1:21" s="268" customFormat="1" ht="27" customHeight="1">
      <c r="A73" s="890">
        <v>2</v>
      </c>
      <c r="B73" s="2037" t="s">
        <v>972</v>
      </c>
      <c r="C73" s="2037"/>
      <c r="D73" s="2037"/>
      <c r="E73" s="2037"/>
      <c r="F73" s="2037"/>
      <c r="G73" s="2037"/>
      <c r="H73" s="2037"/>
      <c r="I73" s="2037"/>
      <c r="J73" s="44"/>
      <c r="K73" s="2044"/>
      <c r="L73" s="2044"/>
      <c r="M73" s="2044"/>
      <c r="N73" s="2044"/>
      <c r="O73" s="2044"/>
      <c r="P73" s="2044"/>
      <c r="Q73" s="2044"/>
      <c r="R73" s="2044"/>
      <c r="S73" s="2044"/>
      <c r="T73" s="2044"/>
      <c r="U73" s="2044"/>
    </row>
    <row r="74" spans="1:21" s="268" customFormat="1" ht="27" customHeight="1">
      <c r="A74" s="702">
        <v>3</v>
      </c>
      <c r="B74" s="2037" t="s">
        <v>444</v>
      </c>
      <c r="C74" s="2037"/>
      <c r="D74" s="2037"/>
      <c r="E74" s="2037"/>
      <c r="F74" s="2037"/>
      <c r="G74" s="2037"/>
      <c r="H74" s="2037"/>
      <c r="I74" s="2037"/>
      <c r="J74" s="44"/>
      <c r="K74" s="44"/>
      <c r="L74" s="44"/>
      <c r="M74" s="44"/>
    </row>
    <row r="75" spans="1:21" s="268" customFormat="1" ht="66" customHeight="1">
      <c r="A75" s="702">
        <v>4</v>
      </c>
      <c r="B75" s="2037" t="s">
        <v>978</v>
      </c>
      <c r="C75" s="2037"/>
      <c r="D75" s="2037"/>
      <c r="E75" s="2037"/>
      <c r="F75" s="2037"/>
      <c r="G75" s="2037"/>
      <c r="H75" s="2037"/>
      <c r="I75" s="2037"/>
      <c r="J75" s="44"/>
      <c r="K75" s="44"/>
      <c r="L75" s="44"/>
      <c r="M75" s="44"/>
    </row>
    <row r="76" spans="1:21" s="268" customFormat="1" ht="39" customHeight="1">
      <c r="A76" s="562">
        <v>5</v>
      </c>
      <c r="B76" s="2037" t="s">
        <v>979</v>
      </c>
      <c r="C76" s="2037"/>
      <c r="D76" s="2037"/>
      <c r="E76" s="2037"/>
      <c r="F76" s="2037"/>
      <c r="G76" s="2037"/>
      <c r="H76" s="2037"/>
      <c r="I76" s="2037"/>
      <c r="J76" s="44"/>
      <c r="K76" s="44"/>
      <c r="L76" s="44"/>
      <c r="M76" s="44"/>
    </row>
    <row r="77" spans="1:21" s="268" customFormat="1" ht="79.95" customHeight="1">
      <c r="A77" s="562">
        <v>6</v>
      </c>
      <c r="B77" s="2037" t="s">
        <v>980</v>
      </c>
      <c r="C77" s="2037"/>
      <c r="D77" s="2037"/>
      <c r="E77" s="2037"/>
      <c r="F77" s="2037"/>
      <c r="G77" s="2037"/>
      <c r="H77" s="2037"/>
      <c r="I77" s="2037"/>
      <c r="J77" s="44"/>
      <c r="K77" s="44"/>
      <c r="L77" s="44"/>
      <c r="M77" s="44"/>
    </row>
    <row r="78" spans="1:21" s="268" customFormat="1" ht="54.6" customHeight="1">
      <c r="A78" s="1669">
        <v>7</v>
      </c>
      <c r="B78" s="2037" t="s">
        <v>981</v>
      </c>
      <c r="C78" s="2037"/>
      <c r="D78" s="2037"/>
      <c r="E78" s="2037"/>
      <c r="F78" s="2037"/>
      <c r="G78" s="2037"/>
      <c r="H78" s="2037"/>
      <c r="I78" s="2037"/>
      <c r="J78" s="44"/>
      <c r="K78" s="44"/>
      <c r="L78" s="44"/>
      <c r="M78" s="44"/>
    </row>
    <row r="79" spans="1:21" s="268" customFormat="1">
      <c r="A79" s="1708">
        <v>8</v>
      </c>
      <c r="B79" s="1707" t="s">
        <v>1611</v>
      </c>
      <c r="C79" s="514"/>
      <c r="D79" s="515"/>
      <c r="E79" s="516"/>
      <c r="F79" s="490"/>
      <c r="G79" s="491"/>
      <c r="H79" s="497"/>
      <c r="I79" s="490"/>
      <c r="J79" s="44"/>
      <c r="K79" s="44"/>
      <c r="L79" s="44"/>
      <c r="M79" s="44"/>
    </row>
    <row r="80" spans="1:21" s="268" customFormat="1">
      <c r="A80" s="1708">
        <v>9</v>
      </c>
      <c r="B80" s="1709" t="s">
        <v>1482</v>
      </c>
      <c r="C80" s="488"/>
      <c r="D80" s="499"/>
      <c r="E80" s="489"/>
      <c r="F80" s="490"/>
      <c r="G80" s="491"/>
      <c r="H80" s="497"/>
      <c r="I80" s="490"/>
      <c r="J80" s="44"/>
      <c r="K80" s="44"/>
      <c r="L80" s="44"/>
      <c r="M80" s="44"/>
    </row>
    <row r="81" spans="1:13" s="268" customFormat="1" ht="39" customHeight="1">
      <c r="A81" s="1784">
        <v>10</v>
      </c>
      <c r="B81" s="2047" t="s">
        <v>1612</v>
      </c>
      <c r="C81" s="2047"/>
      <c r="D81" s="2047"/>
      <c r="E81" s="2047"/>
      <c r="F81" s="2047"/>
      <c r="G81" s="2047"/>
      <c r="H81" s="2047"/>
      <c r="I81" s="2047"/>
      <c r="J81" s="44"/>
      <c r="K81" s="44"/>
      <c r="L81" s="44"/>
      <c r="M81" s="44"/>
    </row>
    <row r="82" spans="1:13" s="268" customFormat="1" ht="30.6" customHeight="1">
      <c r="A82" s="1784">
        <v>11</v>
      </c>
      <c r="B82" s="2047" t="s">
        <v>1618</v>
      </c>
      <c r="C82" s="2047"/>
      <c r="D82" s="2047"/>
      <c r="E82" s="2047"/>
      <c r="F82" s="2047"/>
      <c r="G82" s="2047"/>
      <c r="H82" s="2047"/>
      <c r="I82" s="2047"/>
      <c r="J82" s="44"/>
      <c r="K82" s="44"/>
      <c r="L82" s="44"/>
      <c r="M82" s="44"/>
    </row>
    <row r="83" spans="1:13" s="268" customFormat="1">
      <c r="A83" s="44"/>
      <c r="B83" s="43"/>
      <c r="C83" s="488"/>
      <c r="D83" s="499"/>
      <c r="E83" s="489"/>
      <c r="F83" s="490"/>
      <c r="G83" s="491"/>
      <c r="H83" s="497"/>
      <c r="I83" s="490"/>
      <c r="J83" s="44"/>
      <c r="K83" s="44"/>
      <c r="L83" s="44"/>
      <c r="M83" s="44"/>
    </row>
    <row r="84" spans="1:13" s="268" customFormat="1">
      <c r="A84" s="44"/>
      <c r="B84" s="43"/>
      <c r="C84" s="488"/>
      <c r="D84" s="499"/>
      <c r="E84" s="489"/>
      <c r="F84" s="490"/>
      <c r="G84" s="491"/>
      <c r="H84" s="497"/>
      <c r="I84" s="490"/>
      <c r="J84" s="44"/>
      <c r="K84" s="44"/>
      <c r="L84" s="44"/>
      <c r="M84" s="44"/>
    </row>
    <row r="85" spans="1:13" s="268" customFormat="1">
      <c r="A85" s="44"/>
      <c r="B85" s="43"/>
      <c r="C85" s="488"/>
      <c r="D85" s="499"/>
      <c r="E85" s="489"/>
      <c r="F85" s="490"/>
      <c r="G85" s="491"/>
      <c r="H85" s="497"/>
      <c r="I85" s="490"/>
      <c r="J85" s="44"/>
      <c r="K85" s="44"/>
      <c r="L85" s="44"/>
      <c r="M85" s="44"/>
    </row>
    <row r="86" spans="1:13" s="268" customFormat="1">
      <c r="A86" s="44"/>
      <c r="B86" s="44"/>
      <c r="C86" s="488"/>
      <c r="D86" s="499"/>
      <c r="E86" s="489"/>
      <c r="F86" s="490"/>
      <c r="G86" s="491"/>
      <c r="H86" s="497"/>
      <c r="I86" s="490"/>
      <c r="J86" s="44"/>
      <c r="K86" s="44"/>
      <c r="L86" s="44"/>
      <c r="M86" s="44"/>
    </row>
    <row r="87" spans="1:13" s="268" customFormat="1">
      <c r="A87" s="44"/>
      <c r="B87" s="44"/>
      <c r="C87" s="488"/>
      <c r="D87" s="499"/>
      <c r="E87" s="489"/>
      <c r="F87" s="490"/>
      <c r="G87" s="491"/>
      <c r="H87" s="497"/>
      <c r="I87" s="490"/>
      <c r="J87" s="44"/>
      <c r="K87" s="44"/>
      <c r="L87" s="44"/>
      <c r="M87" s="44"/>
    </row>
    <row r="88" spans="1:13" s="268" customFormat="1">
      <c r="A88" s="44"/>
      <c r="B88" s="44"/>
      <c r="C88" s="488"/>
      <c r="D88" s="499"/>
      <c r="E88" s="489"/>
      <c r="F88" s="490"/>
      <c r="G88" s="491"/>
      <c r="H88" s="497"/>
      <c r="I88" s="490"/>
      <c r="J88" s="44"/>
      <c r="K88" s="44"/>
      <c r="L88" s="44"/>
      <c r="M88" s="44"/>
    </row>
    <row r="89" spans="1:13" s="268" customFormat="1">
      <c r="A89" s="44"/>
      <c r="B89" s="44"/>
      <c r="C89" s="488"/>
      <c r="D89" s="499"/>
      <c r="E89" s="489"/>
      <c r="F89" s="490"/>
      <c r="G89" s="491"/>
      <c r="H89" s="497"/>
      <c r="I89" s="490"/>
      <c r="J89" s="44"/>
      <c r="K89" s="44"/>
      <c r="L89" s="44"/>
      <c r="M89" s="44"/>
    </row>
    <row r="90" spans="1:13" s="268" customFormat="1">
      <c r="A90" s="44"/>
      <c r="B90" s="44"/>
      <c r="C90" s="488"/>
      <c r="D90" s="499"/>
      <c r="E90" s="489"/>
      <c r="F90" s="490"/>
      <c r="G90" s="491"/>
      <c r="H90" s="497"/>
      <c r="I90" s="490"/>
      <c r="J90" s="44"/>
      <c r="K90" s="44"/>
      <c r="L90" s="44"/>
      <c r="M90" s="44"/>
    </row>
    <row r="91" spans="1:13" s="268" customFormat="1">
      <c r="A91" s="44"/>
      <c r="B91" s="44"/>
      <c r="C91" s="488"/>
      <c r="D91" s="499"/>
      <c r="E91" s="489"/>
      <c r="F91" s="490"/>
      <c r="G91" s="491"/>
      <c r="H91" s="497"/>
      <c r="I91" s="490"/>
      <c r="J91" s="44"/>
      <c r="K91" s="44"/>
      <c r="L91" s="44"/>
      <c r="M91" s="44"/>
    </row>
    <row r="92" spans="1:13" s="268" customFormat="1">
      <c r="A92" s="44"/>
      <c r="B92" s="44"/>
      <c r="C92" s="488"/>
      <c r="D92" s="499"/>
      <c r="E92" s="489"/>
      <c r="F92" s="490"/>
      <c r="G92" s="491"/>
      <c r="H92" s="497"/>
      <c r="I92" s="490"/>
      <c r="J92" s="44"/>
      <c r="K92" s="44"/>
      <c r="L92" s="44"/>
      <c r="M92" s="44"/>
    </row>
    <row r="93" spans="1:13" s="268" customFormat="1">
      <c r="A93" s="44"/>
      <c r="B93" s="44"/>
      <c r="C93" s="488"/>
      <c r="D93" s="499"/>
      <c r="E93" s="489"/>
      <c r="F93" s="490"/>
      <c r="G93" s="491"/>
      <c r="H93" s="497"/>
      <c r="I93" s="490"/>
      <c r="J93" s="44"/>
      <c r="K93" s="44"/>
      <c r="L93" s="44"/>
      <c r="M93" s="44"/>
    </row>
    <row r="94" spans="1:13" s="268" customFormat="1">
      <c r="A94" s="44"/>
      <c r="B94" s="44"/>
      <c r="C94" s="488"/>
      <c r="D94" s="499"/>
      <c r="E94" s="489"/>
      <c r="F94" s="490"/>
      <c r="G94" s="491"/>
      <c r="H94" s="497"/>
      <c r="I94" s="490"/>
      <c r="J94" s="44"/>
      <c r="K94" s="44"/>
      <c r="L94" s="44"/>
      <c r="M94" s="44"/>
    </row>
    <row r="95" spans="1:13" s="268" customFormat="1">
      <c r="A95" s="44"/>
      <c r="B95" s="44"/>
      <c r="C95" s="488"/>
      <c r="D95" s="499"/>
      <c r="E95" s="489"/>
      <c r="F95" s="490"/>
      <c r="G95" s="491"/>
      <c r="H95" s="497"/>
      <c r="I95" s="490"/>
      <c r="J95" s="44"/>
      <c r="K95" s="44"/>
      <c r="L95" s="44"/>
      <c r="M95" s="44"/>
    </row>
    <row r="96" spans="1:13" s="268" customFormat="1">
      <c r="A96" s="44"/>
      <c r="B96" s="44"/>
      <c r="C96" s="488"/>
      <c r="D96" s="499"/>
      <c r="E96" s="489"/>
      <c r="F96" s="490"/>
      <c r="G96" s="491"/>
      <c r="H96" s="497"/>
      <c r="I96" s="490"/>
      <c r="J96" s="44"/>
      <c r="K96" s="44"/>
      <c r="L96" s="44"/>
      <c r="M96" s="44"/>
    </row>
    <row r="97" spans="1:38" s="268" customFormat="1">
      <c r="A97" s="44"/>
      <c r="B97" s="44"/>
      <c r="C97" s="488"/>
      <c r="D97" s="499"/>
      <c r="E97" s="489"/>
      <c r="F97" s="490"/>
      <c r="G97" s="491"/>
      <c r="H97" s="497"/>
      <c r="I97" s="490"/>
      <c r="J97" s="44"/>
      <c r="K97" s="44"/>
      <c r="L97" s="44"/>
      <c r="M97" s="44"/>
    </row>
    <row r="98" spans="1:38" s="268" customFormat="1">
      <c r="A98" s="44"/>
      <c r="B98" s="44"/>
      <c r="C98" s="488"/>
      <c r="D98" s="499"/>
      <c r="E98" s="489"/>
      <c r="F98" s="490"/>
      <c r="G98" s="491"/>
      <c r="H98" s="497"/>
      <c r="I98" s="490"/>
      <c r="J98" s="44"/>
      <c r="K98" s="44"/>
      <c r="L98" s="44"/>
      <c r="M98" s="44"/>
    </row>
    <row r="99" spans="1:38" s="268" customFormat="1">
      <c r="A99" s="44"/>
      <c r="B99" s="44"/>
      <c r="C99" s="488"/>
      <c r="D99" s="499"/>
      <c r="E99" s="489"/>
      <c r="F99" s="490"/>
      <c r="G99" s="491"/>
      <c r="H99" s="497"/>
      <c r="I99" s="490"/>
      <c r="J99" s="44"/>
      <c r="K99" s="44"/>
      <c r="L99" s="44"/>
      <c r="M99" s="44"/>
    </row>
    <row r="100" spans="1:38" s="268" customFormat="1">
      <c r="A100" s="44"/>
      <c r="B100" s="44"/>
      <c r="C100" s="488"/>
      <c r="D100" s="499"/>
      <c r="E100" s="489"/>
      <c r="F100" s="490"/>
      <c r="G100" s="491"/>
      <c r="H100" s="497"/>
      <c r="I100" s="490"/>
      <c r="J100" s="44"/>
      <c r="K100" s="44"/>
      <c r="L100" s="44"/>
      <c r="M100" s="44"/>
    </row>
    <row r="101" spans="1:38" s="268" customFormat="1">
      <c r="A101" s="44"/>
      <c r="B101" s="44"/>
      <c r="C101" s="488"/>
      <c r="D101" s="499"/>
      <c r="E101" s="489"/>
      <c r="F101" s="490"/>
      <c r="G101" s="491"/>
      <c r="H101" s="497"/>
      <c r="I101" s="490"/>
      <c r="J101" s="44"/>
      <c r="K101" s="44"/>
      <c r="L101" s="44"/>
      <c r="M101" s="44"/>
    </row>
    <row r="102" spans="1:38">
      <c r="C102" s="488"/>
      <c r="D102" s="499"/>
      <c r="E102" s="489"/>
      <c r="F102" s="490"/>
      <c r="G102" s="491"/>
      <c r="H102" s="497"/>
      <c r="I102" s="49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row>
    <row r="103" spans="1:38">
      <c r="C103" s="488"/>
      <c r="D103" s="499"/>
      <c r="E103" s="489"/>
      <c r="F103" s="490"/>
      <c r="G103" s="491"/>
      <c r="H103" s="497"/>
      <c r="I103" s="49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row>
    <row r="104" spans="1:38">
      <c r="C104" s="488"/>
      <c r="D104" s="499"/>
      <c r="E104" s="489"/>
      <c r="F104" s="490"/>
      <c r="G104" s="491"/>
      <c r="H104" s="497"/>
      <c r="I104" s="49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1:38">
      <c r="C105" s="488"/>
      <c r="D105" s="499"/>
      <c r="E105" s="489"/>
      <c r="F105" s="490"/>
      <c r="G105" s="491"/>
      <c r="H105" s="497"/>
      <c r="I105" s="49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row>
    <row r="106" spans="1:38">
      <c r="C106" s="488"/>
      <c r="D106" s="499"/>
      <c r="E106" s="489"/>
      <c r="F106" s="490"/>
      <c r="G106" s="491"/>
      <c r="H106" s="497"/>
      <c r="I106" s="49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row>
    <row r="107" spans="1:38">
      <c r="C107" s="488"/>
      <c r="D107" s="499"/>
      <c r="E107" s="489"/>
      <c r="F107" s="490"/>
      <c r="G107" s="491"/>
      <c r="H107" s="497"/>
      <c r="I107" s="49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row>
    <row r="108" spans="1:38">
      <c r="C108" s="488"/>
      <c r="D108" s="499"/>
      <c r="E108" s="489"/>
      <c r="F108" s="490"/>
      <c r="G108" s="491"/>
      <c r="H108" s="497"/>
      <c r="I108" s="49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row>
    <row r="109" spans="1:38">
      <c r="C109" s="488"/>
      <c r="D109" s="499"/>
      <c r="E109" s="489"/>
      <c r="F109" s="490"/>
      <c r="G109" s="491"/>
      <c r="H109" s="497"/>
      <c r="I109" s="49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row>
    <row r="110" spans="1:38">
      <c r="B110" s="66"/>
      <c r="C110" s="488"/>
      <c r="D110" s="499"/>
      <c r="E110" s="489"/>
      <c r="F110" s="490"/>
      <c r="G110" s="491"/>
      <c r="H110" s="497"/>
      <c r="I110" s="49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row>
    <row r="111" spans="1:38">
      <c r="A111" s="66"/>
      <c r="B111" s="66"/>
      <c r="C111" s="488"/>
      <c r="D111" s="499"/>
      <c r="E111" s="489"/>
      <c r="F111" s="490"/>
      <c r="G111" s="491"/>
      <c r="H111" s="497"/>
      <c r="I111" s="49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row>
    <row r="112" spans="1:38">
      <c r="A112" s="66"/>
      <c r="B112" s="66"/>
      <c r="C112" s="488"/>
      <c r="D112" s="499"/>
      <c r="E112" s="489"/>
      <c r="F112" s="490"/>
      <c r="G112" s="491"/>
      <c r="H112" s="497"/>
      <c r="I112" s="49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c r="A113" s="66"/>
      <c r="B113" s="66"/>
      <c r="C113" s="488"/>
      <c r="D113" s="499"/>
      <c r="E113" s="489"/>
      <c r="F113" s="490"/>
      <c r="G113" s="491"/>
      <c r="H113" s="497"/>
      <c r="I113" s="49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row>
    <row r="114" spans="1:38">
      <c r="A114" s="66"/>
      <c r="B114" s="66"/>
      <c r="C114" s="488"/>
      <c r="D114" s="499"/>
      <c r="E114" s="489"/>
      <c r="F114" s="490"/>
      <c r="G114" s="491"/>
      <c r="H114" s="497"/>
      <c r="I114" s="49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row>
    <row r="115" spans="1:38">
      <c r="A115" s="66"/>
      <c r="B115" s="66"/>
      <c r="C115" s="488"/>
      <c r="D115" s="499"/>
      <c r="E115" s="489"/>
      <c r="F115" s="490"/>
      <c r="G115" s="491"/>
      <c r="H115" s="497"/>
      <c r="I115" s="49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row>
    <row r="116" spans="1:38">
      <c r="A116" s="66"/>
      <c r="B116" s="66"/>
      <c r="C116" s="488"/>
      <c r="D116" s="499"/>
      <c r="E116" s="489"/>
      <c r="F116" s="490"/>
      <c r="G116" s="491"/>
      <c r="H116" s="497"/>
      <c r="I116" s="49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row>
    <row r="117" spans="1:38">
      <c r="A117" s="66"/>
      <c r="B117" s="66"/>
      <c r="C117" s="488"/>
      <c r="D117" s="499"/>
      <c r="E117" s="489"/>
      <c r="F117" s="490"/>
      <c r="G117" s="491"/>
      <c r="H117" s="497"/>
      <c r="I117" s="49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row>
    <row r="118" spans="1:38">
      <c r="A118" s="66"/>
      <c r="B118" s="66"/>
      <c r="C118" s="488"/>
      <c r="D118" s="499"/>
      <c r="E118" s="489"/>
      <c r="F118" s="490"/>
      <c r="G118" s="491"/>
      <c r="H118" s="497"/>
      <c r="I118" s="49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row>
    <row r="119" spans="1:38">
      <c r="A119" s="66"/>
      <c r="B119" s="66"/>
      <c r="C119" s="488"/>
      <c r="D119" s="499"/>
      <c r="E119" s="489"/>
      <c r="F119" s="490"/>
      <c r="G119" s="491"/>
      <c r="H119" s="497"/>
      <c r="I119" s="49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row>
    <row r="120" spans="1:38">
      <c r="A120" s="66"/>
      <c r="B120" s="66"/>
      <c r="C120" s="488"/>
      <c r="D120" s="499"/>
      <c r="E120" s="489"/>
      <c r="F120" s="490"/>
      <c r="G120" s="491"/>
      <c r="H120" s="497"/>
      <c r="I120" s="49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row>
    <row r="121" spans="1:38">
      <c r="A121" s="66"/>
      <c r="B121" s="66"/>
      <c r="C121" s="488"/>
      <c r="D121" s="499"/>
      <c r="E121" s="489"/>
      <c r="F121" s="490"/>
      <c r="G121" s="491"/>
      <c r="H121" s="497"/>
      <c r="I121" s="49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row>
    <row r="122" spans="1:38">
      <c r="A122" s="66"/>
      <c r="B122" s="66"/>
      <c r="C122" s="488"/>
      <c r="D122" s="499"/>
      <c r="E122" s="489"/>
      <c r="F122" s="490"/>
      <c r="G122" s="491"/>
      <c r="H122" s="497"/>
      <c r="I122" s="49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row>
    <row r="123" spans="1:38">
      <c r="A123" s="66"/>
      <c r="B123" s="66"/>
      <c r="F123" s="500"/>
      <c r="G123" s="500"/>
      <c r="H123" s="500"/>
      <c r="I123" s="50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row>
    <row r="124" spans="1:38">
      <c r="A124" s="66"/>
      <c r="B124" s="66"/>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row>
    <row r="125" spans="1:38">
      <c r="A125" s="66"/>
      <c r="B125" s="66"/>
      <c r="F125" s="501"/>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1:38">
      <c r="A126" s="66"/>
      <c r="B126" s="66"/>
      <c r="C126" s="66"/>
      <c r="D126" s="66"/>
      <c r="E126" s="66"/>
      <c r="F126" s="501"/>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row>
    <row r="127" spans="1:38">
      <c r="A127" s="66"/>
      <c r="B127" s="66"/>
      <c r="C127" s="66"/>
      <c r="D127" s="66"/>
      <c r="E127" s="66"/>
      <c r="F127" s="50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1:38">
      <c r="A128" s="66"/>
      <c r="B128" s="66"/>
      <c r="C128" s="66"/>
      <c r="D128" s="66"/>
      <c r="E128" s="66"/>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row>
    <row r="129" spans="1:38">
      <c r="A129" s="66"/>
      <c r="B129" s="66"/>
      <c r="C129" s="66"/>
      <c r="D129" s="66"/>
      <c r="E129" s="66"/>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row>
    <row r="130" spans="1:38">
      <c r="A130" s="66"/>
      <c r="B130" s="66"/>
      <c r="C130" s="66"/>
      <c r="D130" s="66"/>
      <c r="E130" s="66"/>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row>
    <row r="131" spans="1:38">
      <c r="A131" s="66"/>
      <c r="B131" s="66"/>
      <c r="C131" s="66"/>
      <c r="D131" s="66"/>
      <c r="E131" s="66"/>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row>
    <row r="132" spans="1:38">
      <c r="A132" s="66"/>
      <c r="B132" s="66"/>
      <c r="C132" s="66"/>
      <c r="D132" s="66"/>
      <c r="E132" s="66"/>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row>
    <row r="133" spans="1:38">
      <c r="A133" s="66"/>
      <c r="B133" s="66"/>
      <c r="C133" s="66"/>
      <c r="D133" s="66"/>
      <c r="E133" s="66"/>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row>
    <row r="134" spans="1:38">
      <c r="A134" s="66"/>
      <c r="B134" s="66"/>
      <c r="C134" s="66"/>
      <c r="D134" s="66"/>
      <c r="E134" s="66"/>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row>
    <row r="135" spans="1:38">
      <c r="A135" s="66"/>
      <c r="B135" s="66"/>
      <c r="C135" s="66"/>
      <c r="D135" s="66"/>
      <c r="E135" s="66"/>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row>
    <row r="136" spans="1:38">
      <c r="A136" s="66"/>
      <c r="B136" s="66"/>
      <c r="C136" s="66"/>
      <c r="D136" s="66"/>
      <c r="E136" s="66"/>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row>
    <row r="137" spans="1:38">
      <c r="A137" s="66"/>
      <c r="B137" s="66"/>
      <c r="C137" s="66"/>
      <c r="D137" s="66"/>
      <c r="E137" s="66"/>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row>
    <row r="138" spans="1:38">
      <c r="A138" s="66"/>
      <c r="B138" s="66"/>
      <c r="C138" s="66"/>
      <c r="D138" s="66"/>
      <c r="E138" s="66"/>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row>
    <row r="139" spans="1:38">
      <c r="A139" s="66"/>
      <c r="B139" s="66"/>
      <c r="C139" s="66"/>
      <c r="D139" s="66"/>
      <c r="E139" s="66"/>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row>
    <row r="140" spans="1:38">
      <c r="A140" s="66"/>
      <c r="B140" s="66"/>
      <c r="C140" s="66"/>
      <c r="D140" s="66"/>
      <c r="E140" s="66"/>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row>
    <row r="141" spans="1:38">
      <c r="A141" s="66"/>
      <c r="B141" s="66"/>
      <c r="C141" s="66"/>
      <c r="D141" s="66"/>
      <c r="E141" s="66"/>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row>
    <row r="142" spans="1:38">
      <c r="A142" s="66"/>
      <c r="B142" s="66"/>
      <c r="C142" s="66"/>
      <c r="D142" s="66"/>
      <c r="E142" s="66"/>
      <c r="F142" s="66"/>
      <c r="G142" s="66"/>
      <c r="H142" s="66"/>
      <c r="I142" s="66"/>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row>
    <row r="143" spans="1:38">
      <c r="A143" s="66"/>
      <c r="B143" s="66"/>
      <c r="C143" s="66"/>
      <c r="D143" s="66"/>
      <c r="E143" s="66"/>
      <c r="F143" s="66"/>
      <c r="G143" s="66"/>
      <c r="H143" s="66"/>
      <c r="I143" s="66"/>
      <c r="J143" s="66"/>
      <c r="K143" s="66"/>
      <c r="L143" s="66"/>
      <c r="M143" s="66"/>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row>
    <row r="144" spans="1:38">
      <c r="A144" s="66"/>
      <c r="B144" s="66"/>
      <c r="C144" s="66"/>
      <c r="D144" s="66"/>
      <c r="E144" s="66"/>
      <c r="F144" s="66"/>
      <c r="G144" s="66"/>
      <c r="H144" s="66"/>
      <c r="I144" s="66"/>
      <c r="J144" s="66"/>
      <c r="K144" s="66"/>
      <c r="L144" s="66"/>
      <c r="M144" s="66"/>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row>
    <row r="145" spans="1:38">
      <c r="A145" s="66"/>
      <c r="B145" s="66"/>
      <c r="C145" s="66"/>
      <c r="D145" s="66"/>
      <c r="E145" s="66"/>
      <c r="F145" s="66"/>
      <c r="G145" s="66"/>
      <c r="H145" s="66"/>
      <c r="I145" s="66"/>
      <c r="J145" s="66"/>
      <c r="K145" s="66"/>
      <c r="L145" s="66"/>
      <c r="M145" s="66"/>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row>
    <row r="146" spans="1:38">
      <c r="A146" s="66"/>
      <c r="B146" s="66"/>
      <c r="C146" s="66"/>
      <c r="D146" s="66"/>
      <c r="E146" s="66"/>
      <c r="F146" s="66"/>
      <c r="G146" s="66"/>
      <c r="H146" s="66"/>
      <c r="I146" s="66"/>
      <c r="J146" s="66"/>
      <c r="K146" s="66"/>
      <c r="L146" s="66"/>
      <c r="M146" s="66"/>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row>
    <row r="147" spans="1:38">
      <c r="A147" s="66"/>
      <c r="B147" s="66"/>
      <c r="C147" s="66"/>
      <c r="D147" s="66"/>
      <c r="E147" s="66"/>
      <c r="F147" s="66"/>
      <c r="G147" s="66"/>
      <c r="H147" s="66"/>
      <c r="I147" s="66"/>
      <c r="J147" s="66"/>
      <c r="K147" s="66"/>
      <c r="L147" s="66"/>
      <c r="M147" s="66"/>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row>
    <row r="148" spans="1:38">
      <c r="A148" s="66"/>
      <c r="B148" s="66"/>
      <c r="C148" s="66"/>
      <c r="D148" s="66"/>
      <c r="E148" s="66"/>
      <c r="F148" s="66"/>
      <c r="G148" s="66"/>
      <c r="H148" s="66"/>
      <c r="I148" s="66"/>
      <c r="J148" s="66"/>
      <c r="K148" s="66"/>
      <c r="L148" s="66"/>
      <c r="M148" s="66"/>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row>
    <row r="149" spans="1:38">
      <c r="A149" s="66"/>
      <c r="B149" s="66"/>
      <c r="C149" s="66"/>
      <c r="D149" s="66"/>
      <c r="E149" s="66"/>
      <c r="F149" s="66"/>
      <c r="G149" s="66"/>
      <c r="H149" s="66"/>
      <c r="I149" s="66"/>
      <c r="J149" s="66"/>
      <c r="K149" s="66"/>
      <c r="L149" s="66"/>
      <c r="M149" s="66"/>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row>
    <row r="150" spans="1:38">
      <c r="A150" s="66"/>
      <c r="B150" s="66"/>
      <c r="C150" s="66"/>
      <c r="D150" s="66"/>
      <c r="E150" s="66"/>
      <c r="F150" s="66"/>
      <c r="G150" s="66"/>
      <c r="H150" s="66"/>
      <c r="I150" s="66"/>
      <c r="J150" s="66"/>
      <c r="K150" s="66"/>
      <c r="L150" s="66"/>
      <c r="M150" s="66"/>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row>
    <row r="151" spans="1:38">
      <c r="A151" s="66"/>
      <c r="B151" s="66"/>
      <c r="C151" s="66"/>
      <c r="D151" s="66"/>
      <c r="E151" s="66"/>
      <c r="F151" s="66"/>
      <c r="G151" s="66"/>
      <c r="H151" s="66"/>
      <c r="I151" s="66"/>
      <c r="J151" s="66"/>
      <c r="K151" s="66"/>
      <c r="L151" s="66"/>
      <c r="M151" s="66"/>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row>
    <row r="152" spans="1:38">
      <c r="A152" s="66"/>
      <c r="B152" s="66"/>
      <c r="C152" s="66"/>
      <c r="D152" s="66"/>
      <c r="E152" s="66"/>
      <c r="F152" s="66"/>
      <c r="G152" s="66"/>
      <c r="H152" s="66"/>
      <c r="I152" s="66"/>
      <c r="J152" s="66"/>
      <c r="K152" s="66"/>
      <c r="L152" s="66"/>
      <c r="M152" s="66"/>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row>
    <row r="153" spans="1:38">
      <c r="A153" s="66"/>
      <c r="B153" s="66"/>
      <c r="C153" s="66"/>
      <c r="D153" s="66"/>
      <c r="E153" s="66"/>
      <c r="F153" s="66"/>
      <c r="G153" s="66"/>
      <c r="H153" s="66"/>
      <c r="I153" s="66"/>
      <c r="J153" s="66"/>
      <c r="K153" s="66"/>
      <c r="L153" s="66"/>
      <c r="M153" s="66"/>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row>
    <row r="154" spans="1:38">
      <c r="A154" s="66"/>
      <c r="B154" s="66"/>
      <c r="C154" s="66"/>
      <c r="D154" s="66"/>
      <c r="E154" s="66"/>
      <c r="F154" s="66"/>
      <c r="G154" s="66"/>
      <c r="H154" s="66"/>
      <c r="I154" s="66"/>
      <c r="J154" s="66"/>
      <c r="K154" s="66"/>
      <c r="L154" s="66"/>
      <c r="M154" s="66"/>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row>
    <row r="155" spans="1:38">
      <c r="A155" s="66"/>
      <c r="B155" s="66"/>
      <c r="C155" s="66"/>
      <c r="D155" s="66"/>
      <c r="E155" s="66"/>
      <c r="F155" s="66"/>
      <c r="G155" s="66"/>
      <c r="H155" s="66"/>
      <c r="I155" s="66"/>
      <c r="J155" s="66"/>
      <c r="K155" s="66"/>
      <c r="L155" s="66"/>
      <c r="M155" s="66"/>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row>
    <row r="156" spans="1:38">
      <c r="A156" s="66"/>
      <c r="B156" s="66"/>
      <c r="C156" s="66"/>
      <c r="D156" s="66"/>
      <c r="E156" s="66"/>
      <c r="F156" s="66"/>
      <c r="G156" s="66"/>
      <c r="H156" s="66"/>
      <c r="I156" s="66"/>
      <c r="J156" s="66"/>
      <c r="K156" s="66"/>
      <c r="L156" s="66"/>
      <c r="M156" s="66"/>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row>
    <row r="157" spans="1:38">
      <c r="A157" s="66"/>
      <c r="B157" s="66"/>
      <c r="C157" s="66"/>
      <c r="D157" s="66"/>
      <c r="E157" s="66"/>
      <c r="F157" s="66"/>
      <c r="G157" s="66"/>
      <c r="H157" s="66"/>
      <c r="I157" s="66"/>
      <c r="J157" s="66"/>
      <c r="K157" s="66"/>
      <c r="L157" s="66"/>
      <c r="M157" s="66"/>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row>
    <row r="158" spans="1:38">
      <c r="A158" s="66"/>
      <c r="J158" s="66"/>
      <c r="K158" s="66"/>
      <c r="L158" s="66"/>
      <c r="M158" s="66"/>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row>
    <row r="159" spans="1:38" s="231" customFormat="1">
      <c r="A159" s="44"/>
      <c r="B159" s="44"/>
      <c r="C159" s="43"/>
      <c r="D159" s="44"/>
      <c r="E159" s="44"/>
      <c r="F159" s="44"/>
      <c r="G159" s="44"/>
      <c r="H159" s="44"/>
      <c r="I159" s="44"/>
      <c r="J159" s="44"/>
      <c r="K159" s="44"/>
      <c r="L159" s="44"/>
      <c r="M159" s="44"/>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row>
    <row r="160" spans="1:38">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row>
    <row r="161" spans="1:38">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row>
    <row r="162" spans="1:38">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row>
    <row r="163" spans="1:38">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row>
    <row r="164" spans="1:38">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row>
    <row r="165" spans="1:38">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row>
    <row r="166" spans="1:38">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row>
    <row r="167" spans="1:38">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row>
    <row r="168" spans="1:38">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row>
    <row r="169" spans="1:38">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row>
    <row r="170" spans="1:38">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row>
    <row r="171" spans="1:38">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row>
    <row r="172" spans="1:38">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row>
    <row r="173" spans="1:38">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row>
    <row r="174" spans="1:38">
      <c r="B174" s="66"/>
      <c r="C174" s="66"/>
      <c r="D174" s="66"/>
      <c r="E174" s="66"/>
      <c r="F174" s="66"/>
      <c r="G174" s="66"/>
      <c r="H174" s="66"/>
      <c r="I174" s="66"/>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row>
    <row r="175" spans="1:38">
      <c r="A175" s="66"/>
      <c r="B175" s="66"/>
      <c r="C175" s="66"/>
      <c r="D175" s="66"/>
      <c r="E175" s="66"/>
      <c r="F175" s="66"/>
      <c r="G175" s="66"/>
      <c r="H175" s="66"/>
      <c r="I175" s="66"/>
      <c r="J175" s="66"/>
      <c r="K175" s="66"/>
      <c r="L175" s="66"/>
      <c r="M175" s="66"/>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row>
    <row r="176" spans="1:38">
      <c r="A176" s="66"/>
      <c r="B176" s="66"/>
      <c r="C176" s="66"/>
      <c r="D176" s="66"/>
      <c r="E176" s="66"/>
      <c r="F176" s="66"/>
      <c r="G176" s="66"/>
      <c r="H176" s="66"/>
      <c r="I176" s="66"/>
      <c r="J176" s="66"/>
      <c r="K176" s="66"/>
      <c r="L176" s="66"/>
      <c r="M176" s="66"/>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row>
    <row r="177" spans="1:38">
      <c r="A177" s="66"/>
      <c r="B177" s="66"/>
      <c r="C177" s="66"/>
      <c r="D177" s="66"/>
      <c r="E177" s="66"/>
      <c r="F177" s="66"/>
      <c r="G177" s="66"/>
      <c r="H177" s="66"/>
      <c r="I177" s="66"/>
      <c r="J177" s="66"/>
      <c r="K177" s="66"/>
      <c r="L177" s="66"/>
      <c r="M177" s="66"/>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row>
    <row r="178" spans="1:38">
      <c r="A178" s="66"/>
      <c r="B178" s="66"/>
      <c r="C178" s="66"/>
      <c r="D178" s="66"/>
      <c r="E178" s="66"/>
      <c r="F178" s="66"/>
      <c r="G178" s="66"/>
      <c r="H178" s="66"/>
      <c r="I178" s="66"/>
      <c r="J178" s="66"/>
      <c r="K178" s="66"/>
      <c r="L178" s="66"/>
      <c r="M178" s="66"/>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row>
    <row r="179" spans="1:38">
      <c r="A179" s="66"/>
      <c r="J179" s="66"/>
      <c r="K179" s="66"/>
      <c r="L179" s="66"/>
      <c r="M179" s="66"/>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row>
  </sheetData>
  <mergeCells count="18">
    <mergeCell ref="B81:I81"/>
    <mergeCell ref="B82:I82"/>
    <mergeCell ref="B76:I76"/>
    <mergeCell ref="B77:I77"/>
    <mergeCell ref="B78:I78"/>
    <mergeCell ref="K2:Q3"/>
    <mergeCell ref="B75:I75"/>
    <mergeCell ref="A1:I1"/>
    <mergeCell ref="A2:I2"/>
    <mergeCell ref="A3:I3"/>
    <mergeCell ref="A4:I4"/>
    <mergeCell ref="H9:I9"/>
    <mergeCell ref="B24:F24"/>
    <mergeCell ref="H67:I67"/>
    <mergeCell ref="B72:I72"/>
    <mergeCell ref="B73:I73"/>
    <mergeCell ref="K73:U73"/>
    <mergeCell ref="B74:I74"/>
  </mergeCells>
  <printOptions horizontalCentered="1"/>
  <pageMargins left="0.7" right="0.7" top="0.75" bottom="0.75" header="0.3" footer="0.5"/>
  <pageSetup scale="85"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workbookViewId="0">
      <selection activeCell="L6" sqref="L6"/>
    </sheetView>
  </sheetViews>
  <sheetFormatPr defaultColWidth="9.109375" defaultRowHeight="13.2"/>
  <cols>
    <col min="1" max="1" width="4.44140625" style="44" bestFit="1" customWidth="1"/>
    <col min="2" max="2" width="7.6640625" style="44" customWidth="1"/>
    <col min="3" max="3" width="8.6640625" style="43" customWidth="1"/>
    <col min="4" max="4" width="8.77734375" style="44" customWidth="1"/>
    <col min="5" max="5" width="8.6640625" style="44" customWidth="1"/>
    <col min="6" max="6" width="14.5546875" style="44" customWidth="1"/>
    <col min="7" max="7" width="14.6640625" style="44" customWidth="1"/>
    <col min="8" max="8" width="20.33203125" style="44" bestFit="1" customWidth="1"/>
    <col min="9" max="9" width="13.109375" style="44" bestFit="1" customWidth="1"/>
    <col min="10" max="10" width="12.109375" style="44" bestFit="1" customWidth="1"/>
    <col min="11" max="11" width="10.44140625" style="44" customWidth="1"/>
    <col min="12" max="13" width="10.33203125" style="44" customWidth="1"/>
    <col min="14" max="14" width="11.109375" style="66" customWidth="1"/>
    <col min="15" max="16384" width="9.109375" style="66"/>
  </cols>
  <sheetData>
    <row r="1" spans="1:14">
      <c r="A1" s="2050" t="s">
        <v>952</v>
      </c>
      <c r="B1" s="2039"/>
      <c r="C1" s="2039"/>
      <c r="D1" s="2039"/>
      <c r="E1" s="2039"/>
      <c r="F1" s="2039"/>
      <c r="G1" s="2039"/>
      <c r="H1" s="2039"/>
      <c r="I1" s="2039"/>
    </row>
    <row r="2" spans="1:14">
      <c r="A2" s="2040" t="s">
        <v>1579</v>
      </c>
      <c r="B2" s="2040"/>
      <c r="C2" s="2040"/>
      <c r="D2" s="2040"/>
      <c r="E2" s="2040"/>
      <c r="F2" s="2040"/>
      <c r="G2" s="2040"/>
      <c r="H2" s="2040"/>
      <c r="I2" s="2040"/>
    </row>
    <row r="3" spans="1:14" s="79" customFormat="1">
      <c r="A3" s="2051" t="s">
        <v>1483</v>
      </c>
      <c r="B3" s="2040"/>
      <c r="C3" s="2040"/>
      <c r="D3" s="2040"/>
      <c r="E3" s="2040"/>
      <c r="F3" s="2040"/>
      <c r="G3" s="2040"/>
      <c r="H3" s="2040"/>
      <c r="I3" s="2040"/>
      <c r="J3" s="43"/>
      <c r="K3" s="43"/>
      <c r="L3" s="43"/>
      <c r="M3" s="43"/>
    </row>
    <row r="4" spans="1:14">
      <c r="A4" s="2039" t="s">
        <v>424</v>
      </c>
      <c r="B4" s="2039"/>
      <c r="C4" s="2039"/>
      <c r="D4" s="2039"/>
      <c r="E4" s="2039"/>
      <c r="F4" s="2039"/>
      <c r="G4" s="2039"/>
      <c r="H4" s="2039"/>
      <c r="I4" s="2039"/>
    </row>
    <row r="5" spans="1:14">
      <c r="A5" s="1947"/>
      <c r="B5" s="1947"/>
      <c r="C5" s="1947"/>
      <c r="D5" s="1947"/>
      <c r="E5" s="1947"/>
      <c r="F5" s="1947"/>
      <c r="G5" s="1947"/>
      <c r="H5" s="1947"/>
      <c r="I5" s="1947"/>
    </row>
    <row r="6" spans="1:14" s="79" customFormat="1">
      <c r="A6" s="486" t="s">
        <v>324</v>
      </c>
      <c r="B6" s="1949" t="s">
        <v>68</v>
      </c>
      <c r="C6" s="1949" t="s">
        <v>115</v>
      </c>
      <c r="D6" s="596" t="s">
        <v>56</v>
      </c>
      <c r="E6" s="1949" t="s">
        <v>69</v>
      </c>
      <c r="F6" s="597" t="s">
        <v>67</v>
      </c>
      <c r="G6" s="1949" t="s">
        <v>157</v>
      </c>
      <c r="H6" s="1949" t="s">
        <v>70</v>
      </c>
      <c r="I6" s="598" t="s">
        <v>170</v>
      </c>
      <c r="J6" s="1949" t="s">
        <v>60</v>
      </c>
      <c r="K6" s="1949" t="s">
        <v>61</v>
      </c>
      <c r="L6" s="1949" t="s">
        <v>1580</v>
      </c>
      <c r="M6" s="1949" t="s">
        <v>99</v>
      </c>
      <c r="N6" s="1954" t="s">
        <v>100</v>
      </c>
    </row>
    <row r="7" spans="1:14" s="79" customFormat="1" ht="15">
      <c r="A7" s="486"/>
      <c r="B7" s="1949"/>
      <c r="C7" s="1949"/>
      <c r="D7" s="596"/>
      <c r="E7" s="1949"/>
      <c r="F7" s="2052" t="s">
        <v>1609</v>
      </c>
      <c r="G7" s="2052"/>
      <c r="H7" s="2053" t="s">
        <v>1581</v>
      </c>
      <c r="I7" s="2053"/>
      <c r="J7" s="44"/>
      <c r="K7" s="44"/>
      <c r="L7" s="44"/>
      <c r="M7" s="44"/>
      <c r="N7" s="222"/>
    </row>
    <row r="8" spans="1:14">
      <c r="A8" s="66"/>
      <c r="B8" s="1042"/>
      <c r="C8" s="1947"/>
      <c r="D8" s="1947"/>
      <c r="E8" s="1947"/>
      <c r="F8" s="1947" t="s">
        <v>1582</v>
      </c>
      <c r="G8" s="1947" t="s">
        <v>1583</v>
      </c>
      <c r="H8" s="1947" t="s">
        <v>1620</v>
      </c>
      <c r="I8" s="42" t="s">
        <v>1584</v>
      </c>
    </row>
    <row r="9" spans="1:14" ht="16.8">
      <c r="A9" s="891">
        <v>1</v>
      </c>
      <c r="B9" s="179" t="s">
        <v>1585</v>
      </c>
      <c r="C9" s="1947"/>
      <c r="D9" s="1947"/>
      <c r="E9" s="1947"/>
      <c r="F9" s="1661" t="s">
        <v>1586</v>
      </c>
      <c r="G9" s="1661" t="s">
        <v>1587</v>
      </c>
      <c r="H9" s="924" t="s">
        <v>452</v>
      </c>
      <c r="I9" s="1539" t="s">
        <v>452</v>
      </c>
      <c r="J9" s="1955" t="s">
        <v>320</v>
      </c>
      <c r="M9" s="66"/>
    </row>
    <row r="10" spans="1:14" s="268" customFormat="1">
      <c r="A10" s="891">
        <f>+A9+1</f>
        <v>2</v>
      </c>
      <c r="B10" s="923" t="s">
        <v>28</v>
      </c>
      <c r="C10" s="1947"/>
      <c r="D10" s="1947"/>
      <c r="E10" s="1947"/>
      <c r="F10" s="78">
        <v>1780615.86</v>
      </c>
      <c r="G10" s="78">
        <v>1684348.7089763281</v>
      </c>
      <c r="H10" s="1744">
        <v>1901744.4</v>
      </c>
      <c r="I10" s="1956">
        <v>1798928.56</v>
      </c>
      <c r="J10" s="185"/>
    </row>
    <row r="11" spans="1:14" s="268" customFormat="1">
      <c r="A11" s="891">
        <f t="shared" ref="A11:A26" si="0">+A10+1</f>
        <v>3</v>
      </c>
      <c r="B11" s="923" t="s">
        <v>29</v>
      </c>
      <c r="C11" s="1947"/>
      <c r="D11" s="1947"/>
      <c r="E11" s="1947"/>
      <c r="F11" s="78">
        <v>1550432</v>
      </c>
      <c r="G11" s="78">
        <v>1519120.4094439673</v>
      </c>
      <c r="H11" s="1744">
        <v>1531664.33</v>
      </c>
      <c r="I11" s="1956">
        <v>1500731.76</v>
      </c>
      <c r="J11" s="185"/>
    </row>
    <row r="12" spans="1:14" s="268" customFormat="1">
      <c r="A12" s="891">
        <f t="shared" si="0"/>
        <v>4</v>
      </c>
      <c r="B12" s="923" t="s">
        <v>30</v>
      </c>
      <c r="C12" s="1947"/>
      <c r="D12" s="1947"/>
      <c r="E12" s="1947"/>
      <c r="F12" s="78">
        <v>1434047.46</v>
      </c>
      <c r="G12" s="78">
        <v>1434047.46</v>
      </c>
      <c r="H12" s="1744">
        <v>1806772.09</v>
      </c>
      <c r="I12" s="78">
        <v>1806772.09</v>
      </c>
      <c r="J12" s="185"/>
    </row>
    <row r="13" spans="1:14" s="268" customFormat="1">
      <c r="A13" s="891">
        <f t="shared" si="0"/>
        <v>5</v>
      </c>
      <c r="B13" s="923" t="s">
        <v>31</v>
      </c>
      <c r="C13" s="1947"/>
      <c r="D13" s="1947"/>
      <c r="E13" s="1947"/>
      <c r="F13" s="78">
        <v>1300169.6000000001</v>
      </c>
      <c r="G13" s="78">
        <v>1300169.6000000001</v>
      </c>
      <c r="H13" s="1744">
        <v>1505836.29</v>
      </c>
      <c r="I13" s="78">
        <v>1505836.29</v>
      </c>
      <c r="J13" s="185"/>
    </row>
    <row r="14" spans="1:14" s="268" customFormat="1">
      <c r="A14" s="891">
        <f t="shared" si="0"/>
        <v>6</v>
      </c>
      <c r="B14" s="923" t="s">
        <v>27</v>
      </c>
      <c r="C14" s="1947"/>
      <c r="D14" s="1947"/>
      <c r="E14" s="1947"/>
      <c r="F14" s="78">
        <v>1431967.98</v>
      </c>
      <c r="G14" s="78">
        <v>1431967.98</v>
      </c>
      <c r="H14" s="1744">
        <v>1746854.81</v>
      </c>
      <c r="I14" s="78">
        <v>1746854.81</v>
      </c>
      <c r="J14" s="185"/>
    </row>
    <row r="15" spans="1:14" s="268" customFormat="1">
      <c r="A15" s="891">
        <f t="shared" si="0"/>
        <v>7</v>
      </c>
      <c r="B15" s="923" t="s">
        <v>32</v>
      </c>
      <c r="C15" s="1947"/>
      <c r="D15" s="1947"/>
      <c r="E15" s="1947"/>
      <c r="F15" s="78">
        <v>1900451.77</v>
      </c>
      <c r="G15" s="78">
        <v>1900451.77</v>
      </c>
      <c r="H15" s="1744">
        <v>1937416.38</v>
      </c>
      <c r="I15" s="78">
        <v>1937416.38</v>
      </c>
      <c r="J15" s="185"/>
    </row>
    <row r="16" spans="1:14" s="268" customFormat="1">
      <c r="A16" s="891">
        <f t="shared" si="0"/>
        <v>8</v>
      </c>
      <c r="B16" s="923" t="s">
        <v>33</v>
      </c>
      <c r="C16" s="1947"/>
      <c r="D16" s="1947"/>
      <c r="E16" s="1947"/>
      <c r="F16" s="78">
        <v>1982286.98</v>
      </c>
      <c r="G16" s="78">
        <v>1982286.98</v>
      </c>
      <c r="H16" s="1744">
        <v>2127107.11</v>
      </c>
      <c r="I16" s="78">
        <v>2127107.11</v>
      </c>
      <c r="J16" s="185"/>
    </row>
    <row r="17" spans="1:14" s="268" customFormat="1">
      <c r="A17" s="891">
        <f t="shared" si="0"/>
        <v>9</v>
      </c>
      <c r="B17" s="923" t="s">
        <v>34</v>
      </c>
      <c r="C17" s="1947"/>
      <c r="D17" s="1947"/>
      <c r="E17" s="1947"/>
      <c r="F17" s="78">
        <v>1985904.41</v>
      </c>
      <c r="G17" s="78">
        <v>1985904.41</v>
      </c>
      <c r="H17" s="1744">
        <v>2540558.9300000002</v>
      </c>
      <c r="I17" s="78">
        <v>2540558.9300000002</v>
      </c>
      <c r="J17" s="185"/>
    </row>
    <row r="18" spans="1:14" s="268" customFormat="1">
      <c r="A18" s="891">
        <f t="shared" si="0"/>
        <v>10</v>
      </c>
      <c r="B18" s="923" t="s">
        <v>35</v>
      </c>
      <c r="C18" s="1947"/>
      <c r="D18" s="1947"/>
      <c r="E18" s="1947"/>
      <c r="F18" s="78">
        <v>1825950.04</v>
      </c>
      <c r="G18" s="78">
        <v>1825950.04</v>
      </c>
      <c r="H18" s="1744">
        <v>2039402.37</v>
      </c>
      <c r="I18" s="78">
        <v>2039402.37</v>
      </c>
      <c r="J18" s="185"/>
    </row>
    <row r="19" spans="1:14" s="268" customFormat="1">
      <c r="A19" s="891">
        <f t="shared" si="0"/>
        <v>11</v>
      </c>
      <c r="B19" s="923" t="s">
        <v>36</v>
      </c>
      <c r="C19" s="1947"/>
      <c r="D19" s="1947"/>
      <c r="E19" s="1947"/>
      <c r="F19" s="78">
        <v>1827257.49</v>
      </c>
      <c r="G19" s="78">
        <v>1827257.49</v>
      </c>
      <c r="H19" s="1744">
        <v>1820156.85</v>
      </c>
      <c r="I19" s="78">
        <v>1820156.85</v>
      </c>
      <c r="J19" s="185"/>
    </row>
    <row r="20" spans="1:14" s="268" customFormat="1">
      <c r="A20" s="891">
        <f t="shared" si="0"/>
        <v>12</v>
      </c>
      <c r="B20" s="923" t="s">
        <v>37</v>
      </c>
      <c r="C20" s="1947"/>
      <c r="D20" s="1947"/>
      <c r="E20" s="1947"/>
      <c r="F20" s="78">
        <v>1590066.57</v>
      </c>
      <c r="G20" s="78">
        <v>1590066.57</v>
      </c>
      <c r="H20" s="1744">
        <v>1938347.22</v>
      </c>
      <c r="I20" s="78">
        <v>1938347.22</v>
      </c>
      <c r="J20" s="185"/>
    </row>
    <row r="21" spans="1:14" s="268" customFormat="1">
      <c r="A21" s="891">
        <f t="shared" si="0"/>
        <v>13</v>
      </c>
      <c r="B21" s="923" t="s">
        <v>38</v>
      </c>
      <c r="C21" s="1947"/>
      <c r="D21" s="1947"/>
      <c r="E21" s="1947"/>
      <c r="F21" s="564">
        <v>1395385.34</v>
      </c>
      <c r="G21" s="564">
        <v>1395385.34</v>
      </c>
      <c r="H21" s="1469">
        <v>1692484.27</v>
      </c>
      <c r="I21" s="564">
        <v>1692484.27</v>
      </c>
      <c r="J21" s="1957"/>
    </row>
    <row r="22" spans="1:14" s="268" customFormat="1">
      <c r="A22" s="891">
        <f t="shared" si="0"/>
        <v>14</v>
      </c>
      <c r="B22" s="179" t="s">
        <v>1588</v>
      </c>
      <c r="D22" s="179"/>
      <c r="E22" s="179"/>
      <c r="F22" s="154">
        <f>SUM(F10:F21)</f>
        <v>20004535.5</v>
      </c>
      <c r="G22" s="859">
        <f>SUM(G10:G21)</f>
        <v>19876956.758420296</v>
      </c>
      <c r="H22" s="269">
        <f>SUM(H10:H21)</f>
        <v>22588345.050000001</v>
      </c>
      <c r="I22" s="154">
        <f>SUM(I10:I21)</f>
        <v>22454596.640000001</v>
      </c>
      <c r="J22" s="185"/>
    </row>
    <row r="23" spans="1:14" s="268" customFormat="1">
      <c r="A23" s="891">
        <f t="shared" si="0"/>
        <v>15</v>
      </c>
      <c r="B23" s="179"/>
      <c r="D23" s="179"/>
      <c r="E23" s="179"/>
      <c r="G23" s="1672"/>
      <c r="H23" s="1958"/>
      <c r="L23" s="44"/>
    </row>
    <row r="24" spans="1:14" s="268" customFormat="1">
      <c r="A24" s="891">
        <f t="shared" si="0"/>
        <v>16</v>
      </c>
      <c r="B24" s="2042"/>
      <c r="C24" s="2042"/>
      <c r="D24" s="2042"/>
      <c r="E24" s="2042"/>
      <c r="F24" s="2042"/>
      <c r="G24" s="1672"/>
      <c r="H24" s="43"/>
      <c r="I24" s="1947"/>
      <c r="J24" s="44"/>
      <c r="K24" s="84"/>
    </row>
    <row r="25" spans="1:14" s="268" customFormat="1">
      <c r="A25" s="891">
        <f t="shared" si="0"/>
        <v>17</v>
      </c>
      <c r="D25" s="180"/>
      <c r="E25" s="180"/>
      <c r="F25" s="43"/>
      <c r="G25" s="1672"/>
      <c r="H25" s="1950"/>
      <c r="I25" s="1947"/>
      <c r="J25" s="44"/>
      <c r="K25" s="44"/>
      <c r="L25" s="44"/>
    </row>
    <row r="26" spans="1:14" s="268" customFormat="1">
      <c r="A26" s="891">
        <f t="shared" si="0"/>
        <v>18</v>
      </c>
      <c r="B26" s="1041"/>
      <c r="C26" s="1947"/>
      <c r="D26" s="180"/>
      <c r="E26" s="179"/>
      <c r="F26" s="43"/>
      <c r="G26" s="1947" t="s">
        <v>1589</v>
      </c>
      <c r="H26" s="1946" t="s">
        <v>1590</v>
      </c>
      <c r="I26" s="1947" t="s">
        <v>1591</v>
      </c>
      <c r="J26" s="1946" t="s">
        <v>60</v>
      </c>
      <c r="K26" s="1946" t="s">
        <v>437</v>
      </c>
      <c r="L26" s="1946" t="s">
        <v>1283</v>
      </c>
      <c r="M26" s="1946" t="s">
        <v>99</v>
      </c>
      <c r="N26" s="224" t="s">
        <v>1622</v>
      </c>
    </row>
    <row r="27" spans="1:14" s="1967" customFormat="1" ht="26.4">
      <c r="A27" s="1959" t="s">
        <v>622</v>
      </c>
      <c r="B27" s="1959" t="s">
        <v>1592</v>
      </c>
      <c r="C27" s="1960"/>
      <c r="D27" s="1961"/>
      <c r="E27" s="1961"/>
      <c r="F27" s="1962"/>
      <c r="G27" s="1963" t="s">
        <v>1624</v>
      </c>
      <c r="H27" s="1964" t="s">
        <v>1616</v>
      </c>
      <c r="I27" s="1960" t="s">
        <v>1593</v>
      </c>
      <c r="J27" s="1965" t="s">
        <v>1421</v>
      </c>
      <c r="K27" s="1965" t="s">
        <v>1594</v>
      </c>
      <c r="L27" s="1965" t="s">
        <v>1595</v>
      </c>
      <c r="M27" s="1965" t="s">
        <v>1596</v>
      </c>
      <c r="N27" s="1966" t="s">
        <v>1621</v>
      </c>
    </row>
    <row r="28" spans="1:14" s="268" customFormat="1">
      <c r="A28" s="891" t="s">
        <v>1597</v>
      </c>
      <c r="B28" s="2048" t="s">
        <v>1598</v>
      </c>
      <c r="C28" s="2048"/>
      <c r="D28" s="2048"/>
      <c r="E28" s="2048"/>
      <c r="G28" s="269">
        <f>+H28*I28/M28</f>
        <v>19274546.866990093</v>
      </c>
      <c r="H28" s="1968">
        <v>21780834.694895923</v>
      </c>
      <c r="I28" s="195">
        <f>+L28-K28+1</f>
        <v>323</v>
      </c>
      <c r="J28" s="1969">
        <v>0.12379999999999999</v>
      </c>
      <c r="K28" s="1970">
        <v>42047</v>
      </c>
      <c r="L28" s="1970">
        <v>42369</v>
      </c>
      <c r="M28" s="1946">
        <v>365</v>
      </c>
      <c r="N28" s="1971">
        <f>+I28/M28*J28</f>
        <v>0.10955452054794521</v>
      </c>
    </row>
    <row r="29" spans="1:14" s="268" customFormat="1">
      <c r="A29" s="891" t="s">
        <v>1599</v>
      </c>
      <c r="B29" s="2048"/>
      <c r="C29" s="2048"/>
      <c r="D29" s="2048"/>
      <c r="E29" s="2048"/>
      <c r="G29" s="78">
        <f>+H29*I29/M29</f>
        <v>288888.46920266282</v>
      </c>
      <c r="H29" s="1968">
        <v>21088858.251794387</v>
      </c>
      <c r="I29" s="1972">
        <f>+L29-K29+1</f>
        <v>5</v>
      </c>
      <c r="J29" s="1969">
        <v>0.1032</v>
      </c>
      <c r="K29" s="1970">
        <v>42005</v>
      </c>
      <c r="L29" s="1970">
        <v>42009</v>
      </c>
      <c r="M29" s="1946">
        <v>365</v>
      </c>
      <c r="N29" s="1971">
        <f t="shared" ref="N29:N30" si="1">+I29/M29*J29</f>
        <v>1.4136986301369861E-3</v>
      </c>
    </row>
    <row r="30" spans="1:14" s="268" customFormat="1">
      <c r="A30" s="891" t="s">
        <v>1600</v>
      </c>
      <c r="B30" s="2048"/>
      <c r="C30" s="2048"/>
      <c r="D30" s="2048"/>
      <c r="E30" s="2048"/>
      <c r="G30" s="564">
        <f t="shared" ref="G30" si="2">+H30*I30/M30</f>
        <v>2154800.2927904599</v>
      </c>
      <c r="H30" s="1968">
        <v>21256813.699149132</v>
      </c>
      <c r="I30" s="1973">
        <f t="shared" ref="I30" si="3">+L30-K30+1</f>
        <v>37</v>
      </c>
      <c r="J30" s="1969">
        <v>0.1082</v>
      </c>
      <c r="K30" s="1970">
        <v>42010</v>
      </c>
      <c r="L30" s="1970">
        <v>42046</v>
      </c>
      <c r="M30" s="1946">
        <v>365</v>
      </c>
      <c r="N30" s="1974">
        <f t="shared" si="1"/>
        <v>1.0968219178082193E-2</v>
      </c>
    </row>
    <row r="31" spans="1:14" s="268" customFormat="1">
      <c r="A31" s="1959" t="s">
        <v>1601</v>
      </c>
      <c r="B31" s="1950" t="s">
        <v>114</v>
      </c>
      <c r="C31" s="1947"/>
      <c r="D31" s="180"/>
      <c r="E31" s="179"/>
      <c r="F31" s="43"/>
      <c r="G31" s="43"/>
      <c r="H31" s="44"/>
      <c r="I31" s="1947">
        <f>SUM(I28:I30)</f>
        <v>365</v>
      </c>
      <c r="J31" s="44"/>
      <c r="K31" s="44"/>
      <c r="L31" s="44"/>
      <c r="M31" s="44"/>
      <c r="N31" s="1971">
        <f>SUM(N28:N30)</f>
        <v>0.12193643835616438</v>
      </c>
    </row>
    <row r="32" spans="1:14" s="268" customFormat="1">
      <c r="A32" s="891">
        <f>+A26+1</f>
        <v>19</v>
      </c>
      <c r="B32" s="2042" t="s">
        <v>1791</v>
      </c>
      <c r="C32" s="2042"/>
      <c r="D32" s="2042"/>
      <c r="E32" s="2042"/>
      <c r="F32" s="43"/>
      <c r="G32" s="1956">
        <f>SUM(G28:G31)</f>
        <v>21718235.628983218</v>
      </c>
      <c r="H32" s="1975" t="s">
        <v>1602</v>
      </c>
      <c r="I32" s="1198"/>
      <c r="J32" s="44"/>
      <c r="K32" s="44"/>
      <c r="L32" s="44"/>
      <c r="M32" s="44"/>
    </row>
    <row r="33" spans="1:14" s="268" customFormat="1" ht="15">
      <c r="A33" s="891"/>
      <c r="B33" s="2042"/>
      <c r="C33" s="2042"/>
      <c r="D33" s="2042"/>
      <c r="E33" s="2042"/>
      <c r="F33" s="1947"/>
      <c r="G33" s="487"/>
      <c r="H33" s="1950"/>
      <c r="I33" s="1947"/>
      <c r="J33" s="44"/>
      <c r="K33" s="44"/>
      <c r="L33" s="44"/>
      <c r="M33" s="44"/>
    </row>
    <row r="34" spans="1:14" s="268" customFormat="1">
      <c r="A34" s="44"/>
      <c r="B34" s="43"/>
      <c r="C34" s="488"/>
      <c r="D34" s="499"/>
      <c r="E34" s="489"/>
      <c r="F34" s="490"/>
      <c r="G34" s="491"/>
      <c r="H34" s="497"/>
      <c r="I34" s="490"/>
      <c r="J34" s="44"/>
      <c r="K34" s="44"/>
      <c r="L34" s="44"/>
      <c r="M34" s="44"/>
    </row>
    <row r="35" spans="1:14" s="268" customFormat="1">
      <c r="A35" s="44" t="s">
        <v>125</v>
      </c>
      <c r="B35" s="43"/>
      <c r="C35" s="488"/>
      <c r="D35" s="499"/>
      <c r="E35" s="489"/>
      <c r="F35" s="490"/>
      <c r="G35" s="491"/>
      <c r="H35" s="497"/>
      <c r="I35" s="490"/>
      <c r="J35" s="44"/>
      <c r="K35" s="44"/>
      <c r="L35" s="44"/>
      <c r="M35" s="44"/>
    </row>
    <row r="36" spans="1:14" s="268" customFormat="1">
      <c r="A36" s="1691" t="s">
        <v>171</v>
      </c>
      <c r="B36" s="43" t="s">
        <v>1603</v>
      </c>
      <c r="C36" s="488"/>
      <c r="D36" s="499"/>
      <c r="E36" s="489"/>
      <c r="F36" s="490"/>
      <c r="G36" s="491"/>
      <c r="H36" s="497"/>
      <c r="I36" s="490"/>
      <c r="J36" s="44"/>
      <c r="K36" s="44"/>
      <c r="L36" s="44"/>
      <c r="M36" s="44"/>
    </row>
    <row r="37" spans="1:14" s="268" customFormat="1">
      <c r="A37" s="44"/>
      <c r="B37" s="1962" t="s">
        <v>1604</v>
      </c>
      <c r="C37" s="1967" t="s">
        <v>1605</v>
      </c>
      <c r="D37" s="499"/>
      <c r="E37" s="489"/>
      <c r="F37" s="490"/>
      <c r="G37" s="491"/>
      <c r="H37" s="497"/>
      <c r="I37" s="490"/>
      <c r="J37" s="44"/>
      <c r="K37" s="44"/>
      <c r="L37" s="44"/>
      <c r="M37" s="44"/>
    </row>
    <row r="38" spans="1:14" s="268" customFormat="1">
      <c r="A38" s="44"/>
      <c r="B38" s="1976" t="str">
        <f>A28</f>
        <v>18b</v>
      </c>
      <c r="C38" s="43" t="s">
        <v>1606</v>
      </c>
      <c r="D38" s="499"/>
      <c r="E38" s="489"/>
      <c r="F38" s="490"/>
      <c r="G38" s="491"/>
      <c r="H38" s="497"/>
      <c r="I38" s="490"/>
      <c r="J38" s="44"/>
      <c r="K38" s="44"/>
      <c r="L38" s="44"/>
      <c r="M38" s="44"/>
    </row>
    <row r="39" spans="1:14" s="268" customFormat="1">
      <c r="A39" s="44"/>
      <c r="B39" s="1976" t="str">
        <f t="shared" ref="B39:B40" si="4">A29</f>
        <v>18c</v>
      </c>
      <c r="C39" s="43" t="s">
        <v>1607</v>
      </c>
      <c r="D39" s="499"/>
      <c r="E39" s="489"/>
      <c r="F39" s="490"/>
      <c r="G39" s="491"/>
      <c r="H39" s="497"/>
      <c r="I39" s="490"/>
      <c r="J39" s="44"/>
      <c r="K39" s="44"/>
      <c r="L39" s="44"/>
      <c r="M39" s="44"/>
    </row>
    <row r="40" spans="1:14" s="268" customFormat="1">
      <c r="A40" s="44"/>
      <c r="B40" s="1976" t="str">
        <f t="shared" si="4"/>
        <v>18d</v>
      </c>
      <c r="C40" s="43" t="s">
        <v>1608</v>
      </c>
      <c r="D40" s="499"/>
      <c r="E40" s="489"/>
      <c r="F40" s="490"/>
      <c r="G40" s="491"/>
      <c r="H40" s="497"/>
      <c r="I40" s="490"/>
      <c r="J40" s="44"/>
      <c r="K40" s="44"/>
      <c r="L40" s="44"/>
      <c r="M40" s="44"/>
    </row>
    <row r="41" spans="1:14" s="268" customFormat="1">
      <c r="A41" s="44"/>
      <c r="B41" s="44"/>
      <c r="C41" s="488"/>
      <c r="D41" s="499"/>
      <c r="E41" s="489"/>
      <c r="F41" s="490"/>
      <c r="G41" s="491"/>
      <c r="H41" s="497"/>
      <c r="I41" s="490"/>
      <c r="J41" s="44"/>
      <c r="K41" s="44"/>
      <c r="L41" s="44"/>
      <c r="M41" s="44"/>
    </row>
    <row r="42" spans="1:14" s="1948" customFormat="1" ht="40.799999999999997" customHeight="1">
      <c r="A42" s="1977" t="s">
        <v>320</v>
      </c>
      <c r="B42" s="2049" t="s">
        <v>1623</v>
      </c>
      <c r="C42" s="2049"/>
      <c r="D42" s="2049"/>
      <c r="E42" s="2049"/>
      <c r="F42" s="2049"/>
      <c r="G42" s="2049"/>
      <c r="H42" s="2049"/>
      <c r="I42" s="2049"/>
      <c r="J42" s="2049"/>
      <c r="K42" s="2049"/>
      <c r="L42" s="2049"/>
      <c r="M42" s="2049"/>
      <c r="N42" s="2049"/>
    </row>
    <row r="43" spans="1:14" s="268" customFormat="1">
      <c r="A43" s="44"/>
      <c r="B43" s="44"/>
      <c r="C43" s="488"/>
      <c r="D43" s="499"/>
      <c r="E43" s="489"/>
      <c r="F43" s="490"/>
      <c r="G43" s="491"/>
      <c r="H43" s="497"/>
      <c r="I43" s="490"/>
      <c r="J43" s="44"/>
      <c r="K43" s="44"/>
      <c r="L43" s="44"/>
      <c r="M43" s="44"/>
    </row>
    <row r="44" spans="1:14" s="268" customFormat="1">
      <c r="A44" s="44"/>
      <c r="B44" s="44"/>
      <c r="C44" s="488"/>
      <c r="D44" s="499"/>
      <c r="E44" s="489"/>
      <c r="F44" s="490"/>
      <c r="G44" s="491"/>
      <c r="H44" s="497"/>
      <c r="I44" s="490"/>
      <c r="J44" s="44"/>
      <c r="K44" s="44"/>
      <c r="L44" s="44"/>
      <c r="M44" s="44"/>
    </row>
    <row r="45" spans="1:14" s="268" customFormat="1">
      <c r="A45" s="44"/>
      <c r="B45" s="44"/>
      <c r="C45" s="488"/>
      <c r="D45" s="499"/>
      <c r="E45" s="489"/>
      <c r="F45" s="490"/>
      <c r="G45" s="491"/>
      <c r="H45" s="497"/>
      <c r="I45" s="490"/>
      <c r="J45" s="44"/>
      <c r="K45" s="44"/>
      <c r="L45" s="44"/>
      <c r="M45" s="44"/>
    </row>
    <row r="46" spans="1:14" s="268" customFormat="1">
      <c r="A46" s="44"/>
      <c r="B46" s="44"/>
      <c r="C46" s="488"/>
      <c r="D46" s="499"/>
      <c r="E46" s="489"/>
      <c r="F46" s="490"/>
      <c r="G46" s="491"/>
      <c r="H46" s="497"/>
      <c r="I46" s="490"/>
      <c r="J46" s="44"/>
      <c r="K46" s="44"/>
      <c r="L46" s="44"/>
      <c r="M46" s="44"/>
    </row>
    <row r="47" spans="1:14" s="268" customFormat="1">
      <c r="A47" s="44"/>
      <c r="B47" s="44"/>
      <c r="C47" s="488"/>
      <c r="D47" s="499"/>
      <c r="E47" s="489"/>
      <c r="F47" s="490"/>
      <c r="G47" s="491"/>
      <c r="H47" s="497"/>
      <c r="I47" s="490"/>
      <c r="J47" s="44"/>
      <c r="K47" s="44"/>
      <c r="L47" s="44"/>
      <c r="M47" s="44"/>
    </row>
    <row r="48" spans="1:14" s="268" customFormat="1">
      <c r="A48" s="44"/>
      <c r="B48" s="44"/>
      <c r="C48" s="488"/>
      <c r="D48" s="499"/>
      <c r="E48" s="489"/>
      <c r="F48" s="490"/>
      <c r="G48" s="491"/>
      <c r="H48" s="497"/>
      <c r="I48" s="490"/>
      <c r="J48" s="44"/>
      <c r="K48" s="44"/>
      <c r="L48" s="44"/>
      <c r="M48" s="44"/>
    </row>
    <row r="49" spans="1:26" s="268" customFormat="1">
      <c r="A49" s="44"/>
      <c r="B49" s="44"/>
      <c r="C49" s="488"/>
      <c r="D49" s="499"/>
      <c r="E49" s="489"/>
      <c r="F49" s="490"/>
      <c r="G49" s="491"/>
      <c r="H49" s="497"/>
      <c r="I49" s="490"/>
      <c r="J49" s="44"/>
      <c r="K49" s="44"/>
      <c r="L49" s="44"/>
      <c r="M49" s="44"/>
    </row>
    <row r="50" spans="1:26" s="268" customFormat="1">
      <c r="A50" s="44"/>
      <c r="B50" s="44"/>
      <c r="C50" s="488"/>
      <c r="D50" s="499"/>
      <c r="E50" s="489"/>
      <c r="F50" s="490"/>
      <c r="G50" s="491"/>
      <c r="H50" s="497"/>
      <c r="I50" s="490"/>
      <c r="J50" s="44"/>
      <c r="K50" s="44"/>
      <c r="L50" s="44"/>
      <c r="M50" s="44"/>
    </row>
    <row r="51" spans="1:26" s="268" customFormat="1">
      <c r="A51" s="44"/>
      <c r="B51" s="44"/>
      <c r="C51" s="488"/>
      <c r="D51" s="499"/>
      <c r="E51" s="489"/>
      <c r="F51" s="490"/>
      <c r="G51" s="491"/>
      <c r="H51" s="497"/>
      <c r="I51" s="490"/>
      <c r="J51" s="44"/>
      <c r="K51" s="44"/>
      <c r="L51" s="44"/>
      <c r="M51" s="44"/>
    </row>
    <row r="52" spans="1:26">
      <c r="C52" s="488"/>
      <c r="D52" s="499"/>
      <c r="E52" s="489"/>
      <c r="F52" s="490"/>
      <c r="G52" s="491"/>
      <c r="H52" s="497"/>
      <c r="I52" s="490"/>
      <c r="N52" s="80"/>
      <c r="O52" s="80"/>
      <c r="P52" s="80"/>
      <c r="Q52" s="80"/>
      <c r="R52" s="80"/>
      <c r="S52" s="80"/>
      <c r="T52" s="80"/>
      <c r="U52" s="80"/>
      <c r="V52" s="80"/>
      <c r="W52" s="80"/>
      <c r="X52" s="80"/>
      <c r="Y52" s="80"/>
      <c r="Z52" s="80"/>
    </row>
    <row r="53" spans="1:26">
      <c r="C53" s="488"/>
      <c r="D53" s="499"/>
      <c r="E53" s="489"/>
      <c r="F53" s="490"/>
      <c r="G53" s="491"/>
      <c r="H53" s="497"/>
      <c r="I53" s="490"/>
      <c r="N53" s="80"/>
      <c r="O53" s="80"/>
      <c r="P53" s="80"/>
      <c r="Q53" s="80"/>
      <c r="R53" s="80"/>
      <c r="S53" s="80"/>
      <c r="T53" s="80"/>
      <c r="U53" s="80"/>
      <c r="V53" s="80"/>
      <c r="W53" s="80"/>
      <c r="X53" s="80"/>
      <c r="Y53" s="80"/>
      <c r="Z53" s="80"/>
    </row>
    <row r="54" spans="1:26">
      <c r="C54" s="488"/>
      <c r="D54" s="499"/>
      <c r="E54" s="489"/>
      <c r="F54" s="490"/>
      <c r="G54" s="491"/>
      <c r="H54" s="497"/>
      <c r="I54" s="490"/>
      <c r="N54" s="80"/>
      <c r="O54" s="80"/>
      <c r="P54" s="80"/>
      <c r="Q54" s="80"/>
      <c r="R54" s="80"/>
      <c r="S54" s="80"/>
      <c r="T54" s="80"/>
      <c r="U54" s="80"/>
      <c r="V54" s="80"/>
      <c r="W54" s="80"/>
      <c r="X54" s="80"/>
      <c r="Y54" s="80"/>
      <c r="Z54" s="80"/>
    </row>
    <row r="55" spans="1:26">
      <c r="C55" s="488"/>
      <c r="D55" s="499"/>
      <c r="E55" s="489"/>
      <c r="F55" s="490"/>
      <c r="G55" s="491"/>
      <c r="H55" s="497"/>
      <c r="I55" s="490"/>
      <c r="N55" s="80"/>
      <c r="O55" s="80"/>
      <c r="P55" s="80"/>
      <c r="Q55" s="80"/>
      <c r="R55" s="80"/>
      <c r="S55" s="80"/>
      <c r="T55" s="80"/>
      <c r="U55" s="80"/>
      <c r="V55" s="80"/>
      <c r="W55" s="80"/>
      <c r="X55" s="80"/>
      <c r="Y55" s="80"/>
      <c r="Z55" s="80"/>
    </row>
    <row r="56" spans="1:26">
      <c r="C56" s="488"/>
      <c r="D56" s="499"/>
      <c r="E56" s="489"/>
      <c r="F56" s="490"/>
      <c r="G56" s="491"/>
      <c r="H56" s="497"/>
      <c r="I56" s="490"/>
      <c r="N56" s="80"/>
      <c r="O56" s="80"/>
      <c r="P56" s="80"/>
      <c r="Q56" s="80"/>
      <c r="R56" s="80"/>
      <c r="S56" s="80"/>
      <c r="T56" s="80"/>
      <c r="U56" s="80"/>
      <c r="V56" s="80"/>
      <c r="W56" s="80"/>
      <c r="X56" s="80"/>
      <c r="Y56" s="80"/>
      <c r="Z56" s="80"/>
    </row>
    <row r="57" spans="1:26">
      <c r="C57" s="488"/>
      <c r="D57" s="499"/>
      <c r="E57" s="489"/>
      <c r="F57" s="490"/>
      <c r="G57" s="491"/>
      <c r="H57" s="497"/>
      <c r="I57" s="490"/>
      <c r="N57" s="80"/>
      <c r="O57" s="80"/>
      <c r="P57" s="80"/>
      <c r="Q57" s="80"/>
      <c r="R57" s="80"/>
      <c r="S57" s="80"/>
      <c r="T57" s="80"/>
      <c r="U57" s="80"/>
      <c r="V57" s="80"/>
      <c r="W57" s="80"/>
      <c r="X57" s="80"/>
      <c r="Y57" s="80"/>
      <c r="Z57" s="80"/>
    </row>
    <row r="58" spans="1:26">
      <c r="C58" s="488"/>
      <c r="D58" s="499"/>
      <c r="E58" s="489"/>
      <c r="F58" s="490"/>
      <c r="G58" s="491"/>
      <c r="H58" s="497"/>
      <c r="I58" s="490"/>
      <c r="N58" s="80"/>
      <c r="O58" s="80"/>
      <c r="P58" s="80"/>
      <c r="Q58" s="80"/>
      <c r="R58" s="80"/>
      <c r="S58" s="80"/>
      <c r="T58" s="80"/>
      <c r="U58" s="80"/>
      <c r="V58" s="80"/>
      <c r="W58" s="80"/>
      <c r="X58" s="80"/>
      <c r="Y58" s="80"/>
      <c r="Z58" s="80"/>
    </row>
    <row r="59" spans="1:26">
      <c r="C59" s="488"/>
      <c r="D59" s="499"/>
      <c r="E59" s="489"/>
      <c r="F59" s="490"/>
      <c r="G59" s="491"/>
      <c r="H59" s="497"/>
      <c r="I59" s="490"/>
      <c r="N59" s="80"/>
      <c r="O59" s="80"/>
      <c r="P59" s="80"/>
      <c r="Q59" s="80"/>
      <c r="R59" s="80"/>
      <c r="S59" s="80"/>
      <c r="T59" s="80"/>
      <c r="U59" s="80"/>
      <c r="V59" s="80"/>
      <c r="W59" s="80"/>
      <c r="X59" s="80"/>
      <c r="Y59" s="80"/>
      <c r="Z59" s="80"/>
    </row>
    <row r="60" spans="1:26">
      <c r="B60" s="66"/>
      <c r="C60" s="488"/>
      <c r="D60" s="499"/>
      <c r="E60" s="489"/>
      <c r="F60" s="490"/>
      <c r="G60" s="491"/>
      <c r="H60" s="497"/>
      <c r="I60" s="490"/>
      <c r="N60" s="80"/>
      <c r="O60" s="80"/>
      <c r="P60" s="80"/>
      <c r="Q60" s="80"/>
      <c r="R60" s="80"/>
      <c r="S60" s="80"/>
      <c r="T60" s="80"/>
      <c r="U60" s="80"/>
      <c r="V60" s="80"/>
      <c r="W60" s="80"/>
      <c r="X60" s="80"/>
      <c r="Y60" s="80"/>
      <c r="Z60" s="80"/>
    </row>
    <row r="61" spans="1:26">
      <c r="A61" s="66"/>
      <c r="B61" s="66"/>
      <c r="C61" s="488"/>
      <c r="D61" s="499"/>
      <c r="E61" s="489"/>
      <c r="F61" s="490"/>
      <c r="G61" s="491"/>
      <c r="H61" s="497"/>
      <c r="I61" s="490"/>
      <c r="N61" s="80"/>
      <c r="O61" s="80"/>
      <c r="P61" s="80"/>
      <c r="Q61" s="80"/>
      <c r="R61" s="80"/>
      <c r="S61" s="80"/>
      <c r="T61" s="80"/>
      <c r="U61" s="80"/>
      <c r="V61" s="80"/>
      <c r="W61" s="80"/>
      <c r="X61" s="80"/>
      <c r="Y61" s="80"/>
      <c r="Z61" s="80"/>
    </row>
    <row r="62" spans="1:26">
      <c r="A62" s="66"/>
      <c r="B62" s="66"/>
      <c r="C62" s="488"/>
      <c r="D62" s="499"/>
      <c r="E62" s="489"/>
      <c r="F62" s="490"/>
      <c r="G62" s="491"/>
      <c r="H62" s="497"/>
      <c r="I62" s="490"/>
      <c r="N62" s="80"/>
      <c r="O62" s="80"/>
      <c r="P62" s="80"/>
      <c r="Q62" s="80"/>
      <c r="R62" s="80"/>
      <c r="S62" s="80"/>
      <c r="T62" s="80"/>
      <c r="U62" s="80"/>
      <c r="V62" s="80"/>
      <c r="W62" s="80"/>
      <c r="X62" s="80"/>
      <c r="Y62" s="80"/>
      <c r="Z62" s="80"/>
    </row>
    <row r="63" spans="1:26">
      <c r="A63" s="66"/>
      <c r="B63" s="66"/>
      <c r="C63" s="488"/>
      <c r="D63" s="499"/>
      <c r="E63" s="489"/>
      <c r="F63" s="490"/>
      <c r="G63" s="491"/>
      <c r="H63" s="497"/>
      <c r="I63" s="490"/>
      <c r="N63" s="80"/>
      <c r="O63" s="80"/>
      <c r="P63" s="80"/>
      <c r="Q63" s="80"/>
      <c r="R63" s="80"/>
      <c r="S63" s="80"/>
      <c r="T63" s="80"/>
      <c r="U63" s="80"/>
      <c r="V63" s="80"/>
      <c r="W63" s="80"/>
      <c r="X63" s="80"/>
      <c r="Y63" s="80"/>
      <c r="Z63" s="80"/>
    </row>
    <row r="64" spans="1:26">
      <c r="A64" s="66"/>
      <c r="B64" s="66"/>
      <c r="C64" s="488"/>
      <c r="D64" s="499"/>
      <c r="E64" s="489"/>
      <c r="F64" s="490"/>
      <c r="G64" s="491"/>
      <c r="H64" s="497"/>
      <c r="I64" s="490"/>
      <c r="N64" s="80"/>
      <c r="O64" s="80"/>
      <c r="P64" s="80"/>
      <c r="Q64" s="80"/>
      <c r="R64" s="80"/>
      <c r="S64" s="80"/>
      <c r="T64" s="80"/>
      <c r="U64" s="80"/>
      <c r="V64" s="80"/>
      <c r="W64" s="80"/>
      <c r="X64" s="80"/>
      <c r="Y64" s="80"/>
      <c r="Z64" s="80"/>
    </row>
    <row r="65" spans="1:26">
      <c r="A65" s="66"/>
      <c r="B65" s="66"/>
      <c r="C65" s="488"/>
      <c r="D65" s="499"/>
      <c r="E65" s="489"/>
      <c r="F65" s="490"/>
      <c r="G65" s="491"/>
      <c r="H65" s="497"/>
      <c r="I65" s="490"/>
      <c r="N65" s="80"/>
      <c r="O65" s="80"/>
      <c r="P65" s="80"/>
      <c r="Q65" s="80"/>
      <c r="R65" s="80"/>
      <c r="S65" s="80"/>
      <c r="T65" s="80"/>
      <c r="U65" s="80"/>
      <c r="V65" s="80"/>
      <c r="W65" s="80"/>
      <c r="X65" s="80"/>
      <c r="Y65" s="80"/>
      <c r="Z65" s="80"/>
    </row>
    <row r="66" spans="1:26">
      <c r="A66" s="66"/>
      <c r="B66" s="66"/>
      <c r="C66" s="488"/>
      <c r="D66" s="499"/>
      <c r="E66" s="489"/>
      <c r="F66" s="490"/>
      <c r="G66" s="491"/>
      <c r="H66" s="497"/>
      <c r="I66" s="490"/>
      <c r="N66" s="80"/>
      <c r="O66" s="80"/>
      <c r="P66" s="80"/>
      <c r="Q66" s="80"/>
      <c r="R66" s="80"/>
      <c r="S66" s="80"/>
      <c r="T66" s="80"/>
      <c r="U66" s="80"/>
      <c r="V66" s="80"/>
      <c r="W66" s="80"/>
      <c r="X66" s="80"/>
      <c r="Y66" s="80"/>
      <c r="Z66" s="80"/>
    </row>
    <row r="67" spans="1:26">
      <c r="A67" s="66"/>
      <c r="B67" s="66"/>
      <c r="C67" s="488"/>
      <c r="D67" s="499"/>
      <c r="E67" s="489"/>
      <c r="F67" s="490"/>
      <c r="G67" s="491"/>
      <c r="H67" s="497"/>
      <c r="I67" s="490"/>
      <c r="N67" s="80"/>
      <c r="O67" s="80"/>
      <c r="P67" s="80"/>
      <c r="Q67" s="80"/>
      <c r="R67" s="80"/>
      <c r="S67" s="80"/>
      <c r="T67" s="80"/>
      <c r="U67" s="80"/>
      <c r="V67" s="80"/>
      <c r="W67" s="80"/>
      <c r="X67" s="80"/>
      <c r="Y67" s="80"/>
      <c r="Z67" s="80"/>
    </row>
    <row r="68" spans="1:26">
      <c r="A68" s="66"/>
      <c r="B68" s="66"/>
      <c r="C68" s="488"/>
      <c r="D68" s="499"/>
      <c r="E68" s="489"/>
      <c r="F68" s="490"/>
      <c r="G68" s="491"/>
      <c r="H68" s="497"/>
      <c r="I68" s="490"/>
      <c r="N68" s="80"/>
      <c r="O68" s="80"/>
      <c r="P68" s="80"/>
      <c r="Q68" s="80"/>
      <c r="R68" s="80"/>
      <c r="S68" s="80"/>
      <c r="T68" s="80"/>
      <c r="U68" s="80"/>
      <c r="V68" s="80"/>
      <c r="W68" s="80"/>
      <c r="X68" s="80"/>
      <c r="Y68" s="80"/>
      <c r="Z68" s="80"/>
    </row>
    <row r="69" spans="1:26">
      <c r="A69" s="66"/>
      <c r="B69" s="66"/>
      <c r="C69" s="488"/>
      <c r="D69" s="499"/>
      <c r="E69" s="489"/>
      <c r="F69" s="490"/>
      <c r="G69" s="491"/>
      <c r="H69" s="497"/>
      <c r="I69" s="490"/>
      <c r="N69" s="80"/>
      <c r="O69" s="80"/>
      <c r="P69" s="80"/>
      <c r="Q69" s="80"/>
      <c r="R69" s="80"/>
      <c r="S69" s="80"/>
      <c r="T69" s="80"/>
      <c r="U69" s="80"/>
      <c r="V69" s="80"/>
      <c r="W69" s="80"/>
      <c r="X69" s="80"/>
      <c r="Y69" s="80"/>
      <c r="Z69" s="80"/>
    </row>
    <row r="70" spans="1:26">
      <c r="A70" s="66"/>
      <c r="B70" s="66"/>
      <c r="C70" s="488"/>
      <c r="D70" s="499"/>
      <c r="E70" s="489"/>
      <c r="F70" s="490"/>
      <c r="G70" s="491"/>
      <c r="H70" s="497"/>
      <c r="I70" s="490"/>
      <c r="N70" s="80"/>
      <c r="O70" s="80"/>
      <c r="P70" s="80"/>
      <c r="Q70" s="80"/>
      <c r="R70" s="80"/>
      <c r="S70" s="80"/>
      <c r="T70" s="80"/>
      <c r="U70" s="80"/>
      <c r="V70" s="80"/>
      <c r="W70" s="80"/>
      <c r="X70" s="80"/>
      <c r="Y70" s="80"/>
      <c r="Z70" s="80"/>
    </row>
    <row r="71" spans="1:26">
      <c r="A71" s="66"/>
      <c r="B71" s="66"/>
      <c r="C71" s="488"/>
      <c r="D71" s="499"/>
      <c r="E71" s="489"/>
      <c r="F71" s="490"/>
      <c r="G71" s="491"/>
      <c r="H71" s="497"/>
      <c r="I71" s="490"/>
      <c r="N71" s="80"/>
      <c r="O71" s="80"/>
      <c r="P71" s="80"/>
      <c r="Q71" s="80"/>
      <c r="R71" s="80"/>
      <c r="S71" s="80"/>
      <c r="T71" s="80"/>
      <c r="U71" s="80"/>
      <c r="V71" s="80"/>
      <c r="W71" s="80"/>
      <c r="X71" s="80"/>
      <c r="Y71" s="80"/>
      <c r="Z71" s="80"/>
    </row>
    <row r="72" spans="1:26">
      <c r="A72" s="66"/>
      <c r="B72" s="66"/>
      <c r="C72" s="488"/>
      <c r="D72" s="499"/>
      <c r="E72" s="489"/>
      <c r="F72" s="490"/>
      <c r="G72" s="491"/>
      <c r="H72" s="497"/>
      <c r="I72" s="490"/>
      <c r="N72" s="80"/>
      <c r="O72" s="80"/>
      <c r="P72" s="80"/>
      <c r="Q72" s="80"/>
      <c r="R72" s="80"/>
      <c r="S72" s="80"/>
      <c r="T72" s="80"/>
      <c r="U72" s="80"/>
      <c r="V72" s="80"/>
      <c r="W72" s="80"/>
      <c r="X72" s="80"/>
      <c r="Y72" s="80"/>
      <c r="Z72" s="80"/>
    </row>
    <row r="73" spans="1:26">
      <c r="A73" s="66"/>
      <c r="B73" s="66"/>
      <c r="F73" s="500"/>
      <c r="G73" s="500"/>
      <c r="H73" s="500"/>
      <c r="I73" s="500"/>
      <c r="N73" s="80"/>
      <c r="O73" s="80"/>
      <c r="P73" s="80"/>
      <c r="Q73" s="80"/>
      <c r="R73" s="80"/>
      <c r="S73" s="80"/>
      <c r="T73" s="80"/>
      <c r="U73" s="80"/>
      <c r="V73" s="80"/>
      <c r="W73" s="80"/>
      <c r="X73" s="80"/>
      <c r="Y73" s="80"/>
      <c r="Z73" s="80"/>
    </row>
    <row r="74" spans="1:26">
      <c r="A74" s="66"/>
      <c r="B74" s="66"/>
      <c r="N74" s="80"/>
      <c r="O74" s="80"/>
      <c r="P74" s="80"/>
      <c r="Q74" s="80"/>
      <c r="R74" s="80"/>
      <c r="S74" s="80"/>
      <c r="T74" s="80"/>
      <c r="U74" s="80"/>
      <c r="V74" s="80"/>
      <c r="W74" s="80"/>
      <c r="X74" s="80"/>
      <c r="Y74" s="80"/>
      <c r="Z74" s="80"/>
    </row>
    <row r="75" spans="1:26">
      <c r="A75" s="66"/>
      <c r="B75" s="66"/>
      <c r="F75" s="501"/>
      <c r="N75" s="80"/>
      <c r="O75" s="80"/>
      <c r="P75" s="80"/>
      <c r="Q75" s="80"/>
      <c r="R75" s="80"/>
      <c r="S75" s="80"/>
      <c r="T75" s="80"/>
      <c r="U75" s="80"/>
      <c r="V75" s="80"/>
      <c r="W75" s="80"/>
      <c r="X75" s="80"/>
      <c r="Y75" s="80"/>
      <c r="Z75" s="80"/>
    </row>
    <row r="76" spans="1:26">
      <c r="A76" s="66"/>
      <c r="B76" s="66"/>
      <c r="C76" s="66"/>
      <c r="D76" s="66"/>
      <c r="E76" s="66"/>
      <c r="F76" s="501"/>
      <c r="N76" s="80"/>
      <c r="O76" s="80"/>
      <c r="P76" s="80"/>
      <c r="Q76" s="80"/>
      <c r="R76" s="80"/>
      <c r="S76" s="80"/>
      <c r="T76" s="80"/>
      <c r="U76" s="80"/>
      <c r="V76" s="80"/>
      <c r="W76" s="80"/>
      <c r="X76" s="80"/>
      <c r="Y76" s="80"/>
      <c r="Z76" s="80"/>
    </row>
    <row r="77" spans="1:26">
      <c r="A77" s="66"/>
      <c r="B77" s="66"/>
      <c r="C77" s="66"/>
      <c r="D77" s="66"/>
      <c r="E77" s="66"/>
      <c r="F77" s="500"/>
      <c r="N77" s="80"/>
      <c r="O77" s="80"/>
      <c r="P77" s="80"/>
      <c r="Q77" s="80"/>
      <c r="R77" s="80"/>
      <c r="S77" s="80"/>
      <c r="T77" s="80"/>
      <c r="U77" s="80"/>
      <c r="V77" s="80"/>
      <c r="W77" s="80"/>
      <c r="X77" s="80"/>
      <c r="Y77" s="80"/>
      <c r="Z77" s="80"/>
    </row>
    <row r="78" spans="1:26">
      <c r="A78" s="66"/>
      <c r="B78" s="66"/>
      <c r="C78" s="66"/>
      <c r="D78" s="66"/>
      <c r="E78" s="66"/>
      <c r="N78" s="80"/>
      <c r="O78" s="80"/>
      <c r="P78" s="80"/>
      <c r="Q78" s="80"/>
      <c r="R78" s="80"/>
      <c r="S78" s="80"/>
      <c r="T78" s="80"/>
      <c r="U78" s="80"/>
      <c r="V78" s="80"/>
      <c r="W78" s="80"/>
      <c r="X78" s="80"/>
      <c r="Y78" s="80"/>
      <c r="Z78" s="80"/>
    </row>
    <row r="79" spans="1:26">
      <c r="A79" s="66"/>
      <c r="B79" s="66"/>
      <c r="C79" s="66"/>
      <c r="D79" s="66"/>
      <c r="E79" s="66"/>
      <c r="N79" s="80"/>
      <c r="O79" s="80"/>
      <c r="P79" s="80"/>
      <c r="Q79" s="80"/>
      <c r="R79" s="80"/>
      <c r="S79" s="80"/>
      <c r="T79" s="80"/>
      <c r="U79" s="80"/>
      <c r="V79" s="80"/>
      <c r="W79" s="80"/>
      <c r="X79" s="80"/>
      <c r="Y79" s="80"/>
      <c r="Z79" s="80"/>
    </row>
    <row r="80" spans="1:26">
      <c r="A80" s="66"/>
      <c r="B80" s="66"/>
      <c r="C80" s="66"/>
      <c r="D80" s="66"/>
      <c r="E80" s="66"/>
      <c r="N80" s="80"/>
      <c r="O80" s="80"/>
      <c r="P80" s="80"/>
      <c r="Q80" s="80"/>
      <c r="R80" s="80"/>
      <c r="S80" s="80"/>
      <c r="T80" s="80"/>
      <c r="U80" s="80"/>
      <c r="V80" s="80"/>
      <c r="W80" s="80"/>
      <c r="X80" s="80"/>
      <c r="Y80" s="80"/>
      <c r="Z80" s="80"/>
    </row>
    <row r="81" spans="1:26">
      <c r="A81" s="66"/>
      <c r="B81" s="66"/>
      <c r="C81" s="66"/>
      <c r="D81" s="66"/>
      <c r="E81" s="66"/>
      <c r="N81" s="80"/>
      <c r="O81" s="80"/>
      <c r="P81" s="80"/>
      <c r="Q81" s="80"/>
      <c r="R81" s="80"/>
      <c r="S81" s="80"/>
      <c r="T81" s="80"/>
      <c r="U81" s="80"/>
      <c r="V81" s="80"/>
      <c r="W81" s="80"/>
      <c r="X81" s="80"/>
      <c r="Y81" s="80"/>
      <c r="Z81" s="80"/>
    </row>
    <row r="82" spans="1:26">
      <c r="A82" s="66"/>
      <c r="B82" s="66"/>
      <c r="C82" s="66"/>
      <c r="D82" s="66"/>
      <c r="E82" s="66"/>
      <c r="N82" s="80"/>
      <c r="O82" s="80"/>
      <c r="P82" s="80"/>
      <c r="Q82" s="80"/>
      <c r="R82" s="80"/>
      <c r="S82" s="80"/>
      <c r="T82" s="80"/>
      <c r="U82" s="80"/>
      <c r="V82" s="80"/>
      <c r="W82" s="80"/>
      <c r="X82" s="80"/>
      <c r="Y82" s="80"/>
      <c r="Z82" s="80"/>
    </row>
    <row r="83" spans="1:26">
      <c r="A83" s="66"/>
      <c r="B83" s="66"/>
      <c r="C83" s="66"/>
      <c r="D83" s="66"/>
      <c r="E83" s="66"/>
      <c r="N83" s="80"/>
      <c r="O83" s="80"/>
      <c r="P83" s="80"/>
      <c r="Q83" s="80"/>
      <c r="R83" s="80"/>
      <c r="S83" s="80"/>
      <c r="T83" s="80"/>
      <c r="U83" s="80"/>
      <c r="V83" s="80"/>
      <c r="W83" s="80"/>
      <c r="X83" s="80"/>
      <c r="Y83" s="80"/>
      <c r="Z83" s="80"/>
    </row>
    <row r="84" spans="1:26">
      <c r="A84" s="66"/>
      <c r="B84" s="66"/>
      <c r="C84" s="66"/>
      <c r="D84" s="66"/>
      <c r="E84" s="66"/>
      <c r="N84" s="80"/>
      <c r="O84" s="80"/>
      <c r="P84" s="80"/>
      <c r="Q84" s="80"/>
      <c r="R84" s="80"/>
      <c r="S84" s="80"/>
      <c r="T84" s="80"/>
      <c r="U84" s="80"/>
      <c r="V84" s="80"/>
      <c r="W84" s="80"/>
      <c r="X84" s="80"/>
      <c r="Y84" s="80"/>
      <c r="Z84" s="80"/>
    </row>
    <row r="85" spans="1:26">
      <c r="A85" s="66"/>
      <c r="B85" s="66"/>
      <c r="C85" s="66"/>
      <c r="D85" s="66"/>
      <c r="E85" s="66"/>
      <c r="N85" s="80"/>
      <c r="O85" s="80"/>
      <c r="P85" s="80"/>
      <c r="Q85" s="80"/>
      <c r="R85" s="80"/>
      <c r="S85" s="80"/>
      <c r="T85" s="80"/>
      <c r="U85" s="80"/>
      <c r="V85" s="80"/>
      <c r="W85" s="80"/>
      <c r="X85" s="80"/>
      <c r="Y85" s="80"/>
      <c r="Z85" s="80"/>
    </row>
    <row r="86" spans="1:26">
      <c r="A86" s="66"/>
      <c r="B86" s="66"/>
      <c r="C86" s="66"/>
      <c r="D86" s="66"/>
      <c r="E86" s="66"/>
      <c r="N86" s="80"/>
      <c r="O86" s="80"/>
      <c r="P86" s="80"/>
      <c r="Q86" s="80"/>
      <c r="R86" s="80"/>
      <c r="S86" s="80"/>
      <c r="T86" s="80"/>
      <c r="U86" s="80"/>
      <c r="V86" s="80"/>
      <c r="W86" s="80"/>
      <c r="X86" s="80"/>
      <c r="Y86" s="80"/>
      <c r="Z86" s="80"/>
    </row>
    <row r="87" spans="1:26">
      <c r="A87" s="66"/>
      <c r="B87" s="66"/>
      <c r="C87" s="66"/>
      <c r="D87" s="66"/>
      <c r="E87" s="66"/>
      <c r="N87" s="80"/>
      <c r="O87" s="80"/>
      <c r="P87" s="80"/>
      <c r="Q87" s="80"/>
      <c r="R87" s="80"/>
      <c r="S87" s="80"/>
      <c r="T87" s="80"/>
      <c r="U87" s="80"/>
      <c r="V87" s="80"/>
      <c r="W87" s="80"/>
      <c r="X87" s="80"/>
      <c r="Y87" s="80"/>
      <c r="Z87" s="80"/>
    </row>
    <row r="88" spans="1:26">
      <c r="A88" s="66"/>
      <c r="B88" s="66"/>
      <c r="C88" s="66"/>
      <c r="D88" s="66"/>
      <c r="E88" s="66"/>
      <c r="N88" s="80"/>
      <c r="O88" s="80"/>
      <c r="P88" s="80"/>
      <c r="Q88" s="80"/>
      <c r="R88" s="80"/>
      <c r="S88" s="80"/>
      <c r="T88" s="80"/>
      <c r="U88" s="80"/>
      <c r="V88" s="80"/>
      <c r="W88" s="80"/>
      <c r="X88" s="80"/>
      <c r="Y88" s="80"/>
      <c r="Z88" s="80"/>
    </row>
    <row r="89" spans="1:26">
      <c r="A89" s="66"/>
      <c r="B89" s="66"/>
      <c r="C89" s="66"/>
      <c r="D89" s="66"/>
      <c r="E89" s="66"/>
      <c r="N89" s="80"/>
      <c r="O89" s="80"/>
      <c r="P89" s="80"/>
      <c r="Q89" s="80"/>
      <c r="R89" s="80"/>
      <c r="S89" s="80"/>
      <c r="T89" s="80"/>
      <c r="U89" s="80"/>
      <c r="V89" s="80"/>
      <c r="W89" s="80"/>
      <c r="X89" s="80"/>
      <c r="Y89" s="80"/>
      <c r="Z89" s="80"/>
    </row>
    <row r="90" spans="1:26">
      <c r="A90" s="66"/>
      <c r="B90" s="66"/>
      <c r="C90" s="66"/>
      <c r="D90" s="66"/>
      <c r="E90" s="66"/>
      <c r="N90" s="80"/>
      <c r="O90" s="80"/>
      <c r="P90" s="80"/>
      <c r="Q90" s="80"/>
      <c r="R90" s="80"/>
      <c r="S90" s="80"/>
      <c r="T90" s="80"/>
      <c r="U90" s="80"/>
      <c r="V90" s="80"/>
      <c r="W90" s="80"/>
      <c r="X90" s="80"/>
      <c r="Y90" s="80"/>
      <c r="Z90" s="80"/>
    </row>
    <row r="91" spans="1:26">
      <c r="A91" s="66"/>
      <c r="B91" s="66"/>
      <c r="C91" s="66"/>
      <c r="D91" s="66"/>
      <c r="E91" s="66"/>
      <c r="N91" s="80"/>
      <c r="O91" s="80"/>
      <c r="P91" s="80"/>
      <c r="Q91" s="80"/>
      <c r="R91" s="80"/>
      <c r="S91" s="80"/>
      <c r="T91" s="80"/>
      <c r="U91" s="80"/>
      <c r="V91" s="80"/>
      <c r="W91" s="80"/>
      <c r="X91" s="80"/>
      <c r="Y91" s="80"/>
      <c r="Z91" s="80"/>
    </row>
    <row r="92" spans="1:26">
      <c r="A92" s="66"/>
      <c r="B92" s="66"/>
      <c r="C92" s="66"/>
      <c r="D92" s="66"/>
      <c r="E92" s="66"/>
      <c r="F92" s="66"/>
      <c r="G92" s="66"/>
      <c r="H92" s="66"/>
      <c r="I92" s="66"/>
      <c r="N92" s="80"/>
      <c r="O92" s="80"/>
      <c r="P92" s="80"/>
      <c r="Q92" s="80"/>
      <c r="R92" s="80"/>
      <c r="S92" s="80"/>
      <c r="T92" s="80"/>
      <c r="U92" s="80"/>
      <c r="V92" s="80"/>
      <c r="W92" s="80"/>
      <c r="X92" s="80"/>
      <c r="Y92" s="80"/>
      <c r="Z92" s="80"/>
    </row>
    <row r="93" spans="1:26">
      <c r="A93" s="66"/>
      <c r="B93" s="66"/>
      <c r="C93" s="66"/>
      <c r="D93" s="66"/>
      <c r="E93" s="66"/>
      <c r="F93" s="66"/>
      <c r="G93" s="66"/>
      <c r="H93" s="66"/>
      <c r="I93" s="66"/>
      <c r="J93" s="66"/>
      <c r="K93" s="66"/>
      <c r="L93" s="66"/>
      <c r="M93" s="66"/>
      <c r="N93" s="80"/>
      <c r="O93" s="80"/>
      <c r="P93" s="80"/>
      <c r="Q93" s="80"/>
      <c r="R93" s="80"/>
      <c r="S93" s="80"/>
      <c r="T93" s="80"/>
      <c r="U93" s="80"/>
      <c r="V93" s="80"/>
      <c r="W93" s="80"/>
      <c r="X93" s="80"/>
      <c r="Y93" s="80"/>
      <c r="Z93" s="80"/>
    </row>
    <row r="94" spans="1:26">
      <c r="A94" s="66"/>
      <c r="B94" s="66"/>
      <c r="C94" s="66"/>
      <c r="D94" s="66"/>
      <c r="E94" s="66"/>
      <c r="F94" s="66"/>
      <c r="G94" s="66"/>
      <c r="H94" s="66"/>
      <c r="I94" s="66"/>
      <c r="J94" s="66"/>
      <c r="K94" s="66"/>
      <c r="L94" s="66"/>
      <c r="M94" s="66"/>
      <c r="N94" s="80"/>
      <c r="O94" s="80"/>
      <c r="P94" s="80"/>
      <c r="Q94" s="80"/>
      <c r="R94" s="80"/>
      <c r="S94" s="80"/>
      <c r="T94" s="80"/>
      <c r="U94" s="80"/>
      <c r="V94" s="80"/>
      <c r="W94" s="80"/>
      <c r="X94" s="80"/>
      <c r="Y94" s="80"/>
      <c r="Z94" s="80"/>
    </row>
    <row r="95" spans="1:26">
      <c r="A95" s="66"/>
      <c r="B95" s="66"/>
      <c r="C95" s="66"/>
      <c r="D95" s="66"/>
      <c r="E95" s="66"/>
      <c r="F95" s="66"/>
      <c r="G95" s="66"/>
      <c r="H95" s="66"/>
      <c r="I95" s="66"/>
      <c r="J95" s="66"/>
      <c r="K95" s="66"/>
      <c r="L95" s="66"/>
      <c r="M95" s="66"/>
      <c r="N95" s="80"/>
      <c r="O95" s="80"/>
      <c r="P95" s="80"/>
      <c r="Q95" s="80"/>
      <c r="R95" s="80"/>
      <c r="S95" s="80"/>
      <c r="T95" s="80"/>
      <c r="U95" s="80"/>
      <c r="V95" s="80"/>
      <c r="W95" s="80"/>
      <c r="X95" s="80"/>
      <c r="Y95" s="80"/>
      <c r="Z95" s="80"/>
    </row>
    <row r="96" spans="1:26">
      <c r="A96" s="66"/>
      <c r="B96" s="66"/>
      <c r="C96" s="66"/>
      <c r="D96" s="66"/>
      <c r="E96" s="66"/>
      <c r="F96" s="66"/>
      <c r="G96" s="66"/>
      <c r="H96" s="66"/>
      <c r="I96" s="66"/>
      <c r="J96" s="66"/>
      <c r="K96" s="66"/>
      <c r="L96" s="66"/>
      <c r="M96" s="66"/>
      <c r="N96" s="80"/>
      <c r="O96" s="80"/>
      <c r="P96" s="80"/>
      <c r="Q96" s="80"/>
      <c r="R96" s="80"/>
      <c r="S96" s="80"/>
      <c r="T96" s="80"/>
      <c r="U96" s="80"/>
      <c r="V96" s="80"/>
      <c r="W96" s="80"/>
      <c r="X96" s="80"/>
      <c r="Y96" s="80"/>
      <c r="Z96" s="80"/>
    </row>
    <row r="97" spans="1:26">
      <c r="A97" s="66"/>
      <c r="B97" s="66"/>
      <c r="C97" s="66"/>
      <c r="D97" s="66"/>
      <c r="E97" s="66"/>
      <c r="F97" s="66"/>
      <c r="G97" s="66"/>
      <c r="H97" s="66"/>
      <c r="I97" s="66"/>
      <c r="J97" s="66"/>
      <c r="K97" s="66"/>
      <c r="L97" s="66"/>
      <c r="M97" s="66"/>
      <c r="N97" s="80"/>
      <c r="O97" s="80"/>
      <c r="P97" s="80"/>
      <c r="Q97" s="80"/>
      <c r="R97" s="80"/>
      <c r="S97" s="80"/>
      <c r="T97" s="80"/>
      <c r="U97" s="80"/>
      <c r="V97" s="80"/>
      <c r="W97" s="80"/>
      <c r="X97" s="80"/>
      <c r="Y97" s="80"/>
      <c r="Z97" s="80"/>
    </row>
    <row r="98" spans="1:26">
      <c r="A98" s="66"/>
      <c r="B98" s="66"/>
      <c r="C98" s="66"/>
      <c r="D98" s="66"/>
      <c r="E98" s="66"/>
      <c r="F98" s="66"/>
      <c r="G98" s="66"/>
      <c r="H98" s="66"/>
      <c r="I98" s="66"/>
      <c r="J98" s="66"/>
      <c r="K98" s="66"/>
      <c r="L98" s="66"/>
      <c r="M98" s="66"/>
      <c r="N98" s="80"/>
      <c r="O98" s="80"/>
      <c r="P98" s="80"/>
      <c r="Q98" s="80"/>
      <c r="R98" s="80"/>
      <c r="S98" s="80"/>
      <c r="T98" s="80"/>
      <c r="U98" s="80"/>
      <c r="V98" s="80"/>
      <c r="W98" s="80"/>
      <c r="X98" s="80"/>
      <c r="Y98" s="80"/>
      <c r="Z98" s="80"/>
    </row>
    <row r="99" spans="1:26">
      <c r="A99" s="66"/>
      <c r="B99" s="66"/>
      <c r="C99" s="66"/>
      <c r="D99" s="66"/>
      <c r="E99" s="66"/>
      <c r="F99" s="66"/>
      <c r="G99" s="66"/>
      <c r="H99" s="66"/>
      <c r="I99" s="66"/>
      <c r="J99" s="66"/>
      <c r="K99" s="66"/>
      <c r="L99" s="66"/>
      <c r="M99" s="66"/>
      <c r="N99" s="80"/>
      <c r="O99" s="80"/>
      <c r="P99" s="80"/>
      <c r="Q99" s="80"/>
      <c r="R99" s="80"/>
      <c r="S99" s="80"/>
      <c r="T99" s="80"/>
      <c r="U99" s="80"/>
      <c r="V99" s="80"/>
      <c r="W99" s="80"/>
      <c r="X99" s="80"/>
      <c r="Y99" s="80"/>
      <c r="Z99" s="80"/>
    </row>
    <row r="100" spans="1:26">
      <c r="A100" s="66"/>
      <c r="B100" s="66"/>
      <c r="C100" s="66"/>
      <c r="D100" s="66"/>
      <c r="E100" s="66"/>
      <c r="F100" s="66"/>
      <c r="G100" s="66"/>
      <c r="H100" s="66"/>
      <c r="I100" s="66"/>
      <c r="J100" s="66"/>
      <c r="K100" s="66"/>
      <c r="L100" s="66"/>
      <c r="M100" s="66"/>
      <c r="N100" s="80"/>
      <c r="O100" s="80"/>
      <c r="P100" s="80"/>
      <c r="Q100" s="80"/>
      <c r="R100" s="80"/>
      <c r="S100" s="80"/>
      <c r="T100" s="80"/>
      <c r="U100" s="80"/>
      <c r="V100" s="80"/>
      <c r="W100" s="80"/>
      <c r="X100" s="80"/>
      <c r="Y100" s="80"/>
      <c r="Z100" s="80"/>
    </row>
    <row r="101" spans="1:26">
      <c r="A101" s="66"/>
      <c r="B101" s="66"/>
      <c r="C101" s="66"/>
      <c r="D101" s="66"/>
      <c r="E101" s="66"/>
      <c r="F101" s="66"/>
      <c r="G101" s="66"/>
      <c r="H101" s="66"/>
      <c r="I101" s="66"/>
      <c r="J101" s="66"/>
      <c r="K101" s="66"/>
      <c r="L101" s="66"/>
      <c r="M101" s="66"/>
      <c r="N101" s="80"/>
      <c r="O101" s="80"/>
      <c r="P101" s="80"/>
      <c r="Q101" s="80"/>
      <c r="R101" s="80"/>
      <c r="S101" s="80"/>
      <c r="T101" s="80"/>
      <c r="U101" s="80"/>
      <c r="V101" s="80"/>
      <c r="W101" s="80"/>
      <c r="X101" s="80"/>
      <c r="Y101" s="80"/>
      <c r="Z101" s="80"/>
    </row>
    <row r="102" spans="1:26">
      <c r="A102" s="66"/>
      <c r="B102" s="66"/>
      <c r="C102" s="66"/>
      <c r="D102" s="66"/>
      <c r="E102" s="66"/>
      <c r="F102" s="66"/>
      <c r="G102" s="66"/>
      <c r="H102" s="66"/>
      <c r="I102" s="66"/>
      <c r="J102" s="66"/>
      <c r="K102" s="66"/>
      <c r="L102" s="66"/>
      <c r="M102" s="66"/>
      <c r="N102" s="80"/>
      <c r="O102" s="80"/>
      <c r="P102" s="80"/>
      <c r="Q102" s="80"/>
      <c r="R102" s="80"/>
      <c r="S102" s="80"/>
      <c r="T102" s="80"/>
      <c r="U102" s="80"/>
      <c r="V102" s="80"/>
      <c r="W102" s="80"/>
      <c r="X102" s="80"/>
      <c r="Y102" s="80"/>
      <c r="Z102" s="80"/>
    </row>
    <row r="103" spans="1:26">
      <c r="A103" s="66"/>
      <c r="B103" s="66"/>
      <c r="C103" s="66"/>
      <c r="D103" s="66"/>
      <c r="E103" s="66"/>
      <c r="F103" s="66"/>
      <c r="G103" s="66"/>
      <c r="H103" s="66"/>
      <c r="I103" s="66"/>
      <c r="J103" s="66"/>
      <c r="K103" s="66"/>
      <c r="L103" s="66"/>
      <c r="M103" s="66"/>
      <c r="N103" s="80"/>
      <c r="O103" s="80"/>
      <c r="P103" s="80"/>
      <c r="Q103" s="80"/>
      <c r="R103" s="80"/>
      <c r="S103" s="80"/>
      <c r="T103" s="80"/>
      <c r="U103" s="80"/>
      <c r="V103" s="80"/>
      <c r="W103" s="80"/>
      <c r="X103" s="80"/>
      <c r="Y103" s="80"/>
      <c r="Z103" s="80"/>
    </row>
    <row r="104" spans="1:26">
      <c r="A104" s="66"/>
      <c r="B104" s="66"/>
      <c r="C104" s="66"/>
      <c r="D104" s="66"/>
      <c r="E104" s="66"/>
      <c r="F104" s="66"/>
      <c r="G104" s="66"/>
      <c r="H104" s="66"/>
      <c r="I104" s="66"/>
      <c r="J104" s="66"/>
      <c r="K104" s="66"/>
      <c r="L104" s="66"/>
      <c r="M104" s="66"/>
      <c r="N104" s="80"/>
      <c r="O104" s="80"/>
      <c r="P104" s="80"/>
      <c r="Q104" s="80"/>
      <c r="R104" s="80"/>
      <c r="S104" s="80"/>
      <c r="T104" s="80"/>
      <c r="U104" s="80"/>
      <c r="V104" s="80"/>
      <c r="W104" s="80"/>
      <c r="X104" s="80"/>
      <c r="Y104" s="80"/>
      <c r="Z104" s="80"/>
    </row>
    <row r="105" spans="1:26">
      <c r="A105" s="66"/>
      <c r="B105" s="66"/>
      <c r="C105" s="66"/>
      <c r="D105" s="66"/>
      <c r="E105" s="66"/>
      <c r="F105" s="66"/>
      <c r="G105" s="66"/>
      <c r="H105" s="66"/>
      <c r="I105" s="66"/>
      <c r="J105" s="66"/>
      <c r="K105" s="66"/>
      <c r="L105" s="66"/>
      <c r="M105" s="66"/>
      <c r="N105" s="80"/>
      <c r="O105" s="80"/>
      <c r="P105" s="80"/>
      <c r="Q105" s="80"/>
      <c r="R105" s="80"/>
      <c r="S105" s="80"/>
      <c r="T105" s="80"/>
      <c r="U105" s="80"/>
      <c r="V105" s="80"/>
      <c r="W105" s="80"/>
      <c r="X105" s="80"/>
      <c r="Y105" s="80"/>
      <c r="Z105" s="80"/>
    </row>
    <row r="106" spans="1:26">
      <c r="A106" s="66"/>
      <c r="B106" s="66"/>
      <c r="C106" s="66"/>
      <c r="D106" s="66"/>
      <c r="E106" s="66"/>
      <c r="F106" s="66"/>
      <c r="G106" s="66"/>
      <c r="H106" s="66"/>
      <c r="I106" s="66"/>
      <c r="J106" s="66"/>
      <c r="K106" s="66"/>
      <c r="L106" s="66"/>
      <c r="M106" s="66"/>
      <c r="N106" s="80"/>
      <c r="O106" s="80"/>
      <c r="P106" s="80"/>
      <c r="Q106" s="80"/>
      <c r="R106" s="80"/>
      <c r="S106" s="80"/>
      <c r="T106" s="80"/>
      <c r="U106" s="80"/>
      <c r="V106" s="80"/>
      <c r="W106" s="80"/>
      <c r="X106" s="80"/>
      <c r="Y106" s="80"/>
      <c r="Z106" s="80"/>
    </row>
    <row r="107" spans="1:26">
      <c r="A107" s="66"/>
      <c r="B107" s="66"/>
      <c r="C107" s="66"/>
      <c r="D107" s="66"/>
      <c r="E107" s="66"/>
      <c r="F107" s="66"/>
      <c r="G107" s="66"/>
      <c r="H107" s="66"/>
      <c r="I107" s="66"/>
      <c r="J107" s="66"/>
      <c r="K107" s="66"/>
      <c r="L107" s="66"/>
      <c r="M107" s="66"/>
      <c r="N107" s="80"/>
      <c r="O107" s="80"/>
      <c r="P107" s="80"/>
      <c r="Q107" s="80"/>
      <c r="R107" s="80"/>
      <c r="S107" s="80"/>
      <c r="T107" s="80"/>
      <c r="U107" s="80"/>
      <c r="V107" s="80"/>
      <c r="W107" s="80"/>
      <c r="X107" s="80"/>
      <c r="Y107" s="80"/>
      <c r="Z107" s="80"/>
    </row>
    <row r="108" spans="1:26">
      <c r="A108" s="66"/>
      <c r="J108" s="66"/>
      <c r="K108" s="66"/>
      <c r="L108" s="66"/>
      <c r="M108" s="66"/>
      <c r="N108" s="80"/>
      <c r="O108" s="80"/>
      <c r="P108" s="80"/>
      <c r="Q108" s="80"/>
      <c r="R108" s="80"/>
      <c r="S108" s="80"/>
      <c r="T108" s="80"/>
      <c r="U108" s="80"/>
      <c r="V108" s="80"/>
      <c r="W108" s="80"/>
      <c r="X108" s="80"/>
      <c r="Y108" s="80"/>
      <c r="Z108" s="80"/>
    </row>
    <row r="109" spans="1:26" s="231" customFormat="1">
      <c r="A109" s="44"/>
      <c r="B109" s="44"/>
      <c r="C109" s="43"/>
      <c r="D109" s="44"/>
      <c r="E109" s="44"/>
      <c r="F109" s="44"/>
      <c r="G109" s="44"/>
      <c r="H109" s="44"/>
      <c r="I109" s="44"/>
      <c r="J109" s="44"/>
      <c r="K109" s="44"/>
      <c r="L109" s="44"/>
      <c r="M109" s="44"/>
      <c r="N109" s="239"/>
      <c r="O109" s="239"/>
      <c r="P109" s="239"/>
      <c r="Q109" s="239"/>
      <c r="R109" s="239"/>
      <c r="S109" s="239"/>
      <c r="T109" s="239"/>
      <c r="U109" s="239"/>
      <c r="V109" s="239"/>
      <c r="W109" s="239"/>
      <c r="X109" s="239"/>
      <c r="Y109" s="239"/>
      <c r="Z109" s="239"/>
    </row>
    <row r="110" spans="1:26">
      <c r="N110" s="80"/>
      <c r="O110" s="80"/>
      <c r="P110" s="80"/>
      <c r="Q110" s="80"/>
      <c r="R110" s="80"/>
      <c r="S110" s="80"/>
      <c r="T110" s="80"/>
      <c r="U110" s="80"/>
      <c r="V110" s="80"/>
      <c r="W110" s="80"/>
      <c r="X110" s="80"/>
      <c r="Y110" s="80"/>
      <c r="Z110" s="80"/>
    </row>
    <row r="111" spans="1:26">
      <c r="N111" s="80"/>
      <c r="O111" s="80"/>
      <c r="P111" s="80"/>
      <c r="Q111" s="80"/>
      <c r="R111" s="80"/>
      <c r="S111" s="80"/>
      <c r="T111" s="80"/>
      <c r="U111" s="80"/>
      <c r="V111" s="80"/>
      <c r="W111" s="80"/>
      <c r="X111" s="80"/>
      <c r="Y111" s="80"/>
      <c r="Z111" s="80"/>
    </row>
    <row r="112" spans="1:26">
      <c r="N112" s="80"/>
      <c r="O112" s="80"/>
      <c r="P112" s="80"/>
      <c r="Q112" s="80"/>
      <c r="R112" s="80"/>
      <c r="S112" s="80"/>
      <c r="T112" s="80"/>
      <c r="U112" s="80"/>
      <c r="V112" s="80"/>
      <c r="W112" s="80"/>
      <c r="X112" s="80"/>
      <c r="Y112" s="80"/>
      <c r="Z112" s="80"/>
    </row>
    <row r="113" spans="1:26">
      <c r="N113" s="80"/>
      <c r="O113" s="80"/>
      <c r="P113" s="80"/>
      <c r="Q113" s="80"/>
      <c r="R113" s="80"/>
      <c r="S113" s="80"/>
      <c r="T113" s="80"/>
      <c r="U113" s="80"/>
      <c r="V113" s="80"/>
      <c r="W113" s="80"/>
      <c r="X113" s="80"/>
      <c r="Y113" s="80"/>
      <c r="Z113" s="80"/>
    </row>
    <row r="114" spans="1:26">
      <c r="N114" s="80"/>
      <c r="O114" s="80"/>
      <c r="P114" s="80"/>
      <c r="Q114" s="80"/>
      <c r="R114" s="80"/>
      <c r="S114" s="80"/>
      <c r="T114" s="80"/>
      <c r="U114" s="80"/>
      <c r="V114" s="80"/>
      <c r="W114" s="80"/>
      <c r="X114" s="80"/>
      <c r="Y114" s="80"/>
      <c r="Z114" s="80"/>
    </row>
    <row r="115" spans="1:26">
      <c r="N115" s="80"/>
      <c r="O115" s="80"/>
      <c r="P115" s="80"/>
      <c r="Q115" s="80"/>
      <c r="R115" s="80"/>
      <c r="S115" s="80"/>
      <c r="T115" s="80"/>
      <c r="U115" s="80"/>
      <c r="V115" s="80"/>
      <c r="W115" s="80"/>
      <c r="X115" s="80"/>
      <c r="Y115" s="80"/>
      <c r="Z115" s="80"/>
    </row>
    <row r="116" spans="1:26">
      <c r="N116" s="80"/>
      <c r="O116" s="80"/>
      <c r="P116" s="80"/>
      <c r="Q116" s="80"/>
      <c r="R116" s="80"/>
      <c r="S116" s="80"/>
      <c r="T116" s="80"/>
      <c r="U116" s="80"/>
      <c r="V116" s="80"/>
      <c r="W116" s="80"/>
      <c r="X116" s="80"/>
      <c r="Y116" s="80"/>
      <c r="Z116" s="80"/>
    </row>
    <row r="117" spans="1:26">
      <c r="N117" s="80"/>
      <c r="O117" s="80"/>
      <c r="P117" s="80"/>
      <c r="Q117" s="80"/>
      <c r="R117" s="80"/>
      <c r="S117" s="80"/>
      <c r="T117" s="80"/>
      <c r="U117" s="80"/>
      <c r="V117" s="80"/>
      <c r="W117" s="80"/>
      <c r="X117" s="80"/>
      <c r="Y117" s="80"/>
      <c r="Z117" s="80"/>
    </row>
    <row r="118" spans="1:26">
      <c r="N118" s="80"/>
      <c r="O118" s="80"/>
      <c r="P118" s="80"/>
      <c r="Q118" s="80"/>
      <c r="R118" s="80"/>
      <c r="S118" s="80"/>
      <c r="T118" s="80"/>
      <c r="U118" s="80"/>
      <c r="V118" s="80"/>
      <c r="W118" s="80"/>
      <c r="X118" s="80"/>
      <c r="Y118" s="80"/>
      <c r="Z118" s="80"/>
    </row>
    <row r="119" spans="1:26">
      <c r="N119" s="80"/>
      <c r="O119" s="80"/>
      <c r="P119" s="80"/>
      <c r="Q119" s="80"/>
      <c r="R119" s="80"/>
      <c r="S119" s="80"/>
      <c r="T119" s="80"/>
      <c r="U119" s="80"/>
      <c r="V119" s="80"/>
      <c r="W119" s="80"/>
      <c r="X119" s="80"/>
      <c r="Y119" s="80"/>
      <c r="Z119" s="80"/>
    </row>
    <row r="120" spans="1:26">
      <c r="N120" s="80"/>
      <c r="O120" s="80"/>
      <c r="P120" s="80"/>
      <c r="Q120" s="80"/>
      <c r="R120" s="80"/>
      <c r="S120" s="80"/>
      <c r="T120" s="80"/>
      <c r="U120" s="80"/>
      <c r="V120" s="80"/>
      <c r="W120" s="80"/>
      <c r="X120" s="80"/>
      <c r="Y120" s="80"/>
      <c r="Z120" s="80"/>
    </row>
    <row r="121" spans="1:26">
      <c r="N121" s="80"/>
      <c r="O121" s="80"/>
      <c r="P121" s="80"/>
      <c r="Q121" s="80"/>
      <c r="R121" s="80"/>
      <c r="S121" s="80"/>
      <c r="T121" s="80"/>
      <c r="U121" s="80"/>
      <c r="V121" s="80"/>
      <c r="W121" s="80"/>
      <c r="X121" s="80"/>
      <c r="Y121" s="80"/>
      <c r="Z121" s="80"/>
    </row>
    <row r="122" spans="1:26">
      <c r="N122" s="80"/>
      <c r="O122" s="80"/>
      <c r="P122" s="80"/>
      <c r="Q122" s="80"/>
      <c r="R122" s="80"/>
      <c r="S122" s="80"/>
      <c r="T122" s="80"/>
      <c r="U122" s="80"/>
      <c r="V122" s="80"/>
      <c r="W122" s="80"/>
      <c r="X122" s="80"/>
      <c r="Y122" s="80"/>
      <c r="Z122" s="80"/>
    </row>
    <row r="123" spans="1:26">
      <c r="N123" s="80"/>
      <c r="O123" s="80"/>
      <c r="P123" s="80"/>
      <c r="Q123" s="80"/>
      <c r="R123" s="80"/>
      <c r="S123" s="80"/>
      <c r="T123" s="80"/>
      <c r="U123" s="80"/>
      <c r="V123" s="80"/>
      <c r="W123" s="80"/>
      <c r="X123" s="80"/>
      <c r="Y123" s="80"/>
      <c r="Z123" s="80"/>
    </row>
    <row r="124" spans="1:26">
      <c r="B124" s="66"/>
      <c r="C124" s="66"/>
      <c r="D124" s="66"/>
      <c r="E124" s="66"/>
      <c r="F124" s="66"/>
      <c r="G124" s="66"/>
      <c r="H124" s="66"/>
      <c r="I124" s="66"/>
      <c r="N124" s="80"/>
      <c r="O124" s="80"/>
      <c r="P124" s="80"/>
      <c r="Q124" s="80"/>
      <c r="R124" s="80"/>
      <c r="S124" s="80"/>
      <c r="T124" s="80"/>
      <c r="U124" s="80"/>
      <c r="V124" s="80"/>
      <c r="W124" s="80"/>
      <c r="X124" s="80"/>
      <c r="Y124" s="80"/>
      <c r="Z124" s="80"/>
    </row>
    <row r="125" spans="1:26">
      <c r="A125" s="66"/>
      <c r="B125" s="66"/>
      <c r="C125" s="66"/>
      <c r="D125" s="66"/>
      <c r="E125" s="66"/>
      <c r="F125" s="66"/>
      <c r="G125" s="66"/>
      <c r="H125" s="66"/>
      <c r="I125" s="66"/>
      <c r="J125" s="66"/>
      <c r="K125" s="66"/>
      <c r="L125" s="66"/>
      <c r="M125" s="66"/>
      <c r="N125" s="80"/>
      <c r="O125" s="80"/>
      <c r="P125" s="80"/>
      <c r="Q125" s="80"/>
      <c r="R125" s="80"/>
      <c r="S125" s="80"/>
      <c r="T125" s="80"/>
      <c r="U125" s="80"/>
      <c r="V125" s="80"/>
      <c r="W125" s="80"/>
      <c r="X125" s="80"/>
      <c r="Y125" s="80"/>
      <c r="Z125" s="80"/>
    </row>
    <row r="126" spans="1:26">
      <c r="A126" s="66"/>
      <c r="B126" s="66"/>
      <c r="C126" s="66"/>
      <c r="D126" s="66"/>
      <c r="E126" s="66"/>
      <c r="F126" s="66"/>
      <c r="G126" s="66"/>
      <c r="H126" s="66"/>
      <c r="I126" s="66"/>
      <c r="J126" s="66"/>
      <c r="K126" s="66"/>
      <c r="L126" s="66"/>
      <c r="M126" s="66"/>
      <c r="N126" s="80"/>
      <c r="O126" s="80"/>
      <c r="P126" s="80"/>
      <c r="Q126" s="80"/>
      <c r="R126" s="80"/>
      <c r="S126" s="80"/>
      <c r="T126" s="80"/>
      <c r="U126" s="80"/>
      <c r="V126" s="80"/>
      <c r="W126" s="80"/>
      <c r="X126" s="80"/>
      <c r="Y126" s="80"/>
      <c r="Z126" s="80"/>
    </row>
    <row r="127" spans="1:26">
      <c r="A127" s="66"/>
      <c r="B127" s="66"/>
      <c r="C127" s="66"/>
      <c r="D127" s="66"/>
      <c r="E127" s="66"/>
      <c r="F127" s="66"/>
      <c r="G127" s="66"/>
      <c r="H127" s="66"/>
      <c r="I127" s="66"/>
      <c r="J127" s="66"/>
      <c r="K127" s="66"/>
      <c r="L127" s="66"/>
      <c r="M127" s="66"/>
      <c r="N127" s="80"/>
      <c r="O127" s="80"/>
      <c r="P127" s="80"/>
      <c r="Q127" s="80"/>
      <c r="R127" s="80"/>
      <c r="S127" s="80"/>
      <c r="T127" s="80"/>
      <c r="U127" s="80"/>
      <c r="V127" s="80"/>
      <c r="W127" s="80"/>
      <c r="X127" s="80"/>
      <c r="Y127" s="80"/>
      <c r="Z127" s="80"/>
    </row>
    <row r="128" spans="1:26">
      <c r="A128" s="66"/>
      <c r="B128" s="66"/>
      <c r="C128" s="66"/>
      <c r="D128" s="66"/>
      <c r="E128" s="66"/>
      <c r="F128" s="66"/>
      <c r="G128" s="66"/>
      <c r="H128" s="66"/>
      <c r="I128" s="66"/>
      <c r="J128" s="66"/>
      <c r="K128" s="66"/>
      <c r="L128" s="66"/>
      <c r="M128" s="66"/>
      <c r="N128" s="80"/>
      <c r="O128" s="80"/>
      <c r="P128" s="80"/>
      <c r="Q128" s="80"/>
      <c r="R128" s="80"/>
      <c r="S128" s="80"/>
      <c r="T128" s="80"/>
      <c r="U128" s="80"/>
      <c r="V128" s="80"/>
      <c r="W128" s="80"/>
      <c r="X128" s="80"/>
      <c r="Y128" s="80"/>
      <c r="Z128" s="80"/>
    </row>
    <row r="129" spans="1:26">
      <c r="A129" s="66"/>
      <c r="J129" s="66"/>
      <c r="K129" s="66"/>
      <c r="L129" s="66"/>
      <c r="M129" s="66"/>
      <c r="N129" s="80"/>
      <c r="O129" s="80"/>
      <c r="P129" s="80"/>
      <c r="Q129" s="80"/>
      <c r="R129" s="80"/>
      <c r="S129" s="80"/>
      <c r="T129" s="80"/>
      <c r="U129" s="80"/>
      <c r="V129" s="80"/>
      <c r="W129" s="80"/>
      <c r="X129" s="80"/>
      <c r="Y129" s="80"/>
      <c r="Z129" s="80"/>
    </row>
  </sheetData>
  <mergeCells count="10">
    <mergeCell ref="B24:F24"/>
    <mergeCell ref="B28:E30"/>
    <mergeCell ref="B32:E33"/>
    <mergeCell ref="B42:N42"/>
    <mergeCell ref="A1:I1"/>
    <mergeCell ref="A2:I2"/>
    <mergeCell ref="A3:I3"/>
    <mergeCell ref="A4:I4"/>
    <mergeCell ref="F7:G7"/>
    <mergeCell ref="H7:I7"/>
  </mergeCells>
  <printOptions horizontalCentered="1"/>
  <pageMargins left="0.7" right="0.7" top="0.75" bottom="0.75" header="0.3" footer="0.5"/>
  <pageSetup scale="8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79"/>
  <sheetViews>
    <sheetView zoomScaleNormal="100" zoomScaleSheetLayoutView="70" workbookViewId="0">
      <pane xSplit="1" ySplit="7" topLeftCell="D128" activePane="bottomRight" state="frozen"/>
      <selection activeCell="L6" sqref="L6"/>
      <selection pane="topRight" activeCell="L6" sqref="L6"/>
      <selection pane="bottomLeft" activeCell="L6" sqref="L6"/>
      <selection pane="bottomRight" activeCell="L6" sqref="L6"/>
    </sheetView>
  </sheetViews>
  <sheetFormatPr defaultColWidth="9.109375" defaultRowHeight="13.2"/>
  <cols>
    <col min="1" max="1" width="5.88671875" style="572" bestFit="1" customWidth="1"/>
    <col min="2" max="2" width="2.6640625" style="66" customWidth="1"/>
    <col min="3" max="3" width="62.5546875" style="66" customWidth="1"/>
    <col min="4" max="4" width="15.6640625" style="66" customWidth="1"/>
    <col min="5" max="5" width="16.6640625" style="66" customWidth="1"/>
    <col min="6" max="7" width="12.44140625" style="66" bestFit="1" customWidth="1"/>
    <col min="8" max="8" width="14.88671875" style="66" customWidth="1"/>
    <col min="9" max="9" width="36.44140625" style="692" customWidth="1"/>
    <col min="10" max="10" width="18.33203125" style="66" customWidth="1"/>
    <col min="11" max="11" width="18.88671875" style="66" customWidth="1"/>
    <col min="12" max="12" width="16.5546875" style="80" customWidth="1"/>
    <col min="13" max="13" width="15.109375" style="80" customWidth="1"/>
    <col min="14" max="14" width="17.88671875" style="80" customWidth="1"/>
    <col min="15" max="15" width="17.88671875" style="66" customWidth="1"/>
    <col min="16" max="16" width="15.6640625" style="66" customWidth="1"/>
    <col min="17" max="17" width="4.109375" style="66" customWidth="1"/>
    <col min="18" max="18" width="17.88671875" style="66" customWidth="1"/>
    <col min="19" max="19" width="15.6640625" style="66" customWidth="1"/>
    <col min="20" max="20" width="23" style="66" customWidth="1"/>
    <col min="21" max="16384" width="9.109375" style="66"/>
  </cols>
  <sheetData>
    <row r="1" spans="1:14">
      <c r="A1" s="2038" t="str">
        <f>+'MISO Cover'!C6</f>
        <v>Entergy New Orleans, Inc.</v>
      </c>
      <c r="B1" s="2038"/>
      <c r="C1" s="2038"/>
      <c r="D1" s="2038"/>
      <c r="E1" s="2038"/>
      <c r="F1" s="2038"/>
      <c r="G1" s="2038"/>
      <c r="H1" s="2038"/>
      <c r="I1" s="2038"/>
      <c r="J1" s="800"/>
      <c r="K1" s="187"/>
      <c r="L1" s="187"/>
      <c r="M1" s="187"/>
    </row>
    <row r="2" spans="1:14">
      <c r="A2" s="2039" t="s">
        <v>673</v>
      </c>
      <c r="B2" s="2039"/>
      <c r="C2" s="2039"/>
      <c r="D2" s="2039"/>
      <c r="E2" s="2039"/>
      <c r="F2" s="2039"/>
      <c r="G2" s="2039"/>
      <c r="H2" s="2039"/>
      <c r="I2" s="2039"/>
      <c r="J2" s="187"/>
      <c r="K2" s="187"/>
      <c r="L2" s="187"/>
      <c r="M2" s="187"/>
    </row>
    <row r="3" spans="1:14">
      <c r="A3" s="2038" t="str">
        <f>+'MISO Cover'!K4</f>
        <v>For  the 12 Months Ended 12/31/2016</v>
      </c>
      <c r="B3" s="2038"/>
      <c r="C3" s="2038"/>
      <c r="D3" s="2038"/>
      <c r="E3" s="2038"/>
      <c r="F3" s="2038"/>
      <c r="G3" s="2038"/>
      <c r="H3" s="2038"/>
      <c r="I3" s="2038"/>
      <c r="J3" s="187"/>
      <c r="K3" s="187"/>
      <c r="L3" s="187"/>
      <c r="M3" s="187"/>
    </row>
    <row r="4" spans="1:14">
      <c r="A4" s="622"/>
      <c r="B4" s="622"/>
      <c r="C4" s="622"/>
      <c r="D4" s="622"/>
      <c r="E4" s="622"/>
      <c r="F4" s="622"/>
      <c r="G4" s="622"/>
      <c r="H4" s="622"/>
      <c r="I4" s="40"/>
      <c r="J4" s="599"/>
      <c r="K4" s="221"/>
      <c r="L4" s="221"/>
      <c r="M4" s="221"/>
    </row>
    <row r="5" spans="1:14" s="231" customFormat="1">
      <c r="A5" s="573" t="s">
        <v>281</v>
      </c>
      <c r="B5" s="231" t="s">
        <v>68</v>
      </c>
      <c r="C5" s="231" t="s">
        <v>115</v>
      </c>
      <c r="D5" s="231" t="s">
        <v>56</v>
      </c>
      <c r="E5" s="231" t="s">
        <v>69</v>
      </c>
      <c r="F5" s="231" t="s">
        <v>67</v>
      </c>
      <c r="G5" s="231" t="s">
        <v>157</v>
      </c>
      <c r="H5" s="231" t="s">
        <v>70</v>
      </c>
      <c r="I5" s="231" t="s">
        <v>170</v>
      </c>
      <c r="J5" s="600"/>
      <c r="L5" s="239"/>
      <c r="M5" s="239"/>
      <c r="N5" s="239"/>
    </row>
    <row r="6" spans="1:14" s="231" customFormat="1">
      <c r="A6" s="573"/>
      <c r="I6" s="692"/>
      <c r="J6" s="600"/>
      <c r="L6" s="239"/>
      <c r="M6" s="239"/>
      <c r="N6" s="239"/>
    </row>
    <row r="7" spans="1:14">
      <c r="A7" s="861">
        <v>1</v>
      </c>
      <c r="B7" s="629" t="s">
        <v>87</v>
      </c>
      <c r="C7" s="626"/>
      <c r="D7" s="627"/>
      <c r="E7" s="627"/>
      <c r="F7" s="628"/>
      <c r="G7" s="630"/>
      <c r="H7" s="631"/>
      <c r="I7" s="693"/>
      <c r="J7" s="600"/>
      <c r="K7" s="231"/>
      <c r="L7" s="239"/>
      <c r="M7" s="239"/>
    </row>
    <row r="8" spans="1:14">
      <c r="A8" s="862">
        <f>+A7+1</f>
        <v>2</v>
      </c>
      <c r="B8" s="44"/>
      <c r="C8" s="44"/>
      <c r="D8" s="229"/>
      <c r="E8" s="79"/>
      <c r="F8" s="79"/>
      <c r="G8" s="79"/>
      <c r="H8" s="79"/>
    </row>
    <row r="9" spans="1:14" ht="13.2" customHeight="1">
      <c r="A9" s="862">
        <f>+A8+1</f>
        <v>3</v>
      </c>
      <c r="B9" s="623" t="s">
        <v>88</v>
      </c>
      <c r="C9" s="275"/>
      <c r="D9" s="527"/>
      <c r="E9" s="80"/>
      <c r="F9" s="80"/>
      <c r="G9" s="80"/>
      <c r="H9" s="80"/>
      <c r="J9" s="989"/>
    </row>
    <row r="10" spans="1:14">
      <c r="A10" s="861">
        <f>+A9+1</f>
        <v>4</v>
      </c>
      <c r="C10" s="74" t="s">
        <v>767</v>
      </c>
      <c r="D10" s="269"/>
      <c r="E10" s="80"/>
      <c r="F10" s="80"/>
      <c r="G10" s="80"/>
      <c r="H10" s="80"/>
      <c r="I10" s="222"/>
    </row>
    <row r="11" spans="1:14">
      <c r="A11" s="863">
        <f t="shared" ref="A11:A16" si="0">+A10+0.1</f>
        <v>4.0999999999999996</v>
      </c>
      <c r="C11" s="574" t="s">
        <v>764</v>
      </c>
      <c r="D11" s="269">
        <f>+'WP10 Storm'!D45</f>
        <v>65981.27</v>
      </c>
      <c r="E11" s="80"/>
      <c r="F11" s="80"/>
      <c r="G11" s="268"/>
      <c r="H11" s="268"/>
      <c r="I11" s="222" t="str">
        <f>+"WP10 Storm Ln "&amp;'WP10 Storm'!A45&amp;" Col. "&amp;'WP10 Storm'!$D$6</f>
        <v>WP10 Storm Ln 8 Col. C</v>
      </c>
    </row>
    <row r="12" spans="1:14">
      <c r="A12" s="863">
        <f t="shared" si="0"/>
        <v>4.1999999999999993</v>
      </c>
      <c r="C12" s="574" t="s">
        <v>733</v>
      </c>
      <c r="D12" s="269">
        <f>'WP AJ1 MISO'!H61</f>
        <v>0</v>
      </c>
      <c r="E12" s="80"/>
      <c r="F12" s="80"/>
      <c r="G12" s="268"/>
      <c r="H12" s="268"/>
      <c r="I12" s="222" t="str">
        <f>+"WP AJ1 MISO Ln "&amp;'WP AJ1 MISO'!A61&amp;" Col. "&amp;'WP AJ1 MISO'!H$8</f>
        <v>WP AJ1 MISO Ln 8 Col. G</v>
      </c>
      <c r="J12" s="860"/>
    </row>
    <row r="13" spans="1:14">
      <c r="A13" s="863">
        <f t="shared" si="0"/>
        <v>4.2999999999999989</v>
      </c>
      <c r="C13" s="574" t="s">
        <v>990</v>
      </c>
      <c r="D13" s="269">
        <f>-'WP AJ2 ITC'!E47</f>
        <v>0</v>
      </c>
      <c r="E13" s="80"/>
      <c r="F13" s="80"/>
      <c r="G13" s="268"/>
      <c r="H13" s="268"/>
      <c r="I13" s="222" t="str">
        <f>"WP AJ2 ITC Ln "&amp;'WP AJ2 ITC'!A47&amp;" Col. "&amp;'WP AJ2 ITC'!E$6</f>
        <v>WP AJ2 ITC Ln 8 Col. C</v>
      </c>
      <c r="J13" s="860"/>
    </row>
    <row r="14" spans="1:14" s="942" customFormat="1">
      <c r="A14" s="863">
        <f t="shared" si="0"/>
        <v>4.3999999999999986</v>
      </c>
      <c r="B14" s="79"/>
      <c r="C14" s="1296" t="s">
        <v>991</v>
      </c>
      <c r="D14" s="269">
        <f>-'WP AJ4 LA Merger'!D42</f>
        <v>0</v>
      </c>
      <c r="E14" s="268"/>
      <c r="F14" s="268"/>
      <c r="G14" s="268"/>
      <c r="H14" s="268"/>
      <c r="I14" s="1414" t="str">
        <f>+"WP AJ4 LA Merger Ln "&amp;'WP AJ4 LA Merger'!A42&amp;" Col ."&amp;'WP AJ4 LA Merger'!$D$6</f>
        <v>WP AJ4 LA Merger Ln 8 Col .C</v>
      </c>
      <c r="J14" s="860"/>
      <c r="L14" s="943"/>
      <c r="M14" s="943"/>
      <c r="N14" s="943"/>
    </row>
    <row r="15" spans="1:14" s="942" customFormat="1">
      <c r="A15" s="1303">
        <f t="shared" si="0"/>
        <v>4.4999999999999982</v>
      </c>
      <c r="B15" s="1304"/>
      <c r="C15" s="2003" t="s">
        <v>1736</v>
      </c>
      <c r="D15" s="2004">
        <f>+'Support to WP02'!H47</f>
        <v>-48177.229999999989</v>
      </c>
      <c r="E15" s="268"/>
      <c r="F15" s="268"/>
      <c r="G15" s="268"/>
      <c r="H15" s="268"/>
      <c r="I15" s="2005" t="str">
        <f>"Support to WP02 Ln "&amp;'Support to WP02'!A47&amp;" Column "&amp;'Support to WP02'!H6</f>
        <v>Support to WP02 Ln 8 Column H</v>
      </c>
      <c r="J15" s="860"/>
      <c r="L15" s="943"/>
      <c r="M15" s="943"/>
      <c r="N15" s="943"/>
    </row>
    <row r="16" spans="1:14" s="942" customFormat="1">
      <c r="A16" s="1303">
        <f t="shared" si="0"/>
        <v>4.5999999999999979</v>
      </c>
      <c r="B16" s="1304"/>
      <c r="C16" s="1302" t="s">
        <v>905</v>
      </c>
      <c r="D16" s="194"/>
      <c r="E16" s="268"/>
      <c r="F16" s="268"/>
      <c r="G16" s="268"/>
      <c r="H16" s="268"/>
      <c r="I16" s="1301"/>
      <c r="J16" s="860"/>
      <c r="L16" s="943"/>
      <c r="M16" s="943"/>
      <c r="N16" s="943"/>
    </row>
    <row r="17" spans="1:14" s="942" customFormat="1">
      <c r="A17" s="1303" t="s">
        <v>898</v>
      </c>
      <c r="B17" s="1304"/>
      <c r="C17" s="1302" t="s">
        <v>905</v>
      </c>
      <c r="D17" s="194"/>
      <c r="E17" s="268"/>
      <c r="F17" s="268"/>
      <c r="G17" s="268"/>
      <c r="H17" s="268"/>
      <c r="I17" s="1301"/>
      <c r="J17" s="860"/>
      <c r="L17" s="943"/>
      <c r="M17" s="943"/>
      <c r="N17" s="943"/>
    </row>
    <row r="18" spans="1:14" s="942" customFormat="1">
      <c r="A18" s="1303" t="str">
        <f>+A10&amp;".x"</f>
        <v>4.x</v>
      </c>
      <c r="B18" s="1304"/>
      <c r="C18" s="1302" t="s">
        <v>905</v>
      </c>
      <c r="D18" s="264"/>
      <c r="E18" s="268"/>
      <c r="F18" s="268"/>
      <c r="G18" s="268"/>
      <c r="H18" s="268"/>
      <c r="I18" s="1301"/>
      <c r="J18" s="860"/>
      <c r="L18" s="943"/>
      <c r="M18" s="943"/>
      <c r="N18" s="943"/>
    </row>
    <row r="19" spans="1:14">
      <c r="A19" s="861">
        <f>+A10+1</f>
        <v>5</v>
      </c>
      <c r="C19" s="717" t="str">
        <f>+"Total "&amp;+C10</f>
        <v>Total Adjustments to Transmission Wages Expense (1) (2)</v>
      </c>
      <c r="D19" s="269">
        <f>SUM(D11:D18)</f>
        <v>17804.040000000015</v>
      </c>
      <c r="E19" s="268"/>
      <c r="F19" s="268"/>
      <c r="G19" s="268"/>
      <c r="H19" s="268"/>
      <c r="I19" s="1138" t="str">
        <f>+"Sum Ln "&amp;A10&amp;" Subparts"</f>
        <v>Sum Ln 4 Subparts</v>
      </c>
      <c r="J19" s="860"/>
    </row>
    <row r="20" spans="1:14">
      <c r="A20" s="861">
        <f>+A19+1</f>
        <v>6</v>
      </c>
      <c r="C20" s="45"/>
      <c r="D20" s="991"/>
      <c r="E20" s="268"/>
      <c r="F20" s="268"/>
      <c r="G20" s="268"/>
      <c r="H20" s="268"/>
      <c r="I20" s="222"/>
      <c r="J20" s="860"/>
    </row>
    <row r="21" spans="1:14">
      <c r="A21" s="861">
        <f>+A20+1</f>
        <v>7</v>
      </c>
      <c r="C21" s="74" t="s">
        <v>773</v>
      </c>
      <c r="D21" s="269"/>
      <c r="E21" s="268"/>
      <c r="F21" s="268"/>
      <c r="G21" s="268"/>
      <c r="H21" s="268"/>
      <c r="I21" s="222"/>
      <c r="J21" s="860"/>
    </row>
    <row r="22" spans="1:14">
      <c r="A22" s="863">
        <f t="shared" ref="A22:A27" si="1">+A21+0.1</f>
        <v>7.1</v>
      </c>
      <c r="C22" s="574" t="s">
        <v>764</v>
      </c>
      <c r="D22" s="269">
        <f>+'WP10 Storm'!D59</f>
        <v>65981.27</v>
      </c>
      <c r="E22" s="268"/>
      <c r="F22" s="268"/>
      <c r="G22" s="268"/>
      <c r="H22" s="268"/>
      <c r="I22" s="222" t="str">
        <f>+"WP10 Storm Ln "&amp;'WP10 Storm'!A59&amp;" Col. "&amp;'WP10 Storm'!$D$6</f>
        <v>WP10 Storm Ln 22 Col. C</v>
      </c>
      <c r="J22" s="860"/>
    </row>
    <row r="23" spans="1:14">
      <c r="A23" s="863">
        <f t="shared" si="1"/>
        <v>7.1999999999999993</v>
      </c>
      <c r="C23" s="574" t="s">
        <v>765</v>
      </c>
      <c r="D23" s="269">
        <f>'WP AJ1 MISO'!H75</f>
        <v>0</v>
      </c>
      <c r="E23" s="268"/>
      <c r="F23" s="268"/>
      <c r="G23" s="268"/>
      <c r="H23" s="268"/>
      <c r="I23" s="1414" t="str">
        <f>+"WP AJ1 MISO Ln "&amp;'WP AJ1 MISO'!A75&amp;" Col. "&amp;'WP AJ1 MISO'!H$8</f>
        <v>WP AJ1 MISO Ln 22 Col. G</v>
      </c>
      <c r="J23" s="860"/>
    </row>
    <row r="24" spans="1:14">
      <c r="A24" s="863">
        <f t="shared" si="1"/>
        <v>7.2999999999999989</v>
      </c>
      <c r="C24" s="574" t="s">
        <v>990</v>
      </c>
      <c r="D24" s="269">
        <f>-'WP AJ2 ITC'!E61</f>
        <v>0</v>
      </c>
      <c r="E24" s="268"/>
      <c r="F24" s="268"/>
      <c r="G24" s="268"/>
      <c r="H24" s="268"/>
      <c r="I24" s="222" t="str">
        <f>"WP AJ2 ITC Ln "&amp;'WP AJ2 ITC'!A61&amp;" Col. "&amp;'WP AJ2 ITC'!E$6</f>
        <v>WP AJ2 ITC Ln 22 Col. C</v>
      </c>
      <c r="J24" s="860"/>
    </row>
    <row r="25" spans="1:14" s="942" customFormat="1">
      <c r="A25" s="863">
        <f t="shared" si="1"/>
        <v>7.3999999999999986</v>
      </c>
      <c r="B25" s="79"/>
      <c r="C25" s="1296" t="s">
        <v>991</v>
      </c>
      <c r="D25" s="269">
        <f>-'WP AJ4 LA Merger'!D56</f>
        <v>118.26</v>
      </c>
      <c r="E25" s="80"/>
      <c r="F25" s="80"/>
      <c r="G25" s="268"/>
      <c r="H25" s="268"/>
      <c r="I25" s="1414" t="str">
        <f>"WP AJ4 LA Merger Ln "&amp;'WP AJ4 LA Merger'!A56&amp;" Col ."&amp;'WP AJ4 LA Merger'!$D$6</f>
        <v>WP AJ4 LA Merger Ln 22 Col .C</v>
      </c>
      <c r="J25" s="860"/>
      <c r="L25" s="943"/>
      <c r="M25" s="943"/>
      <c r="N25" s="943"/>
    </row>
    <row r="26" spans="1:14" s="942" customFormat="1">
      <c r="A26" s="1303">
        <f t="shared" si="1"/>
        <v>7.4999999999999982</v>
      </c>
      <c r="B26" s="1304"/>
      <c r="C26" s="2003" t="s">
        <v>1736</v>
      </c>
      <c r="D26" s="2004">
        <f>+'Support to WP02'!H61</f>
        <v>-290597.98</v>
      </c>
      <c r="E26" s="268"/>
      <c r="F26" s="268"/>
      <c r="G26" s="268"/>
      <c r="H26" s="268"/>
      <c r="I26" s="2005" t="str">
        <f>"Support to WP02 Ln "&amp;'Support to WP02'!A61&amp;" Column "&amp;'Support to WP02'!H6</f>
        <v>Support to WP02 Ln 22 Column H</v>
      </c>
      <c r="J26" s="860"/>
      <c r="L26" s="943"/>
      <c r="M26" s="943"/>
      <c r="N26" s="943"/>
    </row>
    <row r="27" spans="1:14" s="942" customFormat="1">
      <c r="A27" s="1303">
        <f t="shared" si="1"/>
        <v>7.5999999999999979</v>
      </c>
      <c r="B27" s="1304"/>
      <c r="C27" s="1302" t="s">
        <v>905</v>
      </c>
      <c r="D27" s="194"/>
      <c r="E27" s="268"/>
      <c r="F27" s="268"/>
      <c r="G27" s="268"/>
      <c r="H27" s="268"/>
      <c r="I27" s="1301"/>
      <c r="J27" s="860"/>
      <c r="L27" s="943"/>
      <c r="M27" s="943"/>
      <c r="N27" s="943"/>
    </row>
    <row r="28" spans="1:14" s="942" customFormat="1">
      <c r="A28" s="1303" t="s">
        <v>898</v>
      </c>
      <c r="B28" s="1304"/>
      <c r="C28" s="1302" t="s">
        <v>905</v>
      </c>
      <c r="D28" s="194"/>
      <c r="E28" s="268"/>
      <c r="F28" s="268"/>
      <c r="G28" s="268"/>
      <c r="H28" s="268"/>
      <c r="I28" s="1301"/>
      <c r="J28" s="860"/>
      <c r="L28" s="943"/>
      <c r="M28" s="943"/>
      <c r="N28" s="943"/>
    </row>
    <row r="29" spans="1:14" s="942" customFormat="1">
      <c r="A29" s="1303" t="str">
        <f>+A21&amp;".x"</f>
        <v>7.x</v>
      </c>
      <c r="B29" s="1304"/>
      <c r="C29" s="1302" t="s">
        <v>905</v>
      </c>
      <c r="D29" s="264"/>
      <c r="E29" s="268"/>
      <c r="F29" s="268"/>
      <c r="G29" s="268"/>
      <c r="H29" s="268"/>
      <c r="I29" s="1301"/>
      <c r="J29" s="860"/>
      <c r="L29" s="943"/>
      <c r="M29" s="943"/>
      <c r="N29" s="943"/>
    </row>
    <row r="30" spans="1:14">
      <c r="A30" s="861">
        <f>+A21+1</f>
        <v>8</v>
      </c>
      <c r="C30" s="717" t="str">
        <f>+"Total "&amp;+C21</f>
        <v>Total Adjustment to Total Wages Expense (1) (2)</v>
      </c>
      <c r="D30" s="269">
        <f>SUM(D22:D29)</f>
        <v>-224498.44999999998</v>
      </c>
      <c r="E30" s="268"/>
      <c r="F30" s="268"/>
      <c r="G30" s="268"/>
      <c r="H30" s="268"/>
      <c r="I30" s="1190" t="str">
        <f>+"Sum Ln "&amp;A21&amp;" Subparts"</f>
        <v>Sum Ln 7 Subparts</v>
      </c>
      <c r="J30" s="860"/>
    </row>
    <row r="31" spans="1:14">
      <c r="A31" s="861">
        <f>+A30+1</f>
        <v>9</v>
      </c>
      <c r="D31" s="269"/>
      <c r="E31" s="268"/>
      <c r="F31" s="268"/>
      <c r="G31" s="268"/>
      <c r="H31" s="268"/>
      <c r="I31" s="222"/>
      <c r="J31" s="860"/>
    </row>
    <row r="32" spans="1:14">
      <c r="A32" s="861">
        <f>+A31+1</f>
        <v>10</v>
      </c>
      <c r="C32" s="74" t="s">
        <v>768</v>
      </c>
      <c r="D32" s="269"/>
      <c r="E32" s="268"/>
      <c r="F32" s="268"/>
      <c r="G32" s="268"/>
      <c r="H32" s="268"/>
      <c r="I32" s="222"/>
      <c r="J32" s="860"/>
    </row>
    <row r="33" spans="1:14">
      <c r="A33" s="863">
        <f t="shared" ref="A33:A38" si="2">+A32+0.1</f>
        <v>10.1</v>
      </c>
      <c r="C33" s="574" t="s">
        <v>764</v>
      </c>
      <c r="D33" s="269">
        <f>+'WP10 Storm'!D58</f>
        <v>0</v>
      </c>
      <c r="E33" s="268"/>
      <c r="F33" s="268"/>
      <c r="G33" s="268"/>
      <c r="H33" s="268"/>
      <c r="I33" s="222" t="str">
        <f>+"WP10 Storm Ln "&amp;'WP10 Storm'!A58&amp;" Col. "&amp;'WP10 Storm'!$D$6</f>
        <v>WP10 Storm Ln 21 Col. C</v>
      </c>
      <c r="J33" s="860"/>
    </row>
    <row r="34" spans="1:14">
      <c r="A34" s="863">
        <f t="shared" si="2"/>
        <v>10.199999999999999</v>
      </c>
      <c r="C34" s="574" t="s">
        <v>765</v>
      </c>
      <c r="D34" s="269">
        <f>'WP AJ1 MISO'!H74</f>
        <v>0</v>
      </c>
      <c r="E34" s="268"/>
      <c r="F34" s="268"/>
      <c r="G34" s="268"/>
      <c r="H34" s="268"/>
      <c r="I34" s="222" t="str">
        <f>+"WP AJ1 MISO Ln "&amp;'WP AJ1 MISO'!A74&amp;" Col. "&amp;'WP AJ1 MISO'!H$8</f>
        <v>WP AJ1 MISO Ln 21 Col. G</v>
      </c>
      <c r="J34" s="860"/>
    </row>
    <row r="35" spans="1:14">
      <c r="A35" s="863">
        <f t="shared" si="2"/>
        <v>10.299999999999999</v>
      </c>
      <c r="C35" s="574" t="s">
        <v>990</v>
      </c>
      <c r="D35" s="269">
        <f>-'WP AJ2 ITC'!E60</f>
        <v>0</v>
      </c>
      <c r="E35" s="268"/>
      <c r="F35" s="268"/>
      <c r="G35" s="268"/>
      <c r="H35" s="268"/>
      <c r="I35" s="222" t="str">
        <f>"WP AJ2 ITC Ln "&amp;'WP AJ2 ITC'!A60&amp;" Col. "&amp;'WP AJ2 ITC'!E$6</f>
        <v>WP AJ2 ITC Ln 21 Col. C</v>
      </c>
      <c r="J35" s="860"/>
    </row>
    <row r="36" spans="1:14" s="942" customFormat="1">
      <c r="A36" s="863">
        <f t="shared" si="2"/>
        <v>10.399999999999999</v>
      </c>
      <c r="B36" s="79"/>
      <c r="C36" s="1296" t="s">
        <v>991</v>
      </c>
      <c r="D36" s="269">
        <f>-'WP AJ4 LA Merger'!D55</f>
        <v>118.26</v>
      </c>
      <c r="E36" s="80"/>
      <c r="F36" s="80"/>
      <c r="G36" s="268"/>
      <c r="H36" s="268"/>
      <c r="I36" s="1414" t="str">
        <f>"WP AJ4 LA Merger Ln "&amp;'WP AJ4 LA Merger'!A55&amp;" Col ."&amp;'WP AJ4 LA Merger'!$D$6</f>
        <v>WP AJ4 LA Merger Ln 21 Col .C</v>
      </c>
      <c r="J36" s="860"/>
      <c r="L36" s="943"/>
      <c r="M36" s="943"/>
      <c r="N36" s="943"/>
    </row>
    <row r="37" spans="1:14" s="942" customFormat="1">
      <c r="A37" s="1303">
        <f t="shared" si="2"/>
        <v>10.499999999999998</v>
      </c>
      <c r="B37" s="1304"/>
      <c r="C37" s="2003" t="s">
        <v>1736</v>
      </c>
      <c r="D37" s="2004">
        <f>+'Support to WP02'!H60</f>
        <v>-245529.55</v>
      </c>
      <c r="E37" s="268"/>
      <c r="F37" s="268"/>
      <c r="G37" s="268"/>
      <c r="H37" s="268"/>
      <c r="I37" s="2005" t="str">
        <f>"Support to WP02 Ln "&amp;'Support to WP02'!A60&amp;" Column "&amp;'Support to WP02'!H6</f>
        <v>Support to WP02 Ln 21 Column H</v>
      </c>
      <c r="J37" s="860"/>
      <c r="L37" s="943"/>
      <c r="M37" s="943"/>
      <c r="N37" s="943"/>
    </row>
    <row r="38" spans="1:14" s="942" customFormat="1">
      <c r="A38" s="1303">
        <f t="shared" si="2"/>
        <v>10.599999999999998</v>
      </c>
      <c r="B38" s="1304"/>
      <c r="C38" s="1302" t="s">
        <v>905</v>
      </c>
      <c r="D38" s="194"/>
      <c r="E38" s="268"/>
      <c r="F38" s="268"/>
      <c r="G38" s="268"/>
      <c r="H38" s="268"/>
      <c r="I38" s="1301"/>
      <c r="J38" s="860"/>
      <c r="L38" s="943"/>
      <c r="M38" s="943"/>
      <c r="N38" s="943"/>
    </row>
    <row r="39" spans="1:14" s="942" customFormat="1">
      <c r="A39" s="1303" t="s">
        <v>898</v>
      </c>
      <c r="B39" s="1304"/>
      <c r="C39" s="1302" t="s">
        <v>905</v>
      </c>
      <c r="D39" s="194"/>
      <c r="E39" s="268"/>
      <c r="F39" s="268"/>
      <c r="G39" s="268"/>
      <c r="H39" s="268"/>
      <c r="I39" s="1301"/>
      <c r="J39" s="860"/>
      <c r="L39" s="943"/>
      <c r="M39" s="943"/>
      <c r="N39" s="943"/>
    </row>
    <row r="40" spans="1:14" s="942" customFormat="1">
      <c r="A40" s="1303" t="str">
        <f>+A32&amp;".x"</f>
        <v>10.x</v>
      </c>
      <c r="B40" s="1304"/>
      <c r="C40" s="1302" t="s">
        <v>905</v>
      </c>
      <c r="D40" s="264"/>
      <c r="E40" s="268"/>
      <c r="F40" s="268"/>
      <c r="G40" s="268"/>
      <c r="H40" s="268"/>
      <c r="I40" s="1301"/>
      <c r="J40" s="860"/>
      <c r="L40" s="943"/>
      <c r="M40" s="943"/>
      <c r="N40" s="943"/>
    </row>
    <row r="41" spans="1:14">
      <c r="A41" s="861">
        <f>+A32+1</f>
        <v>11</v>
      </c>
      <c r="C41" s="717" t="str">
        <f>+"Total "&amp;+C32</f>
        <v>Total Adjustment to A&amp;G Wages Expense (1) (2)</v>
      </c>
      <c r="D41" s="269">
        <f>SUM(D33:D40)</f>
        <v>-245411.28999999998</v>
      </c>
      <c r="E41" s="268"/>
      <c r="F41" s="268"/>
      <c r="G41" s="268"/>
      <c r="H41" s="268"/>
      <c r="I41" s="1190" t="str">
        <f>+"Sum Ln "&amp;A32&amp;" Subparts"</f>
        <v>Sum Ln 10 Subparts</v>
      </c>
      <c r="J41" s="860"/>
    </row>
    <row r="42" spans="1:14">
      <c r="A42" s="861">
        <f>+A41+1</f>
        <v>12</v>
      </c>
      <c r="B42" s="270"/>
      <c r="D42" s="256"/>
      <c r="I42" s="222"/>
      <c r="J42" s="860"/>
    </row>
    <row r="43" spans="1:14">
      <c r="A43" s="861">
        <f>+A42+1</f>
        <v>13</v>
      </c>
      <c r="B43" s="629" t="s">
        <v>108</v>
      </c>
      <c r="C43" s="626"/>
      <c r="D43" s="627"/>
      <c r="E43" s="627"/>
      <c r="F43" s="628"/>
      <c r="G43" s="630"/>
      <c r="H43" s="631"/>
      <c r="I43" s="693"/>
      <c r="J43" s="860"/>
      <c r="K43" s="231"/>
      <c r="L43" s="239"/>
      <c r="M43" s="239"/>
    </row>
    <row r="44" spans="1:14">
      <c r="A44" s="861">
        <f>+A43+1</f>
        <v>14</v>
      </c>
      <c r="B44" s="231" t="s">
        <v>68</v>
      </c>
      <c r="C44" s="231" t="s">
        <v>115</v>
      </c>
      <c r="D44" s="231" t="s">
        <v>56</v>
      </c>
      <c r="E44" s="231" t="s">
        <v>69</v>
      </c>
      <c r="F44" s="231" t="s">
        <v>67</v>
      </c>
      <c r="G44" s="231" t="s">
        <v>157</v>
      </c>
      <c r="H44" s="231" t="s">
        <v>70</v>
      </c>
      <c r="I44" s="231" t="s">
        <v>170</v>
      </c>
    </row>
    <row r="45" spans="1:14" ht="13.2" customHeight="1">
      <c r="A45" s="861">
        <f>+A44+1</f>
        <v>15</v>
      </c>
      <c r="B45" s="74" t="s">
        <v>842</v>
      </c>
      <c r="C45" s="275"/>
      <c r="D45" s="577" t="s">
        <v>514</v>
      </c>
      <c r="E45" s="577" t="s">
        <v>480</v>
      </c>
      <c r="F45" s="577" t="s">
        <v>137</v>
      </c>
      <c r="G45" s="577" t="s">
        <v>160</v>
      </c>
      <c r="H45" s="577" t="s">
        <v>145</v>
      </c>
      <c r="I45" s="694" t="s">
        <v>141</v>
      </c>
    </row>
    <row r="46" spans="1:14">
      <c r="A46" s="861">
        <v>16</v>
      </c>
      <c r="C46" s="84" t="s">
        <v>458</v>
      </c>
      <c r="D46" s="198"/>
      <c r="E46" s="199"/>
      <c r="F46" s="199"/>
      <c r="G46" s="268"/>
      <c r="H46" s="268"/>
    </row>
    <row r="47" spans="1:14">
      <c r="A47" s="863">
        <f>+A46+0.1</f>
        <v>16.100000000000001</v>
      </c>
      <c r="B47" s="270"/>
      <c r="C47" s="574" t="s">
        <v>455</v>
      </c>
      <c r="D47" s="200">
        <f>'WP20 Reserves'!Q8</f>
        <v>134303.2553843981</v>
      </c>
      <c r="E47" s="280">
        <f t="shared" ref="E47:E51" si="3">+D47</f>
        <v>134303.2553843981</v>
      </c>
      <c r="F47" s="199"/>
      <c r="G47" s="185"/>
      <c r="H47" s="80"/>
      <c r="I47" s="222" t="str">
        <f>+"WP20 Reserves Ln "&amp;'WP20 Reserves'!A8&amp;" Col. "&amp;'WP20 Reserves'!Q$5</f>
        <v>WP20 Reserves Ln 2.01 Col. P</v>
      </c>
    </row>
    <row r="48" spans="1:14">
      <c r="A48" s="863">
        <f>+A47+0.1</f>
        <v>16.200000000000003</v>
      </c>
      <c r="B48" s="270"/>
      <c r="C48" s="574" t="s">
        <v>607</v>
      </c>
      <c r="D48" s="200">
        <f>'WP20 Reserves'!Q9</f>
        <v>0</v>
      </c>
      <c r="E48" s="280">
        <f t="shared" si="3"/>
        <v>0</v>
      </c>
      <c r="F48" s="199"/>
      <c r="G48" s="185"/>
      <c r="H48" s="80"/>
      <c r="I48" s="222" t="str">
        <f>+"WP20 Reserves Ln "&amp;'WP20 Reserves'!A9&amp;" Col. "&amp;'WP20 Reserves'!Q$5</f>
        <v>WP20 Reserves Ln 2.02 Col. P</v>
      </c>
    </row>
    <row r="49" spans="1:15">
      <c r="A49" s="863">
        <f>+A48+0.1</f>
        <v>16.300000000000004</v>
      </c>
      <c r="B49" s="270"/>
      <c r="C49" s="574" t="s">
        <v>456</v>
      </c>
      <c r="D49" s="200">
        <f>'WP20 Reserves'!Q10</f>
        <v>0</v>
      </c>
      <c r="E49" s="280">
        <f t="shared" si="3"/>
        <v>0</v>
      </c>
      <c r="F49" s="199"/>
      <c r="G49" s="185"/>
      <c r="H49" s="80"/>
      <c r="I49" s="222" t="str">
        <f>+"WP20 Reserves Ln "&amp;'WP20 Reserves'!A10&amp;" Col. "&amp;'WP20 Reserves'!Q$5</f>
        <v>WP20 Reserves Ln 2.03 Col. P</v>
      </c>
    </row>
    <row r="50" spans="1:15">
      <c r="A50" s="863">
        <f t="shared" ref="A50:A52" si="4">+A49+0.1</f>
        <v>16.400000000000006</v>
      </c>
      <c r="B50" s="270"/>
      <c r="C50" s="574" t="s">
        <v>792</v>
      </c>
      <c r="D50" s="200">
        <f>'WP20 Reserves'!Q11</f>
        <v>0</v>
      </c>
      <c r="E50" s="280">
        <f t="shared" si="3"/>
        <v>0</v>
      </c>
      <c r="F50" s="199"/>
      <c r="G50" s="185"/>
      <c r="H50" s="80"/>
      <c r="I50" s="222" t="str">
        <f>+"WP20 Reserves Ln "&amp;'WP20 Reserves'!A11&amp;" Col. "&amp;'WP20 Reserves'!Q$5</f>
        <v>WP20 Reserves Ln 2.04 Col. P</v>
      </c>
    </row>
    <row r="51" spans="1:15">
      <c r="A51" s="863">
        <f t="shared" si="4"/>
        <v>16.500000000000007</v>
      </c>
      <c r="B51" s="270"/>
      <c r="C51" s="574" t="s">
        <v>477</v>
      </c>
      <c r="D51" s="200">
        <f>'WP20 Reserves'!Q12</f>
        <v>-134303.25538461539</v>
      </c>
      <c r="E51" s="280">
        <f t="shared" si="3"/>
        <v>-134303.25538461539</v>
      </c>
      <c r="F51" s="199"/>
      <c r="G51" s="280"/>
      <c r="H51" s="80"/>
      <c r="I51" s="222" t="str">
        <f>+"WP20 Reserves Ln "&amp;'WP20 Reserves'!A12&amp;" Col. "&amp;'WP20 Reserves'!Q$5</f>
        <v>WP20 Reserves Ln 2.05 Col. P</v>
      </c>
    </row>
    <row r="52" spans="1:15">
      <c r="A52" s="863">
        <f t="shared" si="4"/>
        <v>16.600000000000009</v>
      </c>
      <c r="B52" s="270"/>
      <c r="C52" s="574" t="s">
        <v>457</v>
      </c>
      <c r="D52" s="200">
        <f>'WP20 Reserves'!Q13</f>
        <v>-80997921.828461528</v>
      </c>
      <c r="E52" s="185">
        <f>D52</f>
        <v>-80997921.828461528</v>
      </c>
      <c r="F52" s="199"/>
      <c r="G52" s="185"/>
      <c r="H52" s="80"/>
      <c r="I52" s="222" t="str">
        <f>+"WP20 Reserves Ln "&amp;'WP20 Reserves'!A13&amp;" Col. "&amp;'WP20 Reserves'!Q$5</f>
        <v>WP20 Reserves Ln 2.06 Col. P</v>
      </c>
    </row>
    <row r="53" spans="1:15" s="942" customFormat="1">
      <c r="A53" s="1303">
        <f>+A52+0.1</f>
        <v>16.70000000000001</v>
      </c>
      <c r="B53" s="1304"/>
      <c r="C53" s="1302" t="s">
        <v>905</v>
      </c>
      <c r="D53" s="194"/>
      <c r="E53" s="1300"/>
      <c r="F53" s="1300"/>
      <c r="G53" s="1300"/>
      <c r="H53" s="1300"/>
      <c r="I53" s="1301"/>
      <c r="J53" s="860"/>
      <c r="L53" s="943"/>
      <c r="M53" s="943"/>
      <c r="N53" s="943"/>
    </row>
    <row r="54" spans="1:15" s="942" customFormat="1">
      <c r="A54" s="1303" t="s">
        <v>898</v>
      </c>
      <c r="B54" s="1304"/>
      <c r="C54" s="1302" t="s">
        <v>905</v>
      </c>
      <c r="D54" s="194"/>
      <c r="E54" s="1300"/>
      <c r="F54" s="1300"/>
      <c r="G54" s="1300"/>
      <c r="H54" s="1300"/>
      <c r="I54" s="1301"/>
      <c r="J54" s="860"/>
      <c r="L54" s="943"/>
      <c r="M54" s="943"/>
      <c r="N54" s="943"/>
    </row>
    <row r="55" spans="1:15" s="942" customFormat="1">
      <c r="A55" s="1303" t="str">
        <f>+A46&amp;".x"</f>
        <v>16.x</v>
      </c>
      <c r="B55" s="1304"/>
      <c r="C55" s="1302" t="s">
        <v>905</v>
      </c>
      <c r="D55" s="264"/>
      <c r="E55" s="1305"/>
      <c r="F55" s="1305"/>
      <c r="G55" s="1305"/>
      <c r="H55" s="1305"/>
      <c r="I55" s="1301"/>
      <c r="J55" s="860"/>
      <c r="L55" s="943"/>
      <c r="M55" s="943"/>
      <c r="N55" s="943"/>
    </row>
    <row r="56" spans="1:15" s="864" customFormat="1">
      <c r="A56" s="1028">
        <f>+A46+1</f>
        <v>17</v>
      </c>
      <c r="B56" s="270"/>
      <c r="C56" s="929" t="str">
        <f>+"2281 Total "&amp;C46</f>
        <v>2281 Total Accumulated Provision for Property Insurance</v>
      </c>
      <c r="D56" s="204">
        <f>SUM(D47:D55)</f>
        <v>-80997921.828461751</v>
      </c>
      <c r="E56" s="204">
        <f>SUM(E47:E55)</f>
        <v>-80997921.828461751</v>
      </c>
      <c r="F56" s="204">
        <f>SUM(F47:F55)</f>
        <v>0</v>
      </c>
      <c r="G56" s="204">
        <f>SUM(G47:G55)</f>
        <v>0</v>
      </c>
      <c r="H56" s="204">
        <f>SUM(H47:H55)</f>
        <v>0</v>
      </c>
      <c r="I56" s="984" t="str">
        <f>+"Sum Ln "&amp;A46&amp;" Subparts"</f>
        <v>Sum Ln 16 Subparts</v>
      </c>
      <c r="J56" s="66"/>
      <c r="L56" s="865"/>
      <c r="M56" s="865"/>
      <c r="N56" s="865"/>
    </row>
    <row r="57" spans="1:15">
      <c r="A57" s="861">
        <f>+A56+1</f>
        <v>18</v>
      </c>
      <c r="C57" s="270" t="s">
        <v>476</v>
      </c>
      <c r="D57" s="200"/>
      <c r="E57" s="80"/>
      <c r="F57" s="199"/>
      <c r="G57" s="185"/>
      <c r="H57" s="80"/>
      <c r="N57" s="268"/>
      <c r="O57" s="79"/>
    </row>
    <row r="58" spans="1:15">
      <c r="A58" s="863">
        <f>+A57+0.1</f>
        <v>18.100000000000001</v>
      </c>
      <c r="B58" s="79"/>
      <c r="C58" s="1306" t="s">
        <v>478</v>
      </c>
      <c r="D58" s="1447">
        <f>'WP20 Reserves'!Q14</f>
        <v>-2627457.2461538459</v>
      </c>
      <c r="E58" s="80"/>
      <c r="F58" s="199"/>
      <c r="G58" s="268"/>
      <c r="H58" s="185">
        <f>+D58</f>
        <v>-2627457.2461538459</v>
      </c>
      <c r="I58" s="222" t="str">
        <f>+"WP20 Reserves Ln "&amp;'WP20 Reserves'!A14&amp;" Col. "&amp;'WP20 Reserves'!Q$5</f>
        <v>WP20 Reserves Ln 2.07 Col. P</v>
      </c>
    </row>
    <row r="59" spans="1:15">
      <c r="A59" s="863">
        <f>+A58+0.1</f>
        <v>18.200000000000003</v>
      </c>
      <c r="B59" s="79"/>
      <c r="C59" s="1306" t="s">
        <v>479</v>
      </c>
      <c r="D59" s="203">
        <f>'WP20 Reserves'!Q15</f>
        <v>-1346505.5792307679</v>
      </c>
      <c r="E59" s="80"/>
      <c r="F59" s="199"/>
      <c r="G59" s="268"/>
      <c r="H59" s="185">
        <f>+D59</f>
        <v>-1346505.5792307679</v>
      </c>
      <c r="I59" s="222" t="str">
        <f>+"WP20 Reserves Ln "&amp;'WP20 Reserves'!A15&amp;" Col. "&amp;'WP20 Reserves'!Q$5</f>
        <v>WP20 Reserves Ln 2.08 Col. P</v>
      </c>
      <c r="N59" s="268"/>
      <c r="O59" s="79"/>
    </row>
    <row r="60" spans="1:15" s="942" customFormat="1">
      <c r="A60" s="1303">
        <f>+A59+0.1</f>
        <v>18.300000000000004</v>
      </c>
      <c r="B60" s="1304"/>
      <c r="C60" s="1302" t="s">
        <v>905</v>
      </c>
      <c r="D60" s="194"/>
      <c r="E60" s="1300"/>
      <c r="F60" s="1300"/>
      <c r="G60" s="1300"/>
      <c r="H60" s="1300"/>
      <c r="I60" s="1301"/>
      <c r="J60" s="860"/>
      <c r="L60" s="943"/>
      <c r="M60" s="943"/>
      <c r="N60" s="943"/>
    </row>
    <row r="61" spans="1:15" s="942" customFormat="1">
      <c r="A61" s="1303" t="s">
        <v>898</v>
      </c>
      <c r="B61" s="1304"/>
      <c r="C61" s="1302" t="s">
        <v>905</v>
      </c>
      <c r="D61" s="194"/>
      <c r="E61" s="1300"/>
      <c r="F61" s="1300"/>
      <c r="G61" s="1300"/>
      <c r="H61" s="1300"/>
      <c r="I61" s="1301"/>
      <c r="J61" s="860"/>
      <c r="L61" s="943"/>
      <c r="M61" s="943"/>
      <c r="N61" s="943"/>
    </row>
    <row r="62" spans="1:15" s="942" customFormat="1">
      <c r="A62" s="1303" t="str">
        <f>+A57&amp;".x"</f>
        <v>18.x</v>
      </c>
      <c r="B62" s="1304"/>
      <c r="C62" s="1302" t="s">
        <v>905</v>
      </c>
      <c r="D62" s="264"/>
      <c r="E62" s="1305"/>
      <c r="F62" s="1305"/>
      <c r="G62" s="1305"/>
      <c r="H62" s="1305"/>
      <c r="I62" s="1301"/>
      <c r="J62" s="860"/>
      <c r="L62" s="943"/>
      <c r="M62" s="943"/>
      <c r="N62" s="943"/>
    </row>
    <row r="63" spans="1:15">
      <c r="A63" s="861">
        <f>+A57+1</f>
        <v>19</v>
      </c>
      <c r="B63" s="79"/>
      <c r="C63" s="930" t="str">
        <f>+"2282 Total "&amp;C57</f>
        <v>2282 Total Accumulated Provision for Injuries and Damages</v>
      </c>
      <c r="D63" s="203">
        <f>SUM(D58:D62)</f>
        <v>-3973962.8253846141</v>
      </c>
      <c r="E63" s="203">
        <f t="shared" ref="E63:H63" si="5">SUM(E58:E62)</f>
        <v>0</v>
      </c>
      <c r="F63" s="203">
        <f t="shared" si="5"/>
        <v>0</v>
      </c>
      <c r="G63" s="203">
        <f t="shared" si="5"/>
        <v>0</v>
      </c>
      <c r="H63" s="203">
        <f t="shared" si="5"/>
        <v>-3973962.8253846141</v>
      </c>
      <c r="I63" s="1288" t="str">
        <f>+"Sum Ln "&amp;A57&amp;" Subparts"</f>
        <v>Sum Ln 18 Subparts</v>
      </c>
    </row>
    <row r="64" spans="1:15">
      <c r="A64" s="861">
        <f>+A63+1</f>
        <v>20</v>
      </c>
      <c r="C64" s="270" t="s">
        <v>459</v>
      </c>
      <c r="D64" s="207"/>
      <c r="E64" s="80"/>
      <c r="F64" s="199"/>
      <c r="G64" s="268"/>
      <c r="H64" s="80"/>
      <c r="I64" s="222"/>
      <c r="N64" s="268"/>
      <c r="O64" s="79"/>
    </row>
    <row r="65" spans="1:15">
      <c r="A65" s="863">
        <f>+A64+0.1</f>
        <v>20.100000000000001</v>
      </c>
      <c r="B65" s="270"/>
      <c r="C65" s="1306" t="s">
        <v>612</v>
      </c>
      <c r="D65" s="200">
        <f>'WP20 Reserves'!Q16</f>
        <v>-1426152.1400000004</v>
      </c>
      <c r="E65" s="80"/>
      <c r="F65" s="199"/>
      <c r="G65" s="268"/>
      <c r="H65" s="185">
        <f>+D65</f>
        <v>-1426152.1400000004</v>
      </c>
      <c r="I65" s="222" t="str">
        <f>+"WP20 Reserves Ln 2.09 Col. "&amp;'WP20 Reserves'!Q$5</f>
        <v>WP20 Reserves Ln 2.09 Col. P</v>
      </c>
    </row>
    <row r="66" spans="1:15">
      <c r="A66" s="863">
        <f>+A65+0.1</f>
        <v>20.200000000000003</v>
      </c>
      <c r="B66" s="270"/>
      <c r="C66" s="1306" t="s">
        <v>611</v>
      </c>
      <c r="D66" s="200">
        <f>'WP20 Reserves'!Q17</f>
        <v>20581363.205384605</v>
      </c>
      <c r="E66" s="185">
        <f>+D66</f>
        <v>20581363.205384605</v>
      </c>
      <c r="F66" s="199"/>
      <c r="G66" s="268"/>
      <c r="H66" s="80"/>
      <c r="I66" s="222" t="str">
        <f>+"WP20 Reserves Ln 2.10 Col. "&amp;'WP20 Reserves'!Q$5</f>
        <v>WP20 Reserves Ln 2.10 Col. P</v>
      </c>
      <c r="N66" s="268"/>
      <c r="O66" s="79"/>
    </row>
    <row r="67" spans="1:15" s="942" customFormat="1">
      <c r="A67" s="1303">
        <f>+A66+0.1</f>
        <v>20.300000000000004</v>
      </c>
      <c r="B67" s="1304"/>
      <c r="C67" s="1302" t="s">
        <v>905</v>
      </c>
      <c r="D67" s="194"/>
      <c r="E67" s="1300"/>
      <c r="F67" s="1300"/>
      <c r="G67" s="1300"/>
      <c r="H67" s="1300"/>
      <c r="I67" s="1301"/>
      <c r="J67" s="860"/>
      <c r="L67" s="943"/>
      <c r="M67" s="943"/>
      <c r="N67" s="943"/>
    </row>
    <row r="68" spans="1:15" s="942" customFormat="1">
      <c r="A68" s="1303" t="s">
        <v>898</v>
      </c>
      <c r="B68" s="1304"/>
      <c r="C68" s="1302" t="s">
        <v>905</v>
      </c>
      <c r="D68" s="194"/>
      <c r="E68" s="1300"/>
      <c r="F68" s="1300"/>
      <c r="G68" s="1300"/>
      <c r="H68" s="1300"/>
      <c r="I68" s="1301"/>
      <c r="J68" s="860"/>
      <c r="L68" s="943"/>
      <c r="M68" s="943"/>
      <c r="N68" s="943"/>
    </row>
    <row r="69" spans="1:15" s="942" customFormat="1">
      <c r="A69" s="1303" t="str">
        <f>+A64&amp;".x"</f>
        <v>20.x</v>
      </c>
      <c r="B69" s="1304"/>
      <c r="C69" s="1302" t="s">
        <v>905</v>
      </c>
      <c r="D69" s="264"/>
      <c r="E69" s="1305"/>
      <c r="F69" s="1305"/>
      <c r="G69" s="1305"/>
      <c r="H69" s="1305"/>
      <c r="I69" s="1301"/>
      <c r="J69" s="860"/>
      <c r="L69" s="943"/>
      <c r="M69" s="943"/>
      <c r="N69" s="943"/>
    </row>
    <row r="70" spans="1:15">
      <c r="A70" s="861">
        <f>+A64+1</f>
        <v>21</v>
      </c>
      <c r="B70" s="270"/>
      <c r="C70" s="930" t="str">
        <f>+"2283 Total "&amp;C64</f>
        <v>2283 Total Accumulated Provision for Pensions and Benefits</v>
      </c>
      <c r="D70" s="203">
        <f>SUM(D65:D69)</f>
        <v>19155211.065384604</v>
      </c>
      <c r="E70" s="203">
        <f t="shared" ref="E70:H70" si="6">SUM(E65:E69)</f>
        <v>20581363.205384605</v>
      </c>
      <c r="F70" s="203">
        <f t="shared" si="6"/>
        <v>0</v>
      </c>
      <c r="G70" s="203">
        <f t="shared" si="6"/>
        <v>0</v>
      </c>
      <c r="H70" s="203">
        <f t="shared" si="6"/>
        <v>-1426152.1400000004</v>
      </c>
      <c r="I70" s="1288" t="str">
        <f>+"Sum Ln "&amp;A64&amp;" Subparts"</f>
        <v>Sum Ln 20 Subparts</v>
      </c>
      <c r="N70" s="268"/>
      <c r="O70" s="79"/>
    </row>
    <row r="71" spans="1:15">
      <c r="A71" s="861">
        <f>+A70+1</f>
        <v>22</v>
      </c>
      <c r="C71" s="270" t="s">
        <v>460</v>
      </c>
      <c r="D71" s="204"/>
      <c r="E71" s="80"/>
      <c r="F71" s="199"/>
      <c r="G71" s="268"/>
      <c r="H71" s="80"/>
      <c r="I71" s="222"/>
    </row>
    <row r="72" spans="1:15">
      <c r="A72" s="863">
        <f>+A71+0.1</f>
        <v>22.1</v>
      </c>
      <c r="B72" s="270"/>
      <c r="C72" s="1306" t="s">
        <v>608</v>
      </c>
      <c r="D72" s="1447">
        <f>'WP20 Reserves'!Q18</f>
        <v>-102897.93076923228</v>
      </c>
      <c r="E72" s="185">
        <f>+D72</f>
        <v>-102897.93076923228</v>
      </c>
      <c r="F72" s="199"/>
      <c r="G72" s="268"/>
      <c r="H72" s="80"/>
      <c r="I72" s="222" t="str">
        <f>+"WP20 Reserves Ln "&amp;'WP20 Reserves'!A18&amp;" Col. "&amp;'WP20 Reserves'!Q$5</f>
        <v>WP20 Reserves Ln 2.11 Col. P</v>
      </c>
      <c r="N72" s="268"/>
      <c r="O72" s="79"/>
    </row>
    <row r="73" spans="1:15">
      <c r="A73" s="863">
        <f>+A72+0.1</f>
        <v>22.200000000000003</v>
      </c>
      <c r="B73" s="270"/>
      <c r="C73" s="1306" t="s">
        <v>609</v>
      </c>
      <c r="D73" s="1447">
        <f>'WP20 Reserves'!Q19</f>
        <v>0</v>
      </c>
      <c r="E73" s="185">
        <f>+D73</f>
        <v>0</v>
      </c>
      <c r="F73" s="199"/>
      <c r="G73" s="268"/>
      <c r="H73" s="80"/>
      <c r="I73" s="222" t="str">
        <f>+"WP20 Reserves Ln "&amp;'WP20 Reserves'!A19&amp;" Col. "&amp;'WP20 Reserves'!Q$5</f>
        <v>WP20 Reserves Ln 2.12 Col. P</v>
      </c>
    </row>
    <row r="74" spans="1:15">
      <c r="A74" s="863">
        <f>+A73+0.1</f>
        <v>22.300000000000004</v>
      </c>
      <c r="B74" s="270"/>
      <c r="C74" s="1306" t="s">
        <v>610</v>
      </c>
      <c r="D74" s="1447">
        <f>'WP20 Reserves'!Q20</f>
        <v>0</v>
      </c>
      <c r="E74" s="185">
        <f>+D74</f>
        <v>0</v>
      </c>
      <c r="F74" s="199"/>
      <c r="G74" s="268"/>
      <c r="H74" s="268"/>
      <c r="I74" s="222" t="str">
        <f>+"WP20 Reserves Ln "&amp;'WP20 Reserves'!A20&amp;" Col. "&amp;'WP20 Reserves'!Q$5</f>
        <v>WP20 Reserves Ln 2.13 Col. P</v>
      </c>
      <c r="N74" s="268"/>
      <c r="O74" s="79"/>
    </row>
    <row r="75" spans="1:15">
      <c r="A75" s="863">
        <f>+A74+0.1</f>
        <v>22.400000000000006</v>
      </c>
      <c r="B75" s="270"/>
      <c r="C75" s="1306" t="s">
        <v>614</v>
      </c>
      <c r="D75" s="203">
        <f>'WP20 Reserves'!Q21</f>
        <v>0</v>
      </c>
      <c r="E75" s="185">
        <f>+D75</f>
        <v>0</v>
      </c>
      <c r="F75" s="199"/>
      <c r="G75" s="268"/>
      <c r="H75" s="80"/>
      <c r="I75" s="1287" t="str">
        <f>+"WP20 Reserves Ln "&amp;'WP20 Reserves'!A21&amp;" Col. "&amp;'WP20 Reserves'!Q$5</f>
        <v>WP20 Reserves Ln 2.14 Col. P</v>
      </c>
    </row>
    <row r="76" spans="1:15" s="942" customFormat="1">
      <c r="A76" s="1303">
        <f>+A75+0.1</f>
        <v>22.500000000000007</v>
      </c>
      <c r="B76" s="1304"/>
      <c r="C76" s="1302" t="s">
        <v>905</v>
      </c>
      <c r="D76" s="194"/>
      <c r="E76" s="1300"/>
      <c r="F76" s="1300"/>
      <c r="G76" s="1300"/>
      <c r="H76" s="1300"/>
      <c r="I76" s="1301"/>
      <c r="J76" s="860"/>
      <c r="L76" s="943"/>
      <c r="M76" s="943"/>
      <c r="N76" s="943"/>
    </row>
    <row r="77" spans="1:15" s="942" customFormat="1">
      <c r="A77" s="1303" t="s">
        <v>898</v>
      </c>
      <c r="B77" s="1304"/>
      <c r="C77" s="1302" t="s">
        <v>905</v>
      </c>
      <c r="D77" s="194"/>
      <c r="E77" s="1300"/>
      <c r="F77" s="1300"/>
      <c r="G77" s="1300"/>
      <c r="H77" s="1300"/>
      <c r="I77" s="1301"/>
      <c r="J77" s="860"/>
      <c r="L77" s="943"/>
      <c r="M77" s="943"/>
      <c r="N77" s="943"/>
    </row>
    <row r="78" spans="1:15" s="942" customFormat="1">
      <c r="A78" s="1303" t="str">
        <f>+A71&amp;".x"</f>
        <v>22.x</v>
      </c>
      <c r="B78" s="1304"/>
      <c r="C78" s="1302" t="s">
        <v>905</v>
      </c>
      <c r="D78" s="264"/>
      <c r="E78" s="1305"/>
      <c r="F78" s="1305"/>
      <c r="G78" s="1305"/>
      <c r="H78" s="1305"/>
      <c r="I78" s="1301"/>
      <c r="J78" s="860"/>
      <c r="L78" s="943"/>
      <c r="M78" s="943"/>
      <c r="N78" s="943"/>
    </row>
    <row r="79" spans="1:15">
      <c r="A79" s="861">
        <f>+A71+1</f>
        <v>23</v>
      </c>
      <c r="B79" s="270"/>
      <c r="C79" s="930" t="str">
        <f>+"2284 Total "&amp;C71</f>
        <v>2284 Total Accumulated Miscellaneous Operating Provisions</v>
      </c>
      <c r="D79" s="205">
        <f>SUM(D72:D78)</f>
        <v>-102897.93076923228</v>
      </c>
      <c r="E79" s="205">
        <f t="shared" ref="E79:H79" si="7">SUM(E72:E78)</f>
        <v>-102897.93076923228</v>
      </c>
      <c r="F79" s="205">
        <f t="shared" si="7"/>
        <v>0</v>
      </c>
      <c r="G79" s="205">
        <f t="shared" si="7"/>
        <v>0</v>
      </c>
      <c r="H79" s="205">
        <f t="shared" si="7"/>
        <v>0</v>
      </c>
      <c r="I79" s="984" t="str">
        <f>+"Sum Ln "&amp;A71&amp;" Subparts"</f>
        <v>Sum Ln 22 Subparts</v>
      </c>
      <c r="N79" s="268"/>
      <c r="O79" s="79"/>
    </row>
    <row r="80" spans="1:15">
      <c r="A80" s="861">
        <f>+A79+1</f>
        <v>24</v>
      </c>
      <c r="B80" s="270"/>
      <c r="I80" s="66"/>
    </row>
    <row r="81" spans="1:19" s="79" customFormat="1">
      <c r="A81" s="861">
        <f>+A80+1</f>
        <v>25</v>
      </c>
      <c r="C81" s="270" t="s">
        <v>841</v>
      </c>
      <c r="D81" s="204"/>
      <c r="E81" s="80"/>
      <c r="F81" s="199"/>
      <c r="G81" s="268"/>
      <c r="H81" s="80"/>
      <c r="I81" s="222"/>
      <c r="J81" s="66"/>
      <c r="K81" s="66"/>
      <c r="L81" s="80"/>
      <c r="M81" s="80"/>
      <c r="N81" s="268"/>
    </row>
    <row r="82" spans="1:19">
      <c r="A82" s="863">
        <f>+A81+0.1</f>
        <v>25.1</v>
      </c>
      <c r="B82" s="79"/>
      <c r="C82" s="1306" t="s">
        <v>613</v>
      </c>
      <c r="D82" s="269">
        <f>-D51</f>
        <v>134303.25538461539</v>
      </c>
      <c r="E82" s="185">
        <f>+D82</f>
        <v>134303.25538461539</v>
      </c>
      <c r="F82" s="199"/>
      <c r="G82" s="185"/>
      <c r="H82" s="268"/>
      <c r="I82" s="692" t="str">
        <f>+"Less Ln "&amp;A51</f>
        <v>Less Ln 16.5</v>
      </c>
      <c r="K82" s="79"/>
      <c r="L82" s="268"/>
      <c r="M82" s="268"/>
    </row>
    <row r="83" spans="1:19">
      <c r="A83" s="863">
        <f t="shared" ref="A83:A84" si="8">+A82+0.1</f>
        <v>25.200000000000003</v>
      </c>
      <c r="B83" s="79"/>
      <c r="C83" s="1306" t="s">
        <v>1469</v>
      </c>
      <c r="D83" s="1672">
        <f>+'WP21 Pension'!F24</f>
        <v>37882181.858461551</v>
      </c>
      <c r="E83" s="269"/>
      <c r="F83" s="1415"/>
      <c r="G83" s="269"/>
      <c r="H83" s="269">
        <f>+D83</f>
        <v>37882181.858461551</v>
      </c>
      <c r="I83" s="1692" t="str">
        <f>+"WP21 Pension Ln "&amp;'WP21 Pension'!A$24&amp;" Col. "&amp;LEFT('WP21 Pension'!F5,1)</f>
        <v>WP21 Pension Ln 18 Col. F</v>
      </c>
      <c r="J83" s="66" t="s">
        <v>1470</v>
      </c>
      <c r="K83" s="79"/>
      <c r="L83" s="268"/>
      <c r="M83" s="268"/>
    </row>
    <row r="84" spans="1:19">
      <c r="A84" s="863">
        <f t="shared" si="8"/>
        <v>25.300000000000004</v>
      </c>
      <c r="B84" s="79"/>
      <c r="C84" s="1306" t="s">
        <v>1471</v>
      </c>
      <c r="D84" s="1672">
        <f>+'WP21 Pension'!K24</f>
        <v>-630863.40923076926</v>
      </c>
      <c r="E84" s="269"/>
      <c r="F84" s="1415"/>
      <c r="G84" s="269"/>
      <c r="H84" s="269">
        <f t="shared" ref="H84" si="9">+D84</f>
        <v>-630863.40923076926</v>
      </c>
      <c r="I84" s="1692" t="str">
        <f>+"WP21 Pension Ln "&amp;'WP21 Pension'!A$24&amp;" Col. "&amp; LEFT('WP21 Pension'!K5,1)</f>
        <v>WP21 Pension Ln 18 Col. K</v>
      </c>
      <c r="J84" s="66" t="s">
        <v>1470</v>
      </c>
      <c r="K84" s="79"/>
      <c r="L84" s="268"/>
      <c r="M84" s="268"/>
    </row>
    <row r="85" spans="1:19" s="942" customFormat="1">
      <c r="A85" s="1303">
        <f>+A84+0.1</f>
        <v>25.400000000000006</v>
      </c>
      <c r="B85" s="1304"/>
      <c r="C85" s="1302" t="s">
        <v>905</v>
      </c>
      <c r="D85" s="194"/>
      <c r="E85" s="1300"/>
      <c r="F85" s="1300"/>
      <c r="G85" s="1300"/>
      <c r="H85" s="1300"/>
      <c r="I85" s="1301"/>
      <c r="J85" s="66"/>
      <c r="L85" s="943"/>
      <c r="M85" s="943"/>
      <c r="N85" s="943"/>
    </row>
    <row r="86" spans="1:19" s="942" customFormat="1">
      <c r="A86" s="1303" t="s">
        <v>898</v>
      </c>
      <c r="B86" s="1304"/>
      <c r="C86" s="1302" t="s">
        <v>905</v>
      </c>
      <c r="D86" s="194"/>
      <c r="E86" s="1300"/>
      <c r="F86" s="1300"/>
      <c r="G86" s="1300"/>
      <c r="H86" s="1300"/>
      <c r="I86" s="1301"/>
      <c r="J86" s="860"/>
      <c r="L86" s="943"/>
      <c r="M86" s="943"/>
      <c r="N86" s="943"/>
    </row>
    <row r="87" spans="1:19" s="942" customFormat="1">
      <c r="A87" s="1303" t="str">
        <f>+A81&amp;".x"</f>
        <v>25.x</v>
      </c>
      <c r="B87" s="1304"/>
      <c r="C87" s="1302" t="s">
        <v>905</v>
      </c>
      <c r="D87" s="264"/>
      <c r="E87" s="1305"/>
      <c r="F87" s="1305"/>
      <c r="G87" s="1305"/>
      <c r="H87" s="1305"/>
      <c r="I87" s="1301"/>
      <c r="J87" s="860"/>
      <c r="L87" s="943"/>
      <c r="M87" s="943"/>
      <c r="N87" s="943"/>
    </row>
    <row r="88" spans="1:19">
      <c r="A88" s="861">
        <f>+A81+1</f>
        <v>26</v>
      </c>
      <c r="B88" s="270"/>
      <c r="C88" s="930" t="str">
        <f>+"Total "&amp;C81</f>
        <v>Total Associated Balance Sheet Accounts &amp; Regulatory Assets (5)</v>
      </c>
      <c r="D88" s="575">
        <f>SUM(D82:D87)</f>
        <v>37385621.704615399</v>
      </c>
      <c r="E88" s="575">
        <f>SUM(E82:E87)</f>
        <v>134303.25538461539</v>
      </c>
      <c r="F88" s="575">
        <f>SUM(F82:F87)</f>
        <v>0</v>
      </c>
      <c r="G88" s="575">
        <f>SUM(G82:G87)</f>
        <v>0</v>
      </c>
      <c r="H88" s="575">
        <f>SUM(H82:H87)</f>
        <v>37251318.449230783</v>
      </c>
      <c r="I88" s="1029" t="str">
        <f>+"Sum Ln "&amp;A81&amp;" Subparts"</f>
        <v>Sum Ln 25 Subparts</v>
      </c>
    </row>
    <row r="89" spans="1:19" s="83" customFormat="1">
      <c r="A89" s="861">
        <f>+A88+1</f>
        <v>27</v>
      </c>
      <c r="B89" s="270" t="s">
        <v>686</v>
      </c>
      <c r="C89" s="42"/>
      <c r="D89" s="567">
        <f>+D56+D63+D70+D79+D88</f>
        <v>-28533949.8146156</v>
      </c>
      <c r="E89" s="567">
        <f>+E56+E63+E70+E79+E88</f>
        <v>-60385153.298461765</v>
      </c>
      <c r="F89" s="567">
        <f>+F56+F63+F70+F79+F88</f>
        <v>0</v>
      </c>
      <c r="G89" s="567">
        <f>+G56+G63+G70+G79+G88</f>
        <v>0</v>
      </c>
      <c r="H89" s="567">
        <f>+H56+H63+H70+H79+H88</f>
        <v>31851203.483846169</v>
      </c>
      <c r="I89" s="984" t="str">
        <f>+"Sum (Ln "&amp;A56&amp;" + "&amp;A63&amp;" + "&amp;A70&amp;" + "&amp;A79&amp;" + "&amp;A88&amp;")"</f>
        <v>Sum (Ln 17 + 19 + 21 + 23 + 26)</v>
      </c>
      <c r="J89" s="66"/>
      <c r="K89" s="66"/>
      <c r="L89" s="80"/>
      <c r="M89" s="80"/>
      <c r="N89" s="569"/>
    </row>
    <row r="90" spans="1:19" s="83" customFormat="1">
      <c r="A90" s="861">
        <f>+A89+1</f>
        <v>28</v>
      </c>
      <c r="B90" s="270"/>
      <c r="C90" s="42"/>
      <c r="D90" s="567"/>
      <c r="E90" s="568"/>
      <c r="F90" s="568"/>
      <c r="G90" s="568"/>
      <c r="H90" s="568"/>
      <c r="I90" s="695"/>
      <c r="L90" s="569"/>
      <c r="M90" s="569"/>
      <c r="N90" s="569"/>
    </row>
    <row r="91" spans="1:19">
      <c r="A91" s="861">
        <f>+A90+1</f>
        <v>29</v>
      </c>
      <c r="B91" s="629" t="s">
        <v>127</v>
      </c>
      <c r="C91" s="626"/>
      <c r="D91" s="627"/>
      <c r="E91" s="627"/>
      <c r="F91" s="628"/>
      <c r="G91" s="630"/>
      <c r="H91" s="631"/>
      <c r="I91" s="693"/>
      <c r="J91" s="83"/>
      <c r="K91" s="83"/>
      <c r="L91" s="569"/>
      <c r="M91" s="569"/>
    </row>
    <row r="92" spans="1:19">
      <c r="A92" s="861">
        <f>+A91+1</f>
        <v>30</v>
      </c>
      <c r="B92" s="231" t="s">
        <v>68</v>
      </c>
      <c r="C92" s="231" t="s">
        <v>115</v>
      </c>
      <c r="D92" s="231" t="s">
        <v>56</v>
      </c>
      <c r="E92" s="231" t="s">
        <v>69</v>
      </c>
      <c r="F92" s="231" t="s">
        <v>67</v>
      </c>
      <c r="G92" s="231" t="s">
        <v>157</v>
      </c>
      <c r="H92" s="231" t="s">
        <v>70</v>
      </c>
      <c r="I92" s="231" t="s">
        <v>170</v>
      </c>
      <c r="J92" s="188"/>
      <c r="K92" s="188"/>
      <c r="L92" s="188"/>
      <c r="O92" s="570"/>
      <c r="P92" s="268"/>
      <c r="R92" s="570"/>
      <c r="S92" s="268"/>
    </row>
    <row r="93" spans="1:19" s="79" customFormat="1">
      <c r="A93" s="861">
        <f>+A92+1</f>
        <v>31</v>
      </c>
      <c r="C93" s="225" t="s">
        <v>769</v>
      </c>
      <c r="D93" s="694" t="s">
        <v>882</v>
      </c>
      <c r="H93" s="80"/>
      <c r="I93" s="188"/>
      <c r="J93" s="188"/>
      <c r="K93" s="188"/>
      <c r="L93" s="188"/>
      <c r="M93" s="45"/>
      <c r="N93" s="268"/>
      <c r="O93" s="268"/>
      <c r="P93" s="268"/>
    </row>
    <row r="94" spans="1:19" s="79" customFormat="1">
      <c r="A94" s="863">
        <f>+A93+0.1</f>
        <v>31.1</v>
      </c>
      <c r="C94" s="574" t="s">
        <v>984</v>
      </c>
      <c r="D94" s="269">
        <f>+'WP10 Storm'!E45</f>
        <v>49280.740000000005</v>
      </c>
      <c r="H94" s="268"/>
      <c r="I94" s="222" t="str">
        <f>+"WP10 Storm Ln "&amp;'WP10 Storm'!A45&amp;" Column "&amp;'WP10 Storm'!E6</f>
        <v xml:space="preserve">WP10 Storm Ln 8 Column D </v>
      </c>
      <c r="J94" s="188"/>
      <c r="K94" s="188"/>
      <c r="L94" s="188"/>
      <c r="M94" s="45"/>
      <c r="N94" s="268"/>
      <c r="O94" s="268"/>
      <c r="P94" s="268"/>
    </row>
    <row r="95" spans="1:19">
      <c r="A95" s="863">
        <f>+A94+0.1</f>
        <v>31.200000000000003</v>
      </c>
      <c r="B95" s="80"/>
      <c r="C95" s="574" t="s">
        <v>765</v>
      </c>
      <c r="D95" s="269">
        <f>+'WP AJ1 MISO'!K61</f>
        <v>-90244.189999999973</v>
      </c>
      <c r="F95" s="79"/>
      <c r="G95" s="79"/>
      <c r="H95" s="546"/>
      <c r="I95" s="222" t="str">
        <f>+"WP AJ1 MISO Ln "&amp;'WP AJ1 MISO'!A61&amp;" Column "&amp;'WP AJ1 MISO'!K8</f>
        <v>WP AJ1 MISO Ln 8 Column J</v>
      </c>
      <c r="J95" s="188"/>
      <c r="K95" s="188"/>
      <c r="L95" s="188"/>
      <c r="M95" s="45"/>
      <c r="O95" s="80"/>
      <c r="P95" s="80"/>
    </row>
    <row r="96" spans="1:19">
      <c r="A96" s="863">
        <f t="shared" ref="A96:A100" si="10">+A95+0.1</f>
        <v>31.300000000000004</v>
      </c>
      <c r="B96" s="80"/>
      <c r="C96" s="574" t="s">
        <v>990</v>
      </c>
      <c r="D96" s="269">
        <f>-'WP AJ2 ITC'!F47</f>
        <v>0</v>
      </c>
      <c r="F96" s="79"/>
      <c r="G96" s="79"/>
      <c r="H96" s="546"/>
      <c r="I96" s="222" t="str">
        <f>"WP AJ2 ITC Ln "&amp;'WP AJ2 ITC'!A47&amp;" Column "&amp;'WP AJ2 ITC'!F6</f>
        <v>WP AJ2 ITC Ln 8 Column D</v>
      </c>
      <c r="J96" s="188"/>
      <c r="K96" s="188"/>
      <c r="L96" s="188"/>
      <c r="M96" s="45"/>
      <c r="O96" s="80"/>
      <c r="P96" s="80"/>
    </row>
    <row r="97" spans="1:16" s="942" customFormat="1">
      <c r="A97" s="863">
        <f t="shared" si="10"/>
        <v>31.400000000000006</v>
      </c>
      <c r="B97" s="943"/>
      <c r="C97" s="1296" t="s">
        <v>991</v>
      </c>
      <c r="D97" s="269">
        <f>-'WP AJ4 LA Merger'!E42</f>
        <v>0</v>
      </c>
      <c r="F97" s="79"/>
      <c r="G97" s="79"/>
      <c r="H97" s="944"/>
      <c r="I97" s="222" t="str">
        <f>+"WP AJ4 LA Merger Ln "&amp;'WP AJ4 LA Merger'!A42&amp;" Column "&amp;'WP AJ4 LA Merger'!E6</f>
        <v>WP AJ4 LA Merger Ln 8 Column D</v>
      </c>
      <c r="J97" s="188"/>
      <c r="L97" s="943"/>
      <c r="M97" s="945"/>
      <c r="N97" s="943"/>
      <c r="O97" s="943"/>
      <c r="P97" s="943"/>
    </row>
    <row r="98" spans="1:16" s="942" customFormat="1">
      <c r="A98" s="863">
        <f t="shared" si="10"/>
        <v>31.500000000000007</v>
      </c>
      <c r="B98" s="948"/>
      <c r="C98" s="1296" t="s">
        <v>1479</v>
      </c>
      <c r="D98" s="269">
        <v>-733333.32</v>
      </c>
      <c r="E98" s="1608"/>
      <c r="F98" s="79"/>
      <c r="G98" s="79"/>
      <c r="H98" s="944"/>
      <c r="I98" s="222" t="s">
        <v>1480</v>
      </c>
      <c r="J98" s="66" t="s">
        <v>1576</v>
      </c>
      <c r="L98" s="943"/>
      <c r="M98" s="945"/>
      <c r="N98" s="527"/>
      <c r="O98" s="943"/>
      <c r="P98" s="943"/>
    </row>
    <row r="99" spans="1:16" s="942" customFormat="1">
      <c r="A99" s="1303">
        <f>+A98+0.1</f>
        <v>31.600000000000009</v>
      </c>
      <c r="B99" s="1304"/>
      <c r="C99" s="2003" t="s">
        <v>1736</v>
      </c>
      <c r="D99" s="2004">
        <f>+'Support to WP02'!I47</f>
        <v>-75363.45</v>
      </c>
      <c r="E99" s="268"/>
      <c r="F99" s="268"/>
      <c r="G99" s="268"/>
      <c r="H99" s="268"/>
      <c r="I99" s="2005" t="str">
        <f>"Support to WP02 Ln "&amp;'Support to WP02'!A47&amp;" Column "&amp;'Support to WP02'!I6</f>
        <v>Support to WP02 Ln 8 Column I</v>
      </c>
      <c r="J99" s="860"/>
      <c r="L99" s="943"/>
      <c r="M99" s="943"/>
      <c r="N99" s="943"/>
    </row>
    <row r="100" spans="1:16" s="942" customFormat="1">
      <c r="A100" s="1303">
        <f t="shared" si="10"/>
        <v>31.70000000000001</v>
      </c>
      <c r="B100" s="1304"/>
      <c r="C100" s="1302" t="s">
        <v>905</v>
      </c>
      <c r="D100" s="194"/>
      <c r="E100" s="268"/>
      <c r="F100" s="268"/>
      <c r="G100" s="268"/>
      <c r="H100" s="268"/>
      <c r="I100" s="1301"/>
      <c r="J100" s="860"/>
      <c r="L100" s="943"/>
      <c r="M100" s="943"/>
      <c r="N100" s="943"/>
    </row>
    <row r="101" spans="1:16" s="942" customFormat="1">
      <c r="A101" s="1303" t="s">
        <v>898</v>
      </c>
      <c r="B101" s="1304"/>
      <c r="C101" s="1302" t="s">
        <v>905</v>
      </c>
      <c r="D101" s="194"/>
      <c r="E101" s="268"/>
      <c r="F101" s="268"/>
      <c r="G101" s="268"/>
      <c r="H101" s="268"/>
      <c r="I101" s="1301"/>
      <c r="J101" s="860"/>
      <c r="L101" s="943"/>
      <c r="M101" s="943"/>
      <c r="N101" s="943"/>
    </row>
    <row r="102" spans="1:16" s="942" customFormat="1">
      <c r="A102" s="1303" t="str">
        <f>+A93&amp;".x"</f>
        <v>31.x</v>
      </c>
      <c r="B102" s="1304"/>
      <c r="C102" s="1302" t="s">
        <v>905</v>
      </c>
      <c r="D102" s="264"/>
      <c r="E102" s="268"/>
      <c r="F102" s="268"/>
      <c r="G102" s="268"/>
      <c r="H102" s="268"/>
      <c r="I102" s="1301"/>
      <c r="J102" s="860"/>
      <c r="L102" s="943"/>
      <c r="M102" s="943"/>
      <c r="N102" s="943"/>
    </row>
    <row r="103" spans="1:16">
      <c r="A103" s="861">
        <f>+A93+1</f>
        <v>32</v>
      </c>
      <c r="B103" s="80"/>
      <c r="C103" s="931" t="s">
        <v>482</v>
      </c>
      <c r="D103" s="166">
        <f>SUM(D94:D102)</f>
        <v>-849660.21999999986</v>
      </c>
      <c r="E103" s="268"/>
      <c r="F103" s="268"/>
      <c r="G103" s="268"/>
      <c r="H103" s="546"/>
      <c r="I103" s="848" t="str">
        <f>+"Sum Ln "&amp;A93&amp;" Subparts"</f>
        <v>Sum Ln 31 Subparts</v>
      </c>
      <c r="J103" s="188"/>
      <c r="K103" s="188"/>
      <c r="L103" s="188"/>
      <c r="M103" s="45"/>
      <c r="O103" s="80"/>
      <c r="P103" s="80"/>
    </row>
    <row r="104" spans="1:16">
      <c r="A104" s="861">
        <f>+A103+1</f>
        <v>33</v>
      </c>
      <c r="C104" s="79"/>
      <c r="D104" s="79"/>
      <c r="E104" s="268"/>
      <c r="F104" s="268"/>
      <c r="G104" s="268"/>
      <c r="H104" s="268"/>
      <c r="J104" s="188"/>
      <c r="K104" s="188"/>
      <c r="L104" s="188"/>
    </row>
    <row r="105" spans="1:16" s="79" customFormat="1">
      <c r="A105" s="861">
        <f>+A104+1</f>
        <v>34</v>
      </c>
      <c r="C105" s="225" t="s">
        <v>770</v>
      </c>
      <c r="D105" s="224"/>
      <c r="E105" s="268"/>
      <c r="F105" s="268"/>
      <c r="G105" s="268"/>
      <c r="H105" s="268"/>
      <c r="I105" s="222"/>
      <c r="J105" s="188"/>
      <c r="K105" s="188"/>
      <c r="L105" s="188"/>
      <c r="M105" s="45"/>
      <c r="N105" s="268"/>
      <c r="O105" s="268"/>
      <c r="P105" s="268"/>
    </row>
    <row r="106" spans="1:16" s="79" customFormat="1">
      <c r="A106" s="863">
        <f t="shared" ref="A106:A111" si="11">+A105+0.1</f>
        <v>34.1</v>
      </c>
      <c r="C106" s="574" t="s">
        <v>985</v>
      </c>
      <c r="D106" s="269">
        <f>+'WP10 Storm'!E58</f>
        <v>0</v>
      </c>
      <c r="E106" s="268"/>
      <c r="F106" s="268"/>
      <c r="G106" s="268"/>
      <c r="H106" s="268"/>
      <c r="I106" s="222" t="str">
        <f>+"WP10 Storm Ln "&amp;'WP10 Storm'!A58&amp;" Column "&amp;'WP10 Storm'!E6</f>
        <v xml:space="preserve">WP10 Storm Ln 21 Column D </v>
      </c>
      <c r="J106" s="188"/>
      <c r="K106" s="188"/>
      <c r="L106" s="188"/>
      <c r="M106" s="45"/>
      <c r="N106" s="268"/>
      <c r="O106" s="268"/>
      <c r="P106" s="268"/>
    </row>
    <row r="107" spans="1:16">
      <c r="A107" s="863">
        <f t="shared" si="11"/>
        <v>34.200000000000003</v>
      </c>
      <c r="B107" s="80"/>
      <c r="C107" s="574" t="s">
        <v>765</v>
      </c>
      <c r="D107" s="269">
        <f>+'WP AJ1 MISO'!K74</f>
        <v>-836111.25999999989</v>
      </c>
      <c r="E107" s="546"/>
      <c r="F107" s="546"/>
      <c r="G107" s="546"/>
      <c r="H107" s="546"/>
      <c r="I107" s="222" t="str">
        <f>+"WP AJ1 MISO Ln "&amp;'WP AJ1 MISO'!A74&amp;" Column "&amp;'WP AJ1 MISO'!K8</f>
        <v>WP AJ1 MISO Ln 21 Column J</v>
      </c>
      <c r="J107" s="188"/>
      <c r="K107" s="188"/>
      <c r="L107" s="188"/>
      <c r="M107" s="45"/>
      <c r="O107" s="80"/>
      <c r="P107" s="80"/>
    </row>
    <row r="108" spans="1:16">
      <c r="A108" s="863">
        <f t="shared" si="11"/>
        <v>34.300000000000004</v>
      </c>
      <c r="B108" s="80"/>
      <c r="C108" s="574" t="s">
        <v>990</v>
      </c>
      <c r="D108" s="269">
        <f>-'WP AJ2 ITC'!F60</f>
        <v>0</v>
      </c>
      <c r="E108" s="546"/>
      <c r="F108" s="546"/>
      <c r="G108" s="546"/>
      <c r="H108" s="546"/>
      <c r="I108" s="1414" t="str">
        <f>"WP AJ2 ITC Ln "&amp;'WP AJ2 ITC'!A60&amp;" Column "&amp;'WP AJ2 ITC'!F6</f>
        <v>WP AJ2 ITC Ln 21 Column D</v>
      </c>
      <c r="J108" s="188"/>
      <c r="K108" s="188"/>
      <c r="L108" s="188"/>
      <c r="M108" s="45"/>
      <c r="O108" s="80"/>
      <c r="P108" s="80"/>
    </row>
    <row r="109" spans="1:16" s="942" customFormat="1">
      <c r="A109" s="863">
        <f t="shared" si="11"/>
        <v>34.400000000000006</v>
      </c>
      <c r="B109" s="948"/>
      <c r="C109" s="1296" t="s">
        <v>991</v>
      </c>
      <c r="D109" s="269">
        <f>-'WP AJ4 LA Merger'!E55</f>
        <v>-183232.51999999996</v>
      </c>
      <c r="E109" s="944"/>
      <c r="F109" s="944"/>
      <c r="G109" s="944"/>
      <c r="H109" s="944"/>
      <c r="I109" s="1414" t="str">
        <f>"WP AJ4 LA Merger Ln "&amp;'WP AJ4 LA Merger'!A55&amp;" Column "&amp;'WP AJ4 LA Merger'!E6</f>
        <v>WP AJ4 LA Merger Ln 21 Column D</v>
      </c>
      <c r="J109" s="1750" t="s">
        <v>1573</v>
      </c>
      <c r="K109" s="1748"/>
      <c r="L109" s="1747"/>
      <c r="M109" s="945"/>
      <c r="N109" s="527"/>
      <c r="O109" s="943"/>
      <c r="P109" s="943"/>
    </row>
    <row r="110" spans="1:16" s="942" customFormat="1">
      <c r="A110" s="1303">
        <f t="shared" si="11"/>
        <v>34.500000000000007</v>
      </c>
      <c r="B110" s="1304"/>
      <c r="C110" s="2003" t="s">
        <v>1736</v>
      </c>
      <c r="D110" s="2004">
        <f>'Support to WP02'!I60</f>
        <v>-793393.19</v>
      </c>
      <c r="E110" s="1887"/>
      <c r="F110" s="1887"/>
      <c r="G110" s="1887"/>
      <c r="H110" s="268"/>
      <c r="I110" s="2005" t="str">
        <f>"Support to WP02 Ln "&amp;'Support to WP02'!A60&amp;" Column "&amp;'Support to WP02'!I6</f>
        <v>Support to WP02 Ln 21 Column I</v>
      </c>
      <c r="J110" s="66"/>
      <c r="L110" s="1746" t="s">
        <v>1738</v>
      </c>
      <c r="N110" s="1887"/>
      <c r="O110" s="1887"/>
      <c r="P110" s="1887"/>
    </row>
    <row r="111" spans="1:16" s="942" customFormat="1">
      <c r="A111" s="1303">
        <f t="shared" si="11"/>
        <v>34.600000000000009</v>
      </c>
      <c r="B111" s="1304"/>
      <c r="C111" s="1302" t="s">
        <v>905</v>
      </c>
      <c r="D111" s="194"/>
      <c r="E111" s="268"/>
      <c r="F111" s="268"/>
      <c r="G111" s="268"/>
      <c r="H111" s="268"/>
      <c r="I111" s="1301"/>
      <c r="J111" s="860"/>
      <c r="L111" s="943"/>
      <c r="M111" s="943"/>
      <c r="N111" s="202"/>
    </row>
    <row r="112" spans="1:16" s="942" customFormat="1">
      <c r="A112" s="1303" t="s">
        <v>898</v>
      </c>
      <c r="B112" s="1304"/>
      <c r="C112" s="1302" t="s">
        <v>905</v>
      </c>
      <c r="D112" s="194"/>
      <c r="E112" s="268"/>
      <c r="F112" s="268"/>
      <c r="G112" s="268"/>
      <c r="H112" s="268"/>
      <c r="I112" s="1301"/>
      <c r="J112" s="860"/>
      <c r="L112" s="943"/>
      <c r="M112" s="943"/>
      <c r="N112" s="202"/>
    </row>
    <row r="113" spans="1:19" s="942" customFormat="1">
      <c r="A113" s="1303" t="str">
        <f>+A105&amp;".x"</f>
        <v>34.x</v>
      </c>
      <c r="B113" s="1304"/>
      <c r="C113" s="1455" t="s">
        <v>905</v>
      </c>
      <c r="D113" s="264"/>
      <c r="E113" s="268"/>
      <c r="F113" s="268"/>
      <c r="G113" s="268"/>
      <c r="H113" s="268"/>
      <c r="I113" s="1301"/>
      <c r="J113" s="860"/>
      <c r="L113" s="943"/>
      <c r="M113" s="943"/>
      <c r="N113" s="202"/>
    </row>
    <row r="114" spans="1:19">
      <c r="A114" s="861">
        <f>+A105+1</f>
        <v>35</v>
      </c>
      <c r="B114" s="80"/>
      <c r="C114" s="931" t="s">
        <v>483</v>
      </c>
      <c r="D114" s="166">
        <f>SUM(D106:D113)</f>
        <v>-1812736.9699999997</v>
      </c>
      <c r="E114" s="546"/>
      <c r="F114" s="546"/>
      <c r="G114" s="546"/>
      <c r="H114" s="546"/>
      <c r="I114" s="975" t="str">
        <f>+"Sum Ln "&amp;A105&amp;" Subparts"</f>
        <v>Sum Ln 34 Subparts</v>
      </c>
      <c r="J114" s="188"/>
      <c r="K114" s="188"/>
      <c r="L114" s="188"/>
      <c r="M114" s="45"/>
      <c r="O114" s="80"/>
      <c r="P114" s="80"/>
    </row>
    <row r="115" spans="1:19">
      <c r="A115" s="861">
        <f>+A114+1</f>
        <v>36</v>
      </c>
      <c r="B115" s="80"/>
      <c r="C115" s="621"/>
      <c r="D115" s="256"/>
      <c r="E115" s="269"/>
      <c r="F115" s="185"/>
      <c r="G115" s="269"/>
      <c r="H115" s="269"/>
      <c r="I115" s="273"/>
      <c r="J115" s="79"/>
      <c r="K115" s="188"/>
      <c r="L115" s="188"/>
      <c r="M115" s="268"/>
    </row>
    <row r="116" spans="1:19">
      <c r="A116" s="861">
        <f>+A115+1</f>
        <v>37</v>
      </c>
      <c r="C116" s="164" t="s">
        <v>766</v>
      </c>
      <c r="D116" s="195"/>
      <c r="E116" s="195"/>
      <c r="F116" s="195"/>
      <c r="G116" s="195"/>
      <c r="H116" s="188"/>
      <c r="I116" s="696"/>
      <c r="J116" s="79"/>
      <c r="K116" s="188"/>
      <c r="L116" s="188"/>
      <c r="N116" s="195"/>
      <c r="O116" s="195"/>
      <c r="P116" s="195"/>
      <c r="R116" s="195"/>
      <c r="S116" s="195"/>
    </row>
    <row r="117" spans="1:19" ht="15.6">
      <c r="A117" s="863">
        <f>+A116+0.1</f>
        <v>37.1</v>
      </c>
      <c r="B117" s="80"/>
      <c r="C117" s="1448" t="s">
        <v>950</v>
      </c>
      <c r="D117" s="194">
        <v>0</v>
      </c>
      <c r="E117" s="80"/>
      <c r="G117" s="80"/>
      <c r="H117" s="80"/>
      <c r="I117" s="1301"/>
      <c r="J117" s="79"/>
      <c r="K117" s="1515" t="s">
        <v>998</v>
      </c>
      <c r="L117" s="188"/>
      <c r="M117" s="195"/>
      <c r="N117" s="268"/>
      <c r="O117" s="570"/>
      <c r="P117" s="268"/>
      <c r="R117" s="570"/>
      <c r="S117" s="268"/>
    </row>
    <row r="118" spans="1:19" s="942" customFormat="1" ht="13.8">
      <c r="A118" s="1303">
        <f>+A117+0.1</f>
        <v>37.200000000000003</v>
      </c>
      <c r="B118" s="1304"/>
      <c r="C118" s="1302" t="s">
        <v>1514</v>
      </c>
      <c r="D118" s="194">
        <v>-80000</v>
      </c>
      <c r="E118" s="268"/>
      <c r="F118" s="268"/>
      <c r="G118" s="268"/>
      <c r="H118" s="268"/>
      <c r="I118" s="1301" t="s">
        <v>1515</v>
      </c>
      <c r="J118" s="860"/>
      <c r="K118" s="1516" t="s">
        <v>645</v>
      </c>
      <c r="L118" s="188"/>
      <c r="M118" s="943"/>
      <c r="N118" s="80"/>
    </row>
    <row r="119" spans="1:19" s="942" customFormat="1" ht="13.8">
      <c r="A119" s="1303">
        <f>+A118+0.1</f>
        <v>37.300000000000004</v>
      </c>
      <c r="B119" s="1304"/>
      <c r="C119" s="1302" t="s">
        <v>905</v>
      </c>
      <c r="D119" s="194"/>
      <c r="E119" s="268"/>
      <c r="F119" s="268"/>
      <c r="G119" s="268"/>
      <c r="H119" s="268"/>
      <c r="I119" s="1301"/>
      <c r="J119" s="860"/>
      <c r="K119" s="1516" t="s">
        <v>645</v>
      </c>
      <c r="L119" s="188"/>
      <c r="M119" s="943"/>
      <c r="N119" s="80"/>
    </row>
    <row r="120" spans="1:19" s="942" customFormat="1">
      <c r="A120" s="1303" t="s">
        <v>898</v>
      </c>
      <c r="B120" s="1304"/>
      <c r="C120" s="1302" t="s">
        <v>905</v>
      </c>
      <c r="D120" s="194"/>
      <c r="E120" s="268"/>
      <c r="F120" s="268"/>
      <c r="G120" s="268"/>
      <c r="H120" s="268"/>
      <c r="I120" s="1301"/>
      <c r="J120" s="860"/>
      <c r="K120" s="188"/>
      <c r="L120" s="188"/>
      <c r="M120" s="943"/>
      <c r="N120" s="80"/>
    </row>
    <row r="121" spans="1:19" s="942" customFormat="1">
      <c r="A121" s="1303" t="str">
        <f>+A116&amp;".x"</f>
        <v>37.x</v>
      </c>
      <c r="B121" s="1304"/>
      <c r="C121" s="1302" t="s">
        <v>905</v>
      </c>
      <c r="D121" s="264"/>
      <c r="E121" s="268"/>
      <c r="F121" s="268"/>
      <c r="G121" s="268"/>
      <c r="H121" s="268"/>
      <c r="I121" s="1301"/>
      <c r="J121" s="860"/>
      <c r="K121" s="2058" t="s">
        <v>1000</v>
      </c>
      <c r="L121" s="2058"/>
      <c r="M121" s="943"/>
      <c r="N121" s="80"/>
    </row>
    <row r="122" spans="1:19" ht="13.2" customHeight="1">
      <c r="A122" s="861">
        <f>+A116+1</f>
        <v>38</v>
      </c>
      <c r="B122" s="80"/>
      <c r="C122" s="932" t="str">
        <f>+"Total "&amp;C116</f>
        <v>Total 9302 Miscellaneous General Expenses Adjustments (3)</v>
      </c>
      <c r="D122" s="202">
        <f>SUM(D117:D121)</f>
        <v>-80000</v>
      </c>
      <c r="E122" s="268"/>
      <c r="F122" s="268"/>
      <c r="G122" s="268"/>
      <c r="H122" s="268"/>
      <c r="I122" s="975" t="str">
        <f>+"Sum Ln "&amp;A116&amp;" Subparts"</f>
        <v>Sum Ln 37 Subparts</v>
      </c>
      <c r="J122" s="79"/>
      <c r="K122" s="2058"/>
      <c r="L122" s="2058"/>
    </row>
    <row r="123" spans="1:19">
      <c r="A123" s="861">
        <f>+A122+1</f>
        <v>39</v>
      </c>
      <c r="B123" s="80"/>
      <c r="C123" s="80"/>
      <c r="D123" s="80"/>
      <c r="E123" s="80"/>
      <c r="F123" s="80"/>
      <c r="G123" s="80"/>
      <c r="H123" s="80"/>
      <c r="I123" s="223"/>
      <c r="J123" s="79"/>
      <c r="K123" s="2058"/>
      <c r="L123" s="2058"/>
      <c r="O123" s="80"/>
      <c r="P123" s="80"/>
    </row>
    <row r="124" spans="1:19">
      <c r="A124" s="861">
        <f>+A123+1</f>
        <v>40</v>
      </c>
      <c r="B124" s="270" t="s">
        <v>75</v>
      </c>
      <c r="C124" s="79"/>
      <c r="H124" s="527"/>
      <c r="I124" s="165"/>
      <c r="J124" s="79"/>
      <c r="K124" s="2058"/>
      <c r="L124" s="2058"/>
    </row>
    <row r="125" spans="1:19">
      <c r="A125" s="861">
        <f>+A124+1</f>
        <v>41</v>
      </c>
      <c r="B125" s="270"/>
      <c r="C125" s="718" t="s">
        <v>504</v>
      </c>
      <c r="H125" s="527"/>
      <c r="I125" s="165"/>
      <c r="J125" s="79"/>
      <c r="K125" s="2058"/>
      <c r="L125" s="2058"/>
    </row>
    <row r="126" spans="1:19">
      <c r="A126" s="863">
        <f>+A125+0.1</f>
        <v>41.1</v>
      </c>
      <c r="B126" s="270"/>
      <c r="C126" s="620" t="s">
        <v>1280</v>
      </c>
      <c r="D126" s="194">
        <v>0</v>
      </c>
      <c r="H126" s="527"/>
      <c r="I126" s="1301"/>
      <c r="J126" s="79" t="s">
        <v>1577</v>
      </c>
      <c r="K126" s="2058"/>
      <c r="L126" s="2058"/>
    </row>
    <row r="127" spans="1:19">
      <c r="A127" s="863">
        <f>+A126+0.1</f>
        <v>41.2</v>
      </c>
      <c r="B127" s="270"/>
      <c r="C127" s="632" t="s">
        <v>1281</v>
      </c>
      <c r="D127" s="194">
        <v>28073</v>
      </c>
      <c r="H127" s="527"/>
      <c r="I127" s="1301" t="s">
        <v>1559</v>
      </c>
      <c r="J127" s="79"/>
      <c r="K127" s="2058"/>
      <c r="L127" s="2058"/>
    </row>
    <row r="128" spans="1:19" s="942" customFormat="1">
      <c r="A128" s="1303">
        <f>+A127+0.1</f>
        <v>41.300000000000004</v>
      </c>
      <c r="B128" s="1304"/>
      <c r="C128" s="1302" t="s">
        <v>905</v>
      </c>
      <c r="D128" s="194"/>
      <c r="E128" s="268"/>
      <c r="F128" s="268"/>
      <c r="G128" s="268"/>
      <c r="H128" s="268"/>
      <c r="I128" s="1301"/>
      <c r="J128" s="860"/>
      <c r="K128" s="2058"/>
      <c r="L128" s="2058"/>
      <c r="M128" s="943"/>
      <c r="N128" s="80"/>
    </row>
    <row r="129" spans="1:16" s="942" customFormat="1">
      <c r="A129" s="1303" t="s">
        <v>898</v>
      </c>
      <c r="B129" s="1304"/>
      <c r="C129" s="1302" t="s">
        <v>905</v>
      </c>
      <c r="D129" s="194"/>
      <c r="E129" s="268"/>
      <c r="F129" s="268"/>
      <c r="G129" s="268"/>
      <c r="H129" s="268"/>
      <c r="I129" s="1301"/>
      <c r="J129" s="860"/>
      <c r="L129" s="943"/>
      <c r="M129" s="943"/>
      <c r="N129" s="943"/>
    </row>
    <row r="130" spans="1:16" s="942" customFormat="1">
      <c r="A130" s="1303" t="str">
        <f>+A125&amp;".x"</f>
        <v>41.x</v>
      </c>
      <c r="B130" s="1304"/>
      <c r="C130" s="1302" t="s">
        <v>905</v>
      </c>
      <c r="D130" s="264"/>
      <c r="E130" s="268"/>
      <c r="F130" s="268"/>
      <c r="G130" s="268"/>
      <c r="H130" s="268"/>
      <c r="I130" s="1301"/>
      <c r="J130" s="860"/>
      <c r="L130" s="943"/>
      <c r="M130" s="943"/>
      <c r="N130" s="943"/>
    </row>
    <row r="131" spans="1:16">
      <c r="A131" s="861">
        <f>+A125+1</f>
        <v>42</v>
      </c>
      <c r="B131" s="270"/>
      <c r="C131" s="933" t="str">
        <f>+"Total  "&amp;C125</f>
        <v>Total  Regulatory Commission Expense Account 928</v>
      </c>
      <c r="D131" s="166">
        <f>SUM(D126:D130)</f>
        <v>28073</v>
      </c>
      <c r="E131" s="80"/>
      <c r="F131" s="80"/>
      <c r="G131" s="80"/>
      <c r="H131" s="527"/>
      <c r="I131" s="975" t="str">
        <f>+"Sum Ln "&amp;A125&amp;" Subparts"</f>
        <v>Sum Ln 41 Subparts</v>
      </c>
      <c r="J131" s="79"/>
      <c r="L131" s="202"/>
    </row>
    <row r="132" spans="1:16">
      <c r="A132" s="861">
        <f>+A131+1</f>
        <v>43</v>
      </c>
      <c r="B132" s="80"/>
      <c r="C132" s="633"/>
      <c r="D132" s="166"/>
      <c r="E132" s="256"/>
      <c r="F132" s="527"/>
      <c r="G132" s="269"/>
      <c r="H132" s="269"/>
      <c r="I132" s="273"/>
      <c r="J132" s="79"/>
      <c r="K132" s="79"/>
      <c r="L132" s="268"/>
      <c r="M132" s="268"/>
    </row>
    <row r="133" spans="1:16">
      <c r="A133" s="861">
        <f>+A132+1</f>
        <v>44</v>
      </c>
      <c r="B133" s="629" t="s">
        <v>97</v>
      </c>
      <c r="C133" s="626"/>
      <c r="D133" s="627"/>
      <c r="E133" s="627"/>
      <c r="F133" s="628"/>
      <c r="G133" s="630"/>
      <c r="H133" s="631"/>
      <c r="I133" s="698"/>
      <c r="J133" s="79"/>
      <c r="K133" s="43"/>
      <c r="L133" s="43"/>
      <c r="M133" s="43"/>
    </row>
    <row r="134" spans="1:16" s="44" customFormat="1" ht="13.2" customHeight="1">
      <c r="A134" s="861">
        <f t="shared" ref="A134:A164" si="12">+A133+1</f>
        <v>45</v>
      </c>
      <c r="B134" s="231" t="s">
        <v>68</v>
      </c>
      <c r="C134" s="231" t="s">
        <v>115</v>
      </c>
      <c r="D134" s="231" t="s">
        <v>56</v>
      </c>
      <c r="E134" s="231" t="s">
        <v>69</v>
      </c>
      <c r="F134" s="231" t="s">
        <v>67</v>
      </c>
      <c r="G134" s="231" t="s">
        <v>157</v>
      </c>
      <c r="H134" s="231" t="s">
        <v>70</v>
      </c>
      <c r="I134" s="231" t="s">
        <v>170</v>
      </c>
      <c r="J134" s="79"/>
      <c r="K134" s="43"/>
      <c r="L134" s="43"/>
      <c r="M134" s="43"/>
      <c r="N134" s="43"/>
    </row>
    <row r="135" spans="1:16" s="44" customFormat="1" ht="13.95" customHeight="1">
      <c r="A135" s="861">
        <f t="shared" si="12"/>
        <v>46</v>
      </c>
      <c r="B135" s="225" t="s">
        <v>1447</v>
      </c>
      <c r="C135" s="633"/>
      <c r="D135" s="166"/>
      <c r="E135" s="256"/>
      <c r="F135" s="527"/>
      <c r="G135" s="269"/>
      <c r="H135" s="269"/>
      <c r="I135" s="273"/>
      <c r="J135" s="79" t="s">
        <v>1445</v>
      </c>
      <c r="K135" s="79"/>
      <c r="L135" s="268"/>
      <c r="M135" s="268"/>
      <c r="N135" s="43"/>
    </row>
    <row r="136" spans="1:16">
      <c r="A136" s="861">
        <f t="shared" si="12"/>
        <v>47</v>
      </c>
      <c r="B136" s="80"/>
      <c r="C136" s="272" t="s">
        <v>771</v>
      </c>
      <c r="D136" s="280"/>
      <c r="E136" s="256"/>
      <c r="F136" s="527"/>
      <c r="G136" s="269"/>
      <c r="H136" s="269"/>
      <c r="I136" s="79"/>
      <c r="J136" s="79"/>
      <c r="K136" s="79"/>
      <c r="L136" s="268"/>
      <c r="M136" s="268"/>
    </row>
    <row r="137" spans="1:16">
      <c r="A137" s="863">
        <f>+A136+0.1</f>
        <v>47.1</v>
      </c>
      <c r="B137" s="80"/>
      <c r="C137" s="574" t="s">
        <v>764</v>
      </c>
      <c r="D137" s="280">
        <f>+'WP10 Storm'!E50</f>
        <v>0</v>
      </c>
      <c r="E137" s="256"/>
      <c r="F137" s="527"/>
      <c r="G137" s="269"/>
      <c r="H137" s="269"/>
      <c r="I137" s="222" t="str">
        <f>+"WP10 Storm Ln "&amp;'WP10 Storm'!A50&amp;" Column "&amp;'WP10 Storm'!E6</f>
        <v xml:space="preserve">WP10 Storm Ln 13 Column D </v>
      </c>
      <c r="J137" s="79"/>
      <c r="K137" s="79"/>
      <c r="L137" s="268"/>
      <c r="M137" s="268"/>
    </row>
    <row r="138" spans="1:16">
      <c r="A138" s="863">
        <f>+A137+0.1</f>
        <v>47.2</v>
      </c>
      <c r="B138" s="80"/>
      <c r="C138" s="574" t="s">
        <v>765</v>
      </c>
      <c r="D138" s="1449">
        <f>+'WP AJ1 MISO'!K66</f>
        <v>-21939.57</v>
      </c>
      <c r="E138" s="256"/>
      <c r="F138" s="527"/>
      <c r="G138" s="269"/>
      <c r="H138" s="269"/>
      <c r="I138" s="222" t="str">
        <f>+"WP AJ1 MISO Ln "&amp;'WP AJ1 MISO'!A66&amp;" Column "&amp;'WP AJ1 MISO'!K8</f>
        <v>WP AJ1 MISO Ln 13 Column J</v>
      </c>
      <c r="J138" s="79"/>
      <c r="K138" s="79"/>
      <c r="L138" s="268"/>
      <c r="M138" s="268"/>
    </row>
    <row r="139" spans="1:16">
      <c r="A139" s="863">
        <f>+A138+0.1</f>
        <v>47.300000000000004</v>
      </c>
      <c r="B139" s="80"/>
      <c r="C139" s="574" t="s">
        <v>990</v>
      </c>
      <c r="D139" s="1449">
        <f>-'WP AJ2 ITC'!F52</f>
        <v>0</v>
      </c>
      <c r="E139" s="256"/>
      <c r="F139" s="527"/>
      <c r="G139" s="269"/>
      <c r="H139" s="269"/>
      <c r="I139" s="222" t="str">
        <f>"WP AJ2 ITC Ln "&amp;'WP AJ2 ITC'!A52&amp;" Column "&amp;'WP AJ2 ITC'!F6</f>
        <v>WP AJ2 ITC Ln 13 Column D</v>
      </c>
      <c r="J139" s="79"/>
      <c r="K139" s="79"/>
      <c r="L139" s="268"/>
      <c r="M139" s="268"/>
    </row>
    <row r="140" spans="1:16" s="942" customFormat="1">
      <c r="A140" s="863">
        <f t="shared" ref="A140" si="13">+A139+0.1</f>
        <v>47.400000000000006</v>
      </c>
      <c r="B140" s="943"/>
      <c r="C140" s="1296" t="s">
        <v>991</v>
      </c>
      <c r="D140" s="1449">
        <f>-'WP AJ4 LA Merger'!E47</f>
        <v>0</v>
      </c>
      <c r="E140" s="736"/>
      <c r="F140" s="946"/>
      <c r="G140" s="947"/>
      <c r="H140" s="947"/>
      <c r="I140" s="1414" t="str">
        <f>"WP AJ4 LA Merger Ln "&amp;'WP AJ4 LA Merger'!A47&amp;" Column "&amp;'WP AJ4 LA Merger'!E6</f>
        <v>WP AJ4 LA Merger Ln 13 Column D</v>
      </c>
      <c r="J140" s="79"/>
      <c r="L140" s="943"/>
      <c r="M140" s="948"/>
      <c r="N140" s="943"/>
    </row>
    <row r="141" spans="1:16" s="1608" customFormat="1">
      <c r="A141" s="863">
        <f>+A140+0.1</f>
        <v>47.500000000000007</v>
      </c>
      <c r="B141" s="79"/>
      <c r="C141" s="574" t="s">
        <v>1361</v>
      </c>
      <c r="D141" s="1672">
        <f>+'WP AJ3 GPRD'!E25</f>
        <v>600214.19999999995</v>
      </c>
      <c r="E141" s="268"/>
      <c r="F141" s="268"/>
      <c r="G141" s="268"/>
      <c r="H141" s="268"/>
      <c r="I141" s="1414" t="str">
        <f>+"WP AJ3 GPRD Ln "&amp;'WP AJ3 GPRD'!A25&amp;" Column "&amp;LEFT('WP AJ3 GPRD'!E5,1)</f>
        <v>WP AJ3 GPRD Ln 2 Column D</v>
      </c>
      <c r="J141" s="79" t="s">
        <v>1444</v>
      </c>
      <c r="L141" s="948"/>
      <c r="M141" s="948"/>
      <c r="N141" s="948"/>
    </row>
    <row r="142" spans="1:16" s="942" customFormat="1">
      <c r="A142" s="1303">
        <f t="shared" ref="A142:A144" si="14">+A141+0.1</f>
        <v>47.600000000000009</v>
      </c>
      <c r="B142" s="1304"/>
      <c r="C142" s="2003" t="s">
        <v>1736</v>
      </c>
      <c r="D142" s="2004">
        <f>'Support to WP02'!I52</f>
        <v>-42402.2</v>
      </c>
      <c r="E142" s="1887"/>
      <c r="F142" s="1887"/>
      <c r="G142" s="1887"/>
      <c r="H142" s="268"/>
      <c r="I142" s="2005" t="str">
        <f>"Support to WP02 Ln "&amp;'Support to WP02'!A52&amp;" Column "&amp;'Support to WP02'!$I$6</f>
        <v>Support to WP02 Ln 13 Column I</v>
      </c>
      <c r="J142" s="66" t="s">
        <v>1737</v>
      </c>
      <c r="L142" s="1746" t="s">
        <v>1738</v>
      </c>
      <c r="N142" s="1887"/>
      <c r="O142" s="1887"/>
      <c r="P142" s="1887"/>
    </row>
    <row r="143" spans="1:16" s="942" customFormat="1">
      <c r="A143" s="1303">
        <f t="shared" si="14"/>
        <v>47.70000000000001</v>
      </c>
      <c r="B143" s="1304"/>
      <c r="C143" s="2007" t="s">
        <v>1807</v>
      </c>
      <c r="D143" s="2008">
        <v>1790658</v>
      </c>
      <c r="E143" s="268"/>
      <c r="F143" s="1887"/>
      <c r="G143" s="268"/>
      <c r="H143" s="268"/>
      <c r="I143" s="2009" t="s">
        <v>1811</v>
      </c>
      <c r="J143" s="66" t="s">
        <v>1808</v>
      </c>
      <c r="L143" s="943"/>
      <c r="M143" s="943"/>
      <c r="N143" s="943"/>
    </row>
    <row r="144" spans="1:16" s="942" customFormat="1">
      <c r="A144" s="1303">
        <f t="shared" si="14"/>
        <v>47.800000000000011</v>
      </c>
      <c r="B144" s="1304"/>
      <c r="C144" s="1302" t="s">
        <v>905</v>
      </c>
      <c r="D144" s="194"/>
      <c r="E144" s="268"/>
      <c r="F144" s="268"/>
      <c r="G144" s="268"/>
      <c r="H144" s="268"/>
      <c r="I144" s="1301"/>
      <c r="J144" s="860"/>
      <c r="L144" s="943"/>
      <c r="M144" s="943"/>
      <c r="N144" s="943"/>
    </row>
    <row r="145" spans="1:16" s="942" customFormat="1">
      <c r="A145" s="1303" t="s">
        <v>898</v>
      </c>
      <c r="B145" s="1304"/>
      <c r="C145" s="1302" t="s">
        <v>905</v>
      </c>
      <c r="D145" s="194"/>
      <c r="E145" s="268"/>
      <c r="F145" s="268"/>
      <c r="G145" s="268"/>
      <c r="H145" s="268"/>
      <c r="I145" s="1301"/>
      <c r="J145" s="860"/>
      <c r="L145" s="943"/>
      <c r="M145" s="943"/>
      <c r="N145" s="943"/>
    </row>
    <row r="146" spans="1:16" s="942" customFormat="1">
      <c r="A146" s="1303" t="str">
        <f>+A136&amp;".x"</f>
        <v>47.x</v>
      </c>
      <c r="B146" s="1304"/>
      <c r="C146" s="1302" t="s">
        <v>905</v>
      </c>
      <c r="D146" s="264"/>
      <c r="E146" s="268"/>
      <c r="F146" s="268"/>
      <c r="G146" s="268"/>
      <c r="H146" s="268"/>
      <c r="I146" s="1301"/>
      <c r="J146" s="860"/>
      <c r="L146" s="943"/>
      <c r="M146" s="943"/>
      <c r="N146" s="943"/>
    </row>
    <row r="147" spans="1:16">
      <c r="A147" s="861">
        <f>+A136+1</f>
        <v>48</v>
      </c>
      <c r="B147" s="80"/>
      <c r="C147" s="931" t="s">
        <v>484</v>
      </c>
      <c r="D147" s="166">
        <f>SUM(D137:D146)</f>
        <v>2326530.4300000002</v>
      </c>
      <c r="E147" s="527"/>
      <c r="F147" s="527"/>
      <c r="G147" s="269"/>
      <c r="H147" s="269"/>
      <c r="I147" s="981" t="str">
        <f>+"Sum Ln "&amp;A136&amp;" Subparts"</f>
        <v>Sum Ln 47 Subparts</v>
      </c>
      <c r="J147" s="79"/>
      <c r="K147" s="79"/>
      <c r="L147" s="268"/>
      <c r="M147" s="268"/>
    </row>
    <row r="148" spans="1:16">
      <c r="A148" s="861">
        <f t="shared" si="12"/>
        <v>49</v>
      </c>
      <c r="B148" s="80"/>
      <c r="C148" s="273"/>
      <c r="D148" s="280"/>
      <c r="E148" s="256"/>
      <c r="F148" s="527"/>
      <c r="G148" s="269"/>
      <c r="H148" s="269"/>
      <c r="I148" s="273"/>
      <c r="J148" s="79"/>
      <c r="K148" s="79"/>
      <c r="L148" s="268"/>
      <c r="M148" s="268"/>
    </row>
    <row r="149" spans="1:16">
      <c r="A149" s="861">
        <f t="shared" si="12"/>
        <v>50</v>
      </c>
      <c r="B149" s="629" t="s">
        <v>40</v>
      </c>
      <c r="C149" s="626"/>
      <c r="D149" s="627"/>
      <c r="E149" s="627"/>
      <c r="F149" s="628"/>
      <c r="G149" s="630"/>
      <c r="H149" s="631"/>
      <c r="I149" s="693"/>
      <c r="J149" s="79"/>
      <c r="K149" s="80"/>
    </row>
    <row r="150" spans="1:16">
      <c r="A150" s="861">
        <f t="shared" si="12"/>
        <v>51</v>
      </c>
      <c r="B150" s="46"/>
      <c r="C150" s="649"/>
      <c r="D150" s="189"/>
      <c r="E150" s="189"/>
      <c r="F150" s="650"/>
      <c r="G150" s="45"/>
      <c r="H150" s="561"/>
      <c r="I150" s="700"/>
      <c r="J150" s="79"/>
      <c r="K150" s="80"/>
      <c r="O150" s="80"/>
      <c r="P150" s="80"/>
    </row>
    <row r="151" spans="1:16">
      <c r="A151" s="861">
        <f t="shared" si="12"/>
        <v>52</v>
      </c>
      <c r="B151" s="46"/>
      <c r="C151" s="225" t="s">
        <v>772</v>
      </c>
      <c r="D151" s="268"/>
      <c r="E151" s="189"/>
      <c r="F151" s="650"/>
      <c r="G151" s="45"/>
      <c r="H151" s="561"/>
      <c r="I151" s="79"/>
      <c r="J151" s="79"/>
      <c r="K151" s="80"/>
      <c r="O151" s="80"/>
      <c r="P151" s="80"/>
    </row>
    <row r="152" spans="1:16">
      <c r="A152" s="863">
        <f>+A151+0.1</f>
        <v>52.1</v>
      </c>
      <c r="B152" s="46"/>
      <c r="C152" s="574" t="s">
        <v>764</v>
      </c>
      <c r="D152" s="1449">
        <f>+'WP10 Storm'!E51</f>
        <v>0</v>
      </c>
      <c r="E152" s="189"/>
      <c r="F152" s="650"/>
      <c r="G152" s="45"/>
      <c r="H152" s="561"/>
      <c r="I152" s="222" t="str">
        <f>+"WP10 Storm Ln "&amp;'WP10 Storm'!A51&amp;" Column "&amp;'WP10 Storm'!E6</f>
        <v xml:space="preserve">WP10 Storm Ln 14 Column D </v>
      </c>
      <c r="J152" s="79"/>
      <c r="K152" s="80"/>
      <c r="O152" s="80"/>
      <c r="P152" s="80"/>
    </row>
    <row r="153" spans="1:16">
      <c r="A153" s="863">
        <f>+A152+0.1</f>
        <v>52.2</v>
      </c>
      <c r="B153" s="46"/>
      <c r="C153" s="574" t="s">
        <v>765</v>
      </c>
      <c r="D153" s="154">
        <f>'WP AJ1 MISO'!K67</f>
        <v>2518.9899999999998</v>
      </c>
      <c r="E153" s="189"/>
      <c r="F153" s="650"/>
      <c r="G153" s="45"/>
      <c r="H153" s="561"/>
      <c r="I153" s="222" t="str">
        <f>+"WP AJ1 MISO Ln "&amp;'WP AJ1 MISO'!A67&amp;" Column "&amp;'WP AJ1 MISO'!K8</f>
        <v>WP AJ1 MISO Ln 14 Column J</v>
      </c>
      <c r="J153" s="79" t="s">
        <v>1575</v>
      </c>
      <c r="K153" s="80"/>
      <c r="O153" s="80"/>
      <c r="P153" s="80"/>
    </row>
    <row r="154" spans="1:16">
      <c r="A154" s="863">
        <f>+A153+0.1</f>
        <v>52.300000000000004</v>
      </c>
      <c r="B154" s="46"/>
      <c r="C154" s="574" t="s">
        <v>992</v>
      </c>
      <c r="D154" s="154">
        <f>-'WP AJ2 ITC'!F53</f>
        <v>0</v>
      </c>
      <c r="E154" s="189"/>
      <c r="F154" s="650"/>
      <c r="G154" s="45"/>
      <c r="H154" s="561"/>
      <c r="I154" s="222" t="str">
        <f>"WP AJ2 ITC Ln "&amp;'WP AJ2 ITC'!A53&amp;" Column "&amp;'WP AJ2 ITC'!F6</f>
        <v>WP AJ2 ITC Ln 14 Column D</v>
      </c>
      <c r="J154" s="79"/>
      <c r="K154" s="80"/>
      <c r="O154" s="80"/>
      <c r="P154" s="80"/>
    </row>
    <row r="155" spans="1:16" s="942" customFormat="1">
      <c r="A155" s="863">
        <f t="shared" ref="A155:A157" si="15">+A154+0.1</f>
        <v>52.400000000000006</v>
      </c>
      <c r="B155" s="949"/>
      <c r="C155" s="1296" t="s">
        <v>993</v>
      </c>
      <c r="D155" s="1450">
        <f>-'WP AJ4 LA Merger'!E48</f>
        <v>-21.450000000000003</v>
      </c>
      <c r="E155" s="950"/>
      <c r="F155" s="951"/>
      <c r="G155" s="945"/>
      <c r="H155" s="952"/>
      <c r="I155" s="1414" t="str">
        <f>"WP AJ4 LA Merger Ln "&amp;'WP AJ4 LA Merger'!A48&amp;" Column "&amp;'WP AJ4 LA Merger'!E6</f>
        <v>WP AJ4 LA Merger Ln 14 Column D</v>
      </c>
      <c r="J155" s="79"/>
      <c r="L155" s="943"/>
      <c r="M155" s="943"/>
      <c r="N155" s="943"/>
      <c r="O155" s="943"/>
      <c r="P155" s="943"/>
    </row>
    <row r="156" spans="1:16" s="942" customFormat="1">
      <c r="A156" s="1303">
        <f t="shared" si="15"/>
        <v>52.500000000000007</v>
      </c>
      <c r="B156" s="2006"/>
      <c r="C156" s="2003" t="s">
        <v>1736</v>
      </c>
      <c r="D156" s="2004">
        <f>'Support to WP02'!I53</f>
        <v>-18561.32</v>
      </c>
      <c r="E156" s="1887"/>
      <c r="F156" s="1887"/>
      <c r="G156" s="1887"/>
      <c r="H156" s="268"/>
      <c r="I156" s="2005" t="str">
        <f>"Support to WP02 Ln "&amp;'Support to WP02'!A53&amp;" Column "&amp;'Support to WP02'!$I$6</f>
        <v>Support to WP02 Ln 14 Column I</v>
      </c>
      <c r="J156" s="79"/>
      <c r="L156" s="943"/>
      <c r="M156" s="943"/>
      <c r="N156" s="943"/>
      <c r="O156" s="943"/>
      <c r="P156" s="943"/>
    </row>
    <row r="157" spans="1:16" s="942" customFormat="1">
      <c r="A157" s="1303">
        <f t="shared" si="15"/>
        <v>52.600000000000009</v>
      </c>
      <c r="B157" s="1304"/>
      <c r="C157" s="1302" t="s">
        <v>905</v>
      </c>
      <c r="D157" s="194"/>
      <c r="E157" s="268"/>
      <c r="F157" s="268"/>
      <c r="G157" s="268"/>
      <c r="H157" s="268"/>
      <c r="I157" s="1301"/>
      <c r="J157" s="860"/>
      <c r="L157" s="943"/>
      <c r="M157" s="943"/>
      <c r="N157" s="943"/>
    </row>
    <row r="158" spans="1:16" s="942" customFormat="1">
      <c r="A158" s="1303" t="s">
        <v>898</v>
      </c>
      <c r="B158" s="1304"/>
      <c r="C158" s="1302" t="s">
        <v>905</v>
      </c>
      <c r="D158" s="194"/>
      <c r="E158" s="268"/>
      <c r="F158" s="268"/>
      <c r="G158" s="268"/>
      <c r="H158" s="268"/>
      <c r="I158" s="1301"/>
      <c r="J158" s="860"/>
      <c r="L158" s="943"/>
      <c r="M158" s="943"/>
      <c r="N158" s="943"/>
    </row>
    <row r="159" spans="1:16" s="942" customFormat="1">
      <c r="A159" s="1303" t="str">
        <f>+A151&amp;".x"</f>
        <v>52.x</v>
      </c>
      <c r="B159" s="1304"/>
      <c r="C159" s="1302" t="s">
        <v>905</v>
      </c>
      <c r="D159" s="264"/>
      <c r="E159" s="268"/>
      <c r="F159" s="268"/>
      <c r="G159" s="268"/>
      <c r="H159" s="268"/>
      <c r="I159" s="1301"/>
      <c r="J159" s="860"/>
      <c r="L159" s="943"/>
      <c r="M159" s="943"/>
      <c r="N159" s="943"/>
    </row>
    <row r="160" spans="1:16">
      <c r="A160" s="861">
        <f>+A151+1</f>
        <v>53</v>
      </c>
      <c r="B160" s="46"/>
      <c r="C160" s="931" t="s">
        <v>543</v>
      </c>
      <c r="D160" s="166">
        <f>SUM(D152:D159)</f>
        <v>-16063.779999999999</v>
      </c>
      <c r="E160" s="189"/>
      <c r="F160" s="650"/>
      <c r="G160" s="45"/>
      <c r="H160" s="561"/>
      <c r="I160" s="981" t="str">
        <f>+"Sum Ln "&amp;A151&amp;" Subparts"</f>
        <v>Sum Ln 52 Subparts</v>
      </c>
      <c r="J160" s="79"/>
      <c r="K160" s="80"/>
      <c r="O160" s="80"/>
      <c r="P160" s="80"/>
    </row>
    <row r="161" spans="1:17">
      <c r="A161" s="861">
        <f t="shared" si="12"/>
        <v>54</v>
      </c>
      <c r="B161" s="46"/>
      <c r="C161" s="649"/>
      <c r="D161" s="189"/>
      <c r="E161" s="189"/>
      <c r="F161" s="650"/>
      <c r="G161" s="45"/>
      <c r="H161" s="561"/>
      <c r="I161" s="700"/>
      <c r="J161" s="79"/>
      <c r="K161" s="80"/>
      <c r="O161" s="80"/>
      <c r="P161" s="80"/>
    </row>
    <row r="162" spans="1:17">
      <c r="A162" s="861">
        <f t="shared" si="12"/>
        <v>55</v>
      </c>
      <c r="B162" s="629" t="s">
        <v>481</v>
      </c>
      <c r="C162" s="626"/>
      <c r="D162" s="627"/>
      <c r="E162" s="627"/>
      <c r="F162" s="628"/>
      <c r="G162" s="630"/>
      <c r="H162" s="631"/>
      <c r="I162" s="693"/>
      <c r="J162" s="79"/>
      <c r="K162" s="601"/>
      <c r="L162" s="281"/>
      <c r="M162" s="546"/>
    </row>
    <row r="163" spans="1:17">
      <c r="A163" s="861">
        <f t="shared" si="12"/>
        <v>56</v>
      </c>
      <c r="D163" s="708" t="s">
        <v>461</v>
      </c>
      <c r="E163" s="271"/>
      <c r="F163" s="708" t="s">
        <v>319</v>
      </c>
      <c r="J163" s="79"/>
      <c r="K163" s="601"/>
      <c r="L163" s="281"/>
      <c r="M163" s="546"/>
    </row>
    <row r="164" spans="1:17" ht="15">
      <c r="A164" s="861">
        <f t="shared" si="12"/>
        <v>57</v>
      </c>
      <c r="C164" s="623" t="s">
        <v>78</v>
      </c>
      <c r="D164" s="542" t="s">
        <v>514</v>
      </c>
      <c r="E164" s="271"/>
      <c r="F164" s="542" t="s">
        <v>167</v>
      </c>
      <c r="G164" s="276"/>
      <c r="H164" s="268"/>
      <c r="I164" s="268"/>
      <c r="J164" s="935"/>
      <c r="K164" s="601"/>
      <c r="L164" s="281"/>
      <c r="M164" s="546"/>
    </row>
    <row r="165" spans="1:17">
      <c r="A165" s="863">
        <f>+A164+0.1</f>
        <v>57.1</v>
      </c>
      <c r="B165" s="274"/>
      <c r="C165" s="621" t="s">
        <v>443</v>
      </c>
      <c r="D165" s="269">
        <f>+'WP04 PIS'!H23</f>
        <v>4182015.9907692331</v>
      </c>
      <c r="E165" s="566"/>
      <c r="F165" s="269">
        <f>+'WP04 PIS'!H21</f>
        <v>3308211.9100000011</v>
      </c>
      <c r="G165" s="541"/>
      <c r="H165" s="269"/>
      <c r="I165" s="165" t="str">
        <f>+"WP04 PIS Ln "&amp;'WP04 PIS'!A23&amp;" &amp; Ln "&amp;'WP04 PIS'!A21&amp;" Col "&amp;'WP04 PIS'!H5</f>
        <v>WP04 PIS Ln 18 &amp; Ln 16 Col G</v>
      </c>
      <c r="J165" s="79"/>
      <c r="K165" s="601"/>
      <c r="L165" s="281"/>
      <c r="M165" s="546"/>
    </row>
    <row r="166" spans="1:17">
      <c r="A166" s="863">
        <f>+A165+0.1</f>
        <v>57.2</v>
      </c>
      <c r="B166" s="274"/>
      <c r="C166" s="621" t="s">
        <v>265</v>
      </c>
      <c r="D166" s="269">
        <f>+'WP04 PIS'!I23</f>
        <v>0</v>
      </c>
      <c r="E166" s="566"/>
      <c r="F166" s="269">
        <f>+'WP04 PIS'!I21</f>
        <v>0</v>
      </c>
      <c r="G166" s="541"/>
      <c r="H166" s="269"/>
      <c r="I166" s="165" t="str">
        <f>+"WP04 PIS Ln "&amp;'WP04 PIS'!A23&amp;" &amp; Ln "&amp;'WP04 PIS'!A21&amp;" Col "&amp;'WP04 PIS'!I5</f>
        <v>WP04 PIS Ln 18 &amp; Ln 16 Col H</v>
      </c>
      <c r="J166" s="601"/>
      <c r="K166" s="79"/>
      <c r="L166" s="268"/>
      <c r="M166" s="268"/>
    </row>
    <row r="167" spans="1:17" s="79" customFormat="1">
      <c r="A167" s="863">
        <f>+A166+0.1</f>
        <v>57.300000000000004</v>
      </c>
      <c r="B167" s="274"/>
      <c r="C167" s="621" t="s">
        <v>615</v>
      </c>
      <c r="D167" s="269">
        <f>+'WP15 Radials'!G8</f>
        <v>0</v>
      </c>
      <c r="E167" s="958"/>
      <c r="F167" s="269">
        <f>+'WP15 Radials'!F8</f>
        <v>0</v>
      </c>
      <c r="G167" s="541"/>
      <c r="H167" s="269"/>
      <c r="I167" s="165" t="str">
        <f>+"WP15 Radials Ln"&amp;'WP15 Radials'!A8&amp;" Col "&amp;'WP15 Radials'!G5&amp;" &amp; "&amp;'WP15 Radials'!F5</f>
        <v>WP15 Radials Ln3 Col F &amp; E</v>
      </c>
      <c r="K167" s="196"/>
      <c r="L167" s="45"/>
      <c r="M167" s="45"/>
      <c r="N167" s="268"/>
      <c r="O167" s="268"/>
      <c r="P167" s="268"/>
    </row>
    <row r="168" spans="1:17">
      <c r="A168" s="863">
        <f>+A167+0.1</f>
        <v>57.400000000000006</v>
      </c>
      <c r="B168" s="274"/>
      <c r="C168" s="621" t="s">
        <v>269</v>
      </c>
      <c r="D168" s="564">
        <f>+'WP16 Interconn'!P19</f>
        <v>0</v>
      </c>
      <c r="E168" s="566"/>
      <c r="F168" s="564">
        <f>+'WP16 Interconn'!O19</f>
        <v>0</v>
      </c>
      <c r="G168" s="541"/>
      <c r="H168" s="269"/>
      <c r="I168" s="165" t="str">
        <f>+"WP16 Interconn Ln "&amp;'WP16 Interconn'!A19&amp;" Col "&amp;'WP16 Interconn'!P5&amp;" &amp; "&amp;'WP16 Interconn'!O5</f>
        <v>WP16 Interconn Ln 7 Col O &amp; N</v>
      </c>
      <c r="J168" s="269"/>
      <c r="K168" s="196"/>
      <c r="L168" s="45"/>
      <c r="M168" s="45"/>
      <c r="O168" s="80"/>
      <c r="P168" s="80"/>
    </row>
    <row r="169" spans="1:17">
      <c r="A169" s="861">
        <f>+A164+1</f>
        <v>58</v>
      </c>
      <c r="B169" s="274"/>
      <c r="C169" s="931" t="str">
        <f>+"Total "&amp;C164</f>
        <v>Total Excluded Transmission Facilities</v>
      </c>
      <c r="D169" s="269">
        <f>SUM(D165:D168)</f>
        <v>4182015.9907692331</v>
      </c>
      <c r="E169" s="527"/>
      <c r="F169" s="527">
        <f>SUM(F165:F168)</f>
        <v>3308211.9100000011</v>
      </c>
      <c r="G169" s="527"/>
      <c r="H169" s="527"/>
      <c r="I169" s="848" t="str">
        <f>+"Sum Ln "&amp;A164&amp;" Subparts"</f>
        <v>Sum Ln 57 Subparts</v>
      </c>
      <c r="J169" s="935"/>
      <c r="K169" s="196"/>
      <c r="L169" s="45"/>
      <c r="M169" s="45"/>
      <c r="O169" s="80"/>
      <c r="P169" s="80"/>
    </row>
    <row r="170" spans="1:17">
      <c r="B170" s="268"/>
      <c r="C170" s="268"/>
      <c r="D170" s="268"/>
      <c r="E170" s="268"/>
      <c r="F170" s="268"/>
      <c r="G170" s="268"/>
      <c r="H170" s="268"/>
      <c r="I170" s="222"/>
      <c r="J170" s="269"/>
      <c r="K170" s="196"/>
      <c r="L170" s="45"/>
      <c r="M170" s="45"/>
      <c r="O170" s="80"/>
      <c r="P170" s="80"/>
    </row>
    <row r="171" spans="1:17">
      <c r="A171" s="572" t="s">
        <v>125</v>
      </c>
      <c r="B171" s="80"/>
      <c r="C171" s="620"/>
      <c r="D171" s="612"/>
      <c r="E171" s="611"/>
      <c r="F171" s="611"/>
      <c r="G171" s="611"/>
      <c r="H171" s="611"/>
      <c r="I171" s="697"/>
      <c r="J171" s="269"/>
      <c r="K171" s="196"/>
      <c r="L171" s="45"/>
      <c r="M171" s="45"/>
      <c r="O171" s="80"/>
      <c r="P171" s="80"/>
    </row>
    <row r="172" spans="1:17" ht="40.200000000000003" customHeight="1">
      <c r="A172" s="1030" t="s">
        <v>171</v>
      </c>
      <c r="B172" s="2060" t="s">
        <v>973</v>
      </c>
      <c r="C172" s="2060"/>
      <c r="D172" s="2060"/>
      <c r="E172" s="2060"/>
      <c r="F172" s="2060"/>
      <c r="G172" s="2060"/>
      <c r="H172" s="2060"/>
      <c r="I172" s="2060"/>
      <c r="J172" s="707"/>
      <c r="O172" s="80"/>
      <c r="P172" s="80"/>
    </row>
    <row r="173" spans="1:17" ht="27" customHeight="1">
      <c r="A173" s="1162" t="s">
        <v>320</v>
      </c>
      <c r="B173" s="2041" t="s">
        <v>910</v>
      </c>
      <c r="C173" s="2041"/>
      <c r="D173" s="2041"/>
      <c r="E173" s="2041"/>
      <c r="F173" s="2041"/>
      <c r="G173" s="2041"/>
      <c r="H173" s="2041"/>
      <c r="I173" s="2041"/>
      <c r="J173" s="707"/>
      <c r="O173" s="80"/>
      <c r="P173" s="80"/>
    </row>
    <row r="174" spans="1:17">
      <c r="A174" s="1162" t="s">
        <v>321</v>
      </c>
      <c r="B174" s="2059" t="str">
        <f>+"See Appendix A Note "&amp;'Appendix A'!A331</f>
        <v>See Appendix A Note X</v>
      </c>
      <c r="C174" s="2059"/>
      <c r="D174" s="934"/>
      <c r="E174" s="546"/>
      <c r="F174" s="546"/>
      <c r="G174" s="546"/>
      <c r="H174" s="546"/>
      <c r="I174" s="1163"/>
    </row>
    <row r="175" spans="1:17" ht="28.2" customHeight="1">
      <c r="A175" s="1162" t="s">
        <v>322</v>
      </c>
      <c r="B175" s="2057" t="s">
        <v>922</v>
      </c>
      <c r="C175" s="2057"/>
      <c r="D175" s="2057"/>
      <c r="E175" s="2057"/>
      <c r="F175" s="2057"/>
      <c r="G175" s="2057"/>
      <c r="H175" s="2057"/>
      <c r="I175" s="2057"/>
    </row>
    <row r="176" spans="1:17" ht="67.2" customHeight="1">
      <c r="A176" s="1162" t="s">
        <v>323</v>
      </c>
      <c r="B176" s="2054" t="s">
        <v>838</v>
      </c>
      <c r="C176" s="2054"/>
      <c r="D176" s="2054"/>
      <c r="E176" s="2054"/>
      <c r="F176" s="2054"/>
      <c r="G176" s="2054"/>
      <c r="H176" s="2054"/>
      <c r="I176" s="2054"/>
      <c r="J176" s="1152"/>
      <c r="K176" s="1152"/>
      <c r="L176" s="1152"/>
      <c r="M176" s="1152"/>
      <c r="N176" s="1152"/>
      <c r="O176" s="1152"/>
      <c r="P176" s="1152"/>
      <c r="Q176" s="1152"/>
    </row>
    <row r="177" spans="2:17">
      <c r="B177" s="2054"/>
      <c r="C177" s="2054"/>
      <c r="D177" s="2054"/>
      <c r="E177" s="2054"/>
      <c r="F177" s="2054"/>
      <c r="G177" s="2054"/>
      <c r="H177" s="2054"/>
      <c r="I177" s="2054"/>
      <c r="J177" s="2054"/>
      <c r="K177" s="2054"/>
      <c r="L177" s="2054"/>
      <c r="M177" s="2054"/>
      <c r="N177" s="2054"/>
      <c r="O177" s="2054"/>
      <c r="P177" s="2054"/>
      <c r="Q177" s="2054"/>
    </row>
    <row r="178" spans="2:17">
      <c r="B178" s="2055"/>
      <c r="C178" s="2055"/>
      <c r="D178" s="2055"/>
      <c r="E178" s="2055"/>
      <c r="F178" s="2055"/>
      <c r="G178" s="2055"/>
      <c r="H178" s="2055"/>
      <c r="I178" s="2055"/>
      <c r="J178" s="2055"/>
      <c r="K178" s="2055"/>
      <c r="L178" s="2055"/>
      <c r="M178" s="2055"/>
      <c r="N178" s="2055"/>
      <c r="O178" s="2055"/>
      <c r="P178" s="2055"/>
      <c r="Q178" s="2055"/>
    </row>
    <row r="179" spans="2:17" ht="14.4">
      <c r="B179" s="2056"/>
      <c r="C179" s="2056"/>
      <c r="D179" s="2056"/>
      <c r="E179" s="2056"/>
      <c r="F179" s="2056"/>
      <c r="G179" s="2056"/>
      <c r="H179" s="2056"/>
      <c r="I179" s="2056"/>
      <c r="J179" s="2056"/>
      <c r="K179" s="2056"/>
      <c r="L179" s="2056"/>
      <c r="M179" s="2056"/>
      <c r="N179" s="2056"/>
      <c r="O179" s="2056"/>
      <c r="P179" s="2056"/>
      <c r="Q179" s="2056"/>
    </row>
  </sheetData>
  <mergeCells count="12">
    <mergeCell ref="A1:I1"/>
    <mergeCell ref="B173:I173"/>
    <mergeCell ref="B177:Q177"/>
    <mergeCell ref="B178:Q178"/>
    <mergeCell ref="B179:Q179"/>
    <mergeCell ref="B176:I176"/>
    <mergeCell ref="B175:I175"/>
    <mergeCell ref="K121:L128"/>
    <mergeCell ref="B174:C174"/>
    <mergeCell ref="B172:I172"/>
    <mergeCell ref="A3:I3"/>
    <mergeCell ref="A2:I2"/>
  </mergeCells>
  <printOptions horizontalCentered="1"/>
  <pageMargins left="0.5" right="0.5" top="0.7" bottom="0.7" header="0.3" footer="0.5"/>
  <pageSetup scale="70" fitToHeight="19" orientation="landscape" r:id="rId1"/>
  <headerFooter>
    <oddFooter>&amp;R&amp;A</oddFooter>
  </headerFooter>
  <rowBreaks count="3" manualBreakCount="3">
    <brk id="56" max="8" man="1"/>
    <brk id="104" max="8" man="1"/>
    <brk id="1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54</vt:i4>
      </vt:variant>
    </vt:vector>
  </HeadingPairs>
  <TitlesOfParts>
    <vt:vector size="94" baseType="lpstr">
      <vt:lpstr>Explanatory Statement</vt:lpstr>
      <vt:lpstr>Variance</vt:lpstr>
      <vt:lpstr>MISO Cover</vt:lpstr>
      <vt:lpstr>Appendix A</vt:lpstr>
      <vt:lpstr>App A Support</vt:lpstr>
      <vt:lpstr>WP01 True-Up</vt:lpstr>
      <vt:lpstr>WP01 TU Support1</vt:lpstr>
      <vt:lpstr>WP01 TU Support2</vt:lpstr>
      <vt:lpstr>WP02 Support</vt:lpstr>
      <vt:lpstr>Support to WP02</vt:lpstr>
      <vt:lpstr>WP03 W&amp;S</vt:lpstr>
      <vt:lpstr>WP04 PIS</vt:lpstr>
      <vt:lpstr>WP04 Support</vt:lpstr>
      <vt:lpstr>WP04 Support 2</vt:lpstr>
      <vt:lpstr>WP05 CapAds</vt:lpstr>
      <vt:lpstr>WP06 ADIT</vt:lpstr>
      <vt:lpstr>WP06 ADIT Support</vt:lpstr>
      <vt:lpstr>WP07 M&amp;S</vt:lpstr>
      <vt:lpstr>WP08 Prepay</vt:lpstr>
      <vt:lpstr>WP09 PHFU</vt:lpstr>
      <vt:lpstr>WP10 Storm</vt:lpstr>
      <vt:lpstr>WP11 Credits</vt:lpstr>
      <vt:lpstr>WP12 PBOP</vt:lpstr>
      <vt:lpstr>WP13 TOTI</vt:lpstr>
      <vt:lpstr>WP14 COC</vt:lpstr>
      <vt:lpstr>WP15 Radials</vt:lpstr>
      <vt:lpstr>WP16 Interconn</vt:lpstr>
      <vt:lpstr>WP17 Rev</vt:lpstr>
      <vt:lpstr>WP17 Rev Support</vt:lpstr>
      <vt:lpstr>WP18 Deprec</vt:lpstr>
      <vt:lpstr>WP18 Depr Support</vt:lpstr>
      <vt:lpstr>WP19 Load</vt:lpstr>
      <vt:lpstr>WP20 Reserves</vt:lpstr>
      <vt:lpstr>WP21 Pension</vt:lpstr>
      <vt:lpstr>WP22 IT Adj</vt:lpstr>
      <vt:lpstr>WP22 Support</vt:lpstr>
      <vt:lpstr>WP AJ1 MISO</vt:lpstr>
      <vt:lpstr>WP AJ2 ITC</vt:lpstr>
      <vt:lpstr>WP AJ3 GPRD</vt:lpstr>
      <vt:lpstr>WP AJ4 LA Merger</vt:lpstr>
      <vt:lpstr>'MISO Cover'!CE</vt:lpstr>
      <vt:lpstr>GP</vt:lpstr>
      <vt:lpstr>NP</vt:lpstr>
      <vt:lpstr>'App A Support'!Print_Area</vt:lpstr>
      <vt:lpstr>'Appendix A'!Print_Area</vt:lpstr>
      <vt:lpstr>'Explanatory Statement'!Print_Area</vt:lpstr>
      <vt:lpstr>'MISO Cover'!Print_Area</vt:lpstr>
      <vt:lpstr>'Support to WP02'!Print_Area</vt:lpstr>
      <vt:lpstr>'WP AJ1 MISO'!Print_Area</vt:lpstr>
      <vt:lpstr>'WP AJ2 ITC'!Print_Area</vt:lpstr>
      <vt:lpstr>'WP AJ3 GPRD'!Print_Area</vt:lpstr>
      <vt:lpstr>'WP AJ4 LA Merger'!Print_Area</vt:lpstr>
      <vt:lpstr>'WP01 True-Up'!Print_Area</vt:lpstr>
      <vt:lpstr>'WP01 TU Support1'!Print_Area</vt:lpstr>
      <vt:lpstr>'WP02 Support'!Print_Area</vt:lpstr>
      <vt:lpstr>'WP03 W&amp;S'!Print_Area</vt:lpstr>
      <vt:lpstr>'WP04 PIS'!Print_Area</vt:lpstr>
      <vt:lpstr>'WP04 Support'!Print_Area</vt:lpstr>
      <vt:lpstr>'WP04 Support 2'!Print_Area</vt:lpstr>
      <vt:lpstr>'WP05 CapAds'!Print_Area</vt:lpstr>
      <vt:lpstr>'WP06 ADIT'!Print_Area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'WP17 Rev Support'!Print_Area</vt:lpstr>
      <vt:lpstr>'WP18 Depr Support'!Print_Area</vt:lpstr>
      <vt:lpstr>'WP18 Deprec'!Print_Area</vt:lpstr>
      <vt:lpstr>'WP19 Load'!Print_Area</vt:lpstr>
      <vt:lpstr>'WP20 Reserves'!Print_Area</vt:lpstr>
      <vt:lpstr>'WP21 Pension'!Print_Area</vt:lpstr>
      <vt:lpstr>'WP22 IT Adj'!Print_Area</vt:lpstr>
      <vt:lpstr>'WP22 Support'!Print_Area</vt:lpstr>
      <vt:lpstr>'Appendix A'!Print_Titles</vt:lpstr>
      <vt:lpstr>'Support to WP02'!Print_Titles</vt:lpstr>
      <vt:lpstr>'WP AJ1 MISO'!Print_Titles</vt:lpstr>
      <vt:lpstr>'WP AJ2 ITC'!Print_Titles</vt:lpstr>
      <vt:lpstr>'WP01 True-Up'!Print_Titles</vt:lpstr>
      <vt:lpstr>'WP01 TU Support1'!Print_Titles</vt:lpstr>
      <vt:lpstr>'WP02 Support'!Print_Titles</vt:lpstr>
      <vt:lpstr>'WP04 PIS'!Print_Titles</vt:lpstr>
      <vt:lpstr>'WP06 ADIT'!Print_Titles</vt:lpstr>
      <vt:lpstr>'WP14 COC'!Print_Titles</vt:lpstr>
      <vt:lpstr>'WP15 Radials'!Print_Titles</vt:lpstr>
      <vt:lpstr>'WP20 Reserves'!Print_Titles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lsande2</cp:lastModifiedBy>
  <cp:lastPrinted>2018-04-18T17:39:57Z</cp:lastPrinted>
  <dcterms:created xsi:type="dcterms:W3CDTF">2004-01-21T20:42:01Z</dcterms:created>
  <dcterms:modified xsi:type="dcterms:W3CDTF">2018-04-19T20:39:32Z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y fmtid="{D5CDD505-2E9C-101B-9397-08002B2CF9AE}" pid="8" name="_ReviewingToolsShownOnce">
    <vt:lpwstr/>
  </property>
</Properties>
</file>