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5" windowWidth="14385" windowHeight="11760" tabRatio="742"/>
  </bookViews>
  <sheets>
    <sheet name="MISO Cover" sheetId="88" r:id="rId1"/>
    <sheet name="Appendix A" sheetId="75" r:id="rId2"/>
    <sheet name="Explanatory Stmts" sheetId="96" r:id="rId3"/>
    <sheet name="WP01 True-Up" sheetId="78" r:id="rId4"/>
    <sheet name="WP02 Support" sheetId="77" r:id="rId5"/>
    <sheet name="WP03 W&amp;S" sheetId="61" r:id="rId6"/>
    <sheet name="WP04 PIS" sheetId="62" r:id="rId7"/>
    <sheet name="WP05 CapAds" sheetId="84" r:id="rId8"/>
    <sheet name="WP06 ADIT" sheetId="2" r:id="rId9"/>
    <sheet name="WP07 M&amp;S" sheetId="91" r:id="rId10"/>
    <sheet name="WP08 Prepay" sheetId="73" r:id="rId11"/>
    <sheet name="WP09 PHFU" sheetId="58" r:id="rId12"/>
    <sheet name="WP10 Storm" sheetId="93" r:id="rId13"/>
    <sheet name="WP11 Credits" sheetId="60" r:id="rId14"/>
    <sheet name="WP12 PBOP" sheetId="57" r:id="rId15"/>
    <sheet name="WP13 TOTI" sheetId="49" r:id="rId16"/>
    <sheet name="WP14 COC" sheetId="44" r:id="rId17"/>
    <sheet name="WP15 Radials" sheetId="86" r:id="rId18"/>
    <sheet name="WP16 Interconn" sheetId="85" r:id="rId19"/>
    <sheet name="WP17 Rev" sheetId="51" r:id="rId20"/>
    <sheet name="WP18 Deprec" sheetId="66" r:id="rId21"/>
    <sheet name="WP19 Load" sheetId="67" r:id="rId22"/>
    <sheet name="WP20 Reserves" sheetId="74" r:id="rId23"/>
    <sheet name="WP AJ1 MISO" sheetId="55" r:id="rId24"/>
    <sheet name="WP AJ2 ITC" sheetId="56" r:id="rId25"/>
    <sheet name="WP AJ3 Blank" sheetId="87" r:id="rId26"/>
    <sheet name="WP AJ4 LA Merger" sheetId="95" r:id="rId27"/>
  </sheets>
  <externalReferences>
    <externalReference r:id="rId28"/>
    <externalReference r:id="rId29"/>
  </externalReferences>
  <definedNames>
    <definedName name="__123Graph_A" localSheetId="2" hidden="1">'[1]AL2 151'!#REF!</definedName>
    <definedName name="__123Graph_A" localSheetId="6" hidden="1">'[2]AL2 151'!#REF!</definedName>
    <definedName name="__123Graph_A" localSheetId="7" hidden="1">'[2]AL2 151'!#REF!</definedName>
    <definedName name="__123Graph_A" localSheetId="19" hidden="1">'[2]AL2 151'!#REF!</definedName>
    <definedName name="__123Graph_A" hidden="1">'[2]AL2 151'!#REF!</definedName>
    <definedName name="__123Graph_B" localSheetId="2" hidden="1">'[1]AL2 151'!#REF!</definedName>
    <definedName name="__123Graph_B" localSheetId="7" hidden="1">'[2]AL2 151'!#REF!</definedName>
    <definedName name="__123Graph_B" localSheetId="19" hidden="1">'[2]AL2 151'!#REF!</definedName>
    <definedName name="__123Graph_B" localSheetId="21" hidden="1">#REF!</definedName>
    <definedName name="__123Graph_B" hidden="1">'[2]AL2 151'!#REF!</definedName>
    <definedName name="__123Graph_C" localSheetId="2" hidden="1">'[1]AL2 151'!#REF!</definedName>
    <definedName name="__123Graph_C" localSheetId="7" hidden="1">'[2]AL2 151'!#REF!</definedName>
    <definedName name="__123Graph_C" hidden="1">'[2]AL2 151'!#REF!</definedName>
    <definedName name="__123Graph_D" localSheetId="2" hidden="1">'[1]AL2 151'!#REF!</definedName>
    <definedName name="__123Graph_D" localSheetId="7" hidden="1">'[2]AL2 151'!#REF!</definedName>
    <definedName name="__123Graph_D" hidden="1">'[2]AL2 151'!#REF!</definedName>
    <definedName name="__123Graph_E" localSheetId="2" hidden="1">'[1]AL2 151'!#REF!</definedName>
    <definedName name="__123Graph_E" localSheetId="7" hidden="1">'[2]AL2 151'!#REF!</definedName>
    <definedName name="__123Graph_E" hidden="1">'[2]AL2 151'!#REF!</definedName>
    <definedName name="__123Graph_F" localSheetId="2" hidden="1">'[1]AL2 151'!#REF!</definedName>
    <definedName name="__123Graph_F" localSheetId="7" hidden="1">'[2]AL2 151'!#REF!</definedName>
    <definedName name="__123Graph_F" hidden="1">'[2]AL2 151'!#REF!</definedName>
    <definedName name="__123Graph_X" localSheetId="2" hidden="1">'[1]AL2 151'!#REF!</definedName>
    <definedName name="__123Graph_X" localSheetId="7" hidden="1">'[2]AL2 151'!#REF!</definedName>
    <definedName name="__123Graph_X" hidden="1">'[2]AL2 151'!#REF!</definedName>
    <definedName name="__tet12" localSheetId="2" hidden="1">{"assumptions",#N/A,FALSE,"Scenario 1";"valuation",#N/A,FALSE,"Scenario 1"}</definedName>
    <definedName name="__tet12" localSheetId="0" hidden="1">{"assumptions",#N/A,FALSE,"Scenario 1";"valuation",#N/A,FALSE,"Scenario 1"}</definedName>
    <definedName name="__tet12" localSheetId="6" hidden="1">{"assumptions",#N/A,FALSE,"Scenario 1";"valuation",#N/A,FALSE,"Scenario 1"}</definedName>
    <definedName name="__tet12" localSheetId="11" hidden="1">{"assumptions",#N/A,FALSE,"Scenario 1";"valuation",#N/A,FALSE,"Scenario 1"}</definedName>
    <definedName name="__tet12" localSheetId="21" hidden="1">{"assumptions",#N/A,FALSE,"Scenario 1";"valuation",#N/A,FALSE,"Scenario 1"}</definedName>
    <definedName name="__tet12" hidden="1">{"assumptions",#N/A,FALSE,"Scenario 1";"valuation",#N/A,FALSE,"Scenario 1"}</definedName>
    <definedName name="__tet5" localSheetId="2" hidden="1">{"assumptions",#N/A,FALSE,"Scenario 1";"valuation",#N/A,FALSE,"Scenario 1"}</definedName>
    <definedName name="__tet5" localSheetId="0" hidden="1">{"assumptions",#N/A,FALSE,"Scenario 1";"valuation",#N/A,FALSE,"Scenario 1"}</definedName>
    <definedName name="__tet5" localSheetId="6" hidden="1">{"assumptions",#N/A,FALSE,"Scenario 1";"valuation",#N/A,FALSE,"Scenario 1"}</definedName>
    <definedName name="__tet5" localSheetId="11" hidden="1">{"assumptions",#N/A,FALSE,"Scenario 1";"valuation",#N/A,FALSE,"Scenario 1"}</definedName>
    <definedName name="__tet5" localSheetId="21" hidden="1">{"assumptions",#N/A,FALSE,"Scenario 1";"valuation",#N/A,FALSE,"Scenario 1"}</definedName>
    <definedName name="__tet5" hidden="1">{"assumptions",#N/A,FALSE,"Scenario 1";"valuation",#N/A,FALSE,"Scenario 1"}</definedName>
    <definedName name="_123Graph_B.1" localSheetId="2" hidden="1">#REF!</definedName>
    <definedName name="_123Graph_B.1" localSheetId="0" hidden="1">#REF!</definedName>
    <definedName name="_123Graph_B.1" localSheetId="7" hidden="1">#REF!</definedName>
    <definedName name="_123Graph_B.1" hidden="1">#REF!</definedName>
    <definedName name="_Dist_Bin" localSheetId="2" hidden="1">#REF!</definedName>
    <definedName name="_Dist_Bin" localSheetId="0" hidden="1">#REF!</definedName>
    <definedName name="_Dist_Bin" localSheetId="7" hidden="1">#REF!</definedName>
    <definedName name="_Dist_Bin" localSheetId="21" hidden="1">#REF!</definedName>
    <definedName name="_Dist_Bin" hidden="1">#REF!</definedName>
    <definedName name="_Dist_Values" localSheetId="2" hidden="1">#REF!</definedName>
    <definedName name="_Dist_Values" localSheetId="0" hidden="1">#REF!</definedName>
    <definedName name="_Dist_Values" localSheetId="7" hidden="1">#REF!</definedName>
    <definedName name="_Dist_Values" localSheetId="21" hidden="1">#REF!</definedName>
    <definedName name="_Dist_Values" hidden="1">#REF!</definedName>
    <definedName name="_Fill" localSheetId="2" hidden="1">#REF!</definedName>
    <definedName name="_Fill" localSheetId="0" hidden="1">#REF!</definedName>
    <definedName name="_Fill" localSheetId="6" hidden="1">#REF!</definedName>
    <definedName name="_Fill" localSheetId="7" hidden="1">#REF!</definedName>
    <definedName name="_Fill" localSheetId="15" hidden="1">#REF!</definedName>
    <definedName name="_Fill" localSheetId="19" hidden="1">#REF!</definedName>
    <definedName name="_Fill" localSheetId="21" hidden="1">#REF!</definedName>
    <definedName name="_Fill" hidden="1">#REF!</definedName>
    <definedName name="_Fill.1" localSheetId="2" hidden="1">#REF!</definedName>
    <definedName name="_Fill.1" localSheetId="0" hidden="1">#REF!</definedName>
    <definedName name="_Fill.1" localSheetId="6" hidden="1">#REF!</definedName>
    <definedName name="_Fill.1" localSheetId="7" hidden="1">#REF!</definedName>
    <definedName name="_Fill.1" hidden="1">#REF!</definedName>
    <definedName name="_Key.1" localSheetId="2" hidden="1">#REF!</definedName>
    <definedName name="_Key.1" localSheetId="0" hidden="1">#REF!</definedName>
    <definedName name="_Key.1" localSheetId="6" hidden="1">#REF!</definedName>
    <definedName name="_Key.1" localSheetId="7" hidden="1">#REF!</definedName>
    <definedName name="_Key.1" hidden="1">#REF!</definedName>
    <definedName name="_Key1" localSheetId="2" hidden="1">#REF!</definedName>
    <definedName name="_Key1" localSheetId="0" hidden="1">#REF!</definedName>
    <definedName name="_Key1" localSheetId="3" hidden="1">#REF!</definedName>
    <definedName name="_Key1" localSheetId="7" hidden="1">#REF!</definedName>
    <definedName name="_Key1" localSheetId="15" hidden="1">#REF!</definedName>
    <definedName name="_Key1" localSheetId="19" hidden="1">#REF!</definedName>
    <definedName name="_Key1" localSheetId="21" hidden="1">#REF!</definedName>
    <definedName name="_Key1" hidden="1">#REF!</definedName>
    <definedName name="_MatInverse_In" localSheetId="2" hidden="1">#REF!</definedName>
    <definedName name="_MatInverse_In" localSheetId="0" hidden="1">#REF!</definedName>
    <definedName name="_MatInverse_In" localSheetId="7" hidden="1">#REF!</definedName>
    <definedName name="_MatInverse_In" localSheetId="21" hidden="1">#REF!</definedName>
    <definedName name="_MatInverse_In" hidden="1">#REF!</definedName>
    <definedName name="_MatInverse_Out" localSheetId="2" hidden="1">#REF!</definedName>
    <definedName name="_MatInverse_Out" localSheetId="0" hidden="1">#REF!</definedName>
    <definedName name="_MatInverse_Out" localSheetId="7" hidden="1">#REF!</definedName>
    <definedName name="_MatInverse_Out" localSheetId="21" hidden="1">#REF!</definedName>
    <definedName name="_MatInverse_Out" hidden="1">#REF!</definedName>
    <definedName name="_MatMult_A" localSheetId="2" hidden="1">#REF!</definedName>
    <definedName name="_MatMult_A" localSheetId="0" hidden="1">#REF!</definedName>
    <definedName name="_MatMult_A" localSheetId="7" hidden="1">#REF!</definedName>
    <definedName name="_MatMult_A" localSheetId="21" hidden="1">#REF!</definedName>
    <definedName name="_MatMult_A" hidden="1">#REF!</definedName>
    <definedName name="_MatMult_AxB" localSheetId="2" hidden="1">#REF!</definedName>
    <definedName name="_MatMult_AxB" localSheetId="0" hidden="1">#REF!</definedName>
    <definedName name="_MatMult_AxB" localSheetId="7" hidden="1">#REF!</definedName>
    <definedName name="_MatMult_AxB" localSheetId="21" hidden="1">#REF!</definedName>
    <definedName name="_MatMult_AxB" hidden="1">#REF!</definedName>
    <definedName name="_MatMult_B" localSheetId="2" hidden="1">#REF!</definedName>
    <definedName name="_MatMult_B" localSheetId="0" hidden="1">#REF!</definedName>
    <definedName name="_MatMult_B" localSheetId="7" hidden="1">#REF!</definedName>
    <definedName name="_MatMult_B" localSheetId="21" hidden="1">#REF!</definedName>
    <definedName name="_MatMult_B" hidden="1">#REF!</definedName>
    <definedName name="_Order.1" hidden="1">255</definedName>
    <definedName name="_Order1" localSheetId="3" hidden="1">255</definedName>
    <definedName name="_Order1" localSheetId="7" hidden="1">255</definedName>
    <definedName name="_Order1" localSheetId="21" hidden="1">255</definedName>
    <definedName name="_Order1" hidden="1">0</definedName>
    <definedName name="_Order2" hidden="1">255</definedName>
    <definedName name="_Parse_In" localSheetId="2" hidden="1">#REF!</definedName>
    <definedName name="_Parse_In" localSheetId="0" hidden="1">#REF!</definedName>
    <definedName name="_Parse_In" localSheetId="7" hidden="1">#REF!</definedName>
    <definedName name="_Parse_In" localSheetId="21" hidden="1">#REF!</definedName>
    <definedName name="_Parse_In" hidden="1">#REF!</definedName>
    <definedName name="_Parse_Out" localSheetId="2" hidden="1">#REF!</definedName>
    <definedName name="_Parse_Out" localSheetId="0" hidden="1">#REF!</definedName>
    <definedName name="_Parse_Out" localSheetId="7" hidden="1">#REF!</definedName>
    <definedName name="_Parse_Out" localSheetId="21" hidden="1">#REF!</definedName>
    <definedName name="_Parse_Out" hidden="1">#REF!</definedName>
    <definedName name="_Regression_Out" localSheetId="2" hidden="1">#REF!</definedName>
    <definedName name="_Regression_Out" localSheetId="0" hidden="1">#REF!</definedName>
    <definedName name="_Regression_Out" localSheetId="7" hidden="1">#REF!</definedName>
    <definedName name="_Regression_Out" localSheetId="21" hidden="1">#REF!</definedName>
    <definedName name="_Regression_Out" hidden="1">#REF!</definedName>
    <definedName name="_Regression_X" localSheetId="2" hidden="1">#REF!</definedName>
    <definedName name="_Regression_X" localSheetId="0" hidden="1">#REF!</definedName>
    <definedName name="_Regression_X" localSheetId="7" hidden="1">#REF!</definedName>
    <definedName name="_Regression_X" localSheetId="21" hidden="1">#REF!</definedName>
    <definedName name="_Regression_X" hidden="1">#REF!</definedName>
    <definedName name="_Regression_Y" localSheetId="2" hidden="1">#REF!</definedName>
    <definedName name="_Regression_Y" localSheetId="0" hidden="1">#REF!</definedName>
    <definedName name="_Regression_Y" localSheetId="7" hidden="1">#REF!</definedName>
    <definedName name="_Regression_Y" localSheetId="21" hidden="1">#REF!</definedName>
    <definedName name="_Regression_Y" hidden="1">#REF!</definedName>
    <definedName name="_Sort" localSheetId="2" hidden="1">#REF!</definedName>
    <definedName name="_Sort" localSheetId="0" hidden="1">#REF!</definedName>
    <definedName name="_Sort" localSheetId="3" hidden="1">#REF!</definedName>
    <definedName name="_Sort" localSheetId="7" hidden="1">#REF!</definedName>
    <definedName name="_Sort" localSheetId="15" hidden="1">#REF!</definedName>
    <definedName name="_Sort" localSheetId="19" hidden="1">#REF!</definedName>
    <definedName name="_Sort" localSheetId="21" hidden="1">#REF!</definedName>
    <definedName name="_Sort" hidden="1">#REF!</definedName>
    <definedName name="_Sort.1" localSheetId="2" hidden="1">#REF!</definedName>
    <definedName name="_Sort.1" localSheetId="0" hidden="1">#REF!</definedName>
    <definedName name="_Sort.1" localSheetId="7" hidden="1">#REF!</definedName>
    <definedName name="_Sort.1" hidden="1">#REF!</definedName>
    <definedName name="_Table1_Out" localSheetId="2" hidden="1">#REF!</definedName>
    <definedName name="_Table1_Out" localSheetId="0" hidden="1">#REF!</definedName>
    <definedName name="_Table1_Out" localSheetId="7" hidden="1">#REF!</definedName>
    <definedName name="_Table1_Out" localSheetId="21" hidden="1">#REF!</definedName>
    <definedName name="_Table1_Out" hidden="1">#REF!</definedName>
    <definedName name="_tet12" localSheetId="2" hidden="1">{"assumptions",#N/A,FALSE,"Scenario 1";"valuation",#N/A,FALSE,"Scenario 1"}</definedName>
    <definedName name="_tet12" localSheetId="0" hidden="1">{"assumptions",#N/A,FALSE,"Scenario 1";"valuation",#N/A,FALSE,"Scenario 1"}</definedName>
    <definedName name="_tet12" localSheetId="6" hidden="1">{"assumptions",#N/A,FALSE,"Scenario 1";"valuation",#N/A,FALSE,"Scenario 1"}</definedName>
    <definedName name="_tet12" localSheetId="11" hidden="1">{"assumptions",#N/A,FALSE,"Scenario 1";"valuation",#N/A,FALSE,"Scenario 1"}</definedName>
    <definedName name="_tet12" localSheetId="21" hidden="1">{"assumptions",#N/A,FALSE,"Scenario 1";"valuation",#N/A,FALSE,"Scenario 1"}</definedName>
    <definedName name="_tet12" hidden="1">{"assumptions",#N/A,FALSE,"Scenario 1";"valuation",#N/A,FALSE,"Scenario 1"}</definedName>
    <definedName name="_tet5" localSheetId="2" hidden="1">{"assumptions",#N/A,FALSE,"Scenario 1";"valuation",#N/A,FALSE,"Scenario 1"}</definedName>
    <definedName name="_tet5" localSheetId="0" hidden="1">{"assumptions",#N/A,FALSE,"Scenario 1";"valuation",#N/A,FALSE,"Scenario 1"}</definedName>
    <definedName name="_tet5" localSheetId="6" hidden="1">{"assumptions",#N/A,FALSE,"Scenario 1";"valuation",#N/A,FALSE,"Scenario 1"}</definedName>
    <definedName name="_tet5" localSheetId="11" hidden="1">{"assumptions",#N/A,FALSE,"Scenario 1";"valuation",#N/A,FALSE,"Scenario 1"}</definedName>
    <definedName name="_tet5" localSheetId="21" hidden="1">{"assumptions",#N/A,FALSE,"Scenario 1";"valuation",#N/A,FALSE,"Scenario 1"}</definedName>
    <definedName name="_tet5" hidden="1">{"assumptions",#N/A,FALSE,"Scenario 1";"valuation",#N/A,FALSE,"Scenario 1"}</definedName>
    <definedName name="a" localSheetId="21" hidden="1">{"LBO Summary",#N/A,FALSE,"Summary"}</definedName>
    <definedName name="a.1" localSheetId="2" hidden="1">{"LBO Summary",#N/A,FALSE,"Summary"}</definedName>
    <definedName name="a.1" localSheetId="0" hidden="1">{"LBO Summary",#N/A,FALSE,"Summary"}</definedName>
    <definedName name="a.1" localSheetId="6" hidden="1">{"LBO Summary",#N/A,FALSE,"Summary"}</definedName>
    <definedName name="a.1" localSheetId="11" hidden="1">{"LBO Summary",#N/A,FALSE,"Summary"}</definedName>
    <definedName name="a.1" hidden="1">{"LBO Summary",#N/A,FALSE,"Summary"}</definedName>
    <definedName name="AS2DocOpenMode" hidden="1">"AS2DocumentEdit"</definedName>
    <definedName name="CE" localSheetId="0">'MISO Cover'!$K$206</definedName>
    <definedName name="don" localSheetId="2" hidden="1">{"assumptions",#N/A,FALSE,"Scenario 1";"valuation",#N/A,FALSE,"Scenario 1"}</definedName>
    <definedName name="don" localSheetId="0" hidden="1">{"assumptions",#N/A,FALSE,"Scenario 1";"valuation",#N/A,FALSE,"Scenario 1"}</definedName>
    <definedName name="don" hidden="1">{"assumptions",#N/A,FALSE,"Scenario 1";"valuation",#N/A,FALSE,"Scenario 1"}</definedName>
    <definedName name="Don_1" localSheetId="2" hidden="1">{"assumptions",#N/A,FALSE,"Scenario 1";"valuation",#N/A,FALSE,"Scenario 1"}</definedName>
    <definedName name="Don_1" localSheetId="0" hidden="1">{"assumptions",#N/A,FALSE,"Scenario 1";"valuation",#N/A,FALSE,"Scenario 1"}</definedName>
    <definedName name="Don_1" hidden="1">{"assumptions",#N/A,FALSE,"Scenario 1";"valuation",#N/A,FALSE,"Scenario 1"}</definedName>
    <definedName name="Don_10" localSheetId="2" hidden="1">#REF!</definedName>
    <definedName name="Don_10" localSheetId="0" hidden="1">#REF!</definedName>
    <definedName name="Don_10" localSheetId="7" hidden="1">#REF!</definedName>
    <definedName name="Don_10" hidden="1">#REF!</definedName>
    <definedName name="Don_11" hidden="1">255</definedName>
    <definedName name="Don_12" localSheetId="2" hidden="1">#REF!</definedName>
    <definedName name="Don_12" localSheetId="0" hidden="1">#REF!</definedName>
    <definedName name="Don_12" localSheetId="7" hidden="1">#REF!</definedName>
    <definedName name="Don_12" hidden="1">#REF!</definedName>
    <definedName name="Don_13" localSheetId="2" hidden="1">#REF!</definedName>
    <definedName name="Don_13" localSheetId="0" hidden="1">#REF!</definedName>
    <definedName name="Don_13" localSheetId="7" hidden="1">#REF!</definedName>
    <definedName name="Don_13" hidden="1">#REF!</definedName>
    <definedName name="Don_14" localSheetId="2" hidden="1">#REF!</definedName>
    <definedName name="Don_14" localSheetId="0" hidden="1">#REF!</definedName>
    <definedName name="Don_14" localSheetId="7" hidden="1">#REF!</definedName>
    <definedName name="Don_14" hidden="1">#REF!</definedName>
    <definedName name="don_2" localSheetId="2" hidden="1">#REF!</definedName>
    <definedName name="don_2" localSheetId="0" hidden="1">#REF!</definedName>
    <definedName name="don_2" localSheetId="7" hidden="1">#REF!</definedName>
    <definedName name="don_2" hidden="1">#REF!</definedName>
    <definedName name="Don_3" localSheetId="2" hidden="1">#REF!</definedName>
    <definedName name="Don_3" localSheetId="0" hidden="1">#REF!</definedName>
    <definedName name="Don_3" localSheetId="7" hidden="1">#REF!</definedName>
    <definedName name="Don_3" hidden="1">#REF!</definedName>
    <definedName name="Don_4" localSheetId="2" hidden="1">#REF!</definedName>
    <definedName name="Don_4" localSheetId="0" hidden="1">#REF!</definedName>
    <definedName name="Don_4" localSheetId="7" hidden="1">#REF!</definedName>
    <definedName name="Don_4" hidden="1">#REF!</definedName>
    <definedName name="Don_5" localSheetId="2" hidden="1">#REF!</definedName>
    <definedName name="Don_5" localSheetId="0" hidden="1">#REF!</definedName>
    <definedName name="Don_5" localSheetId="7" hidden="1">#REF!</definedName>
    <definedName name="Don_5" hidden="1">#REF!</definedName>
    <definedName name="Don_6" localSheetId="2" hidden="1">#REF!</definedName>
    <definedName name="Don_6" localSheetId="0" hidden="1">#REF!</definedName>
    <definedName name="Don_6" localSheetId="7" hidden="1">#REF!</definedName>
    <definedName name="Don_6" hidden="1">#REF!</definedName>
    <definedName name="Don_7" localSheetId="2" hidden="1">#REF!</definedName>
    <definedName name="Don_7" localSheetId="0" hidden="1">#REF!</definedName>
    <definedName name="Don_7" localSheetId="7" hidden="1">#REF!</definedName>
    <definedName name="Don_7" hidden="1">#REF!</definedName>
    <definedName name="Don_8" localSheetId="2" hidden="1">#REF!</definedName>
    <definedName name="Don_8" localSheetId="0" hidden="1">#REF!</definedName>
    <definedName name="Don_8" localSheetId="7" hidden="1">#REF!</definedName>
    <definedName name="Don_8" hidden="1">#REF!</definedName>
    <definedName name="Don_9" localSheetId="2" hidden="1">#REF!</definedName>
    <definedName name="Don_9" localSheetId="0" hidden="1">#REF!</definedName>
    <definedName name="Don_9" localSheetId="7" hidden="1">#REF!</definedName>
    <definedName name="Don_9" hidden="1">#REF!</definedName>
    <definedName name="gIsBlank" localSheetId="2" hidden="1">ISBLANK(gIsRef)</definedName>
    <definedName name="gIsBlank" localSheetId="0" hidden="1">ISBLANK(gIsRef)</definedName>
    <definedName name="gIsBlank" localSheetId="6" hidden="1">ISBLANK(gIsRef)</definedName>
    <definedName name="gIsBlank" localSheetId="11" hidden="1">ISBLANK(gIsRef)</definedName>
    <definedName name="gIsBlank" localSheetId="21" hidden="1">ISBLANK(gIsRef)</definedName>
    <definedName name="gIsBlank" hidden="1">ISBLANK(gIsRef)</definedName>
    <definedName name="gIsError" localSheetId="2" hidden="1">ISERROR(gIsRef)</definedName>
    <definedName name="gIsError" localSheetId="0" hidden="1">ISERROR(gIsRef)</definedName>
    <definedName name="gIsError" localSheetId="6" hidden="1">ISERROR(gIsRef)</definedName>
    <definedName name="gIsError" localSheetId="11" hidden="1">ISERROR(gIsRef)</definedName>
    <definedName name="gIsError" localSheetId="21" hidden="1">ISERROR(gIsRef)</definedName>
    <definedName name="gIsError" hidden="1">ISERROR(gIsRef)</definedName>
    <definedName name="gIsInPrintArea" localSheetId="2" hidden="1">NOT(ISERROR(gIsRef !Print_Area))</definedName>
    <definedName name="gIsInPrintArea" localSheetId="0" hidden="1">NOT(ISERROR(gIsRef !Print_Area))</definedName>
    <definedName name="gIsInPrintArea" localSheetId="6" hidden="1">NOT(ISERROR(gIsRef !Print_Area))</definedName>
    <definedName name="gIsInPrintArea" localSheetId="7" hidden="1">NOT(ISERROR([0]!gIsRef !Print_Area))</definedName>
    <definedName name="gIsInPrintArea" localSheetId="11" hidden="1">NOT(ISERROR(gIsRef !Print_Area))</definedName>
    <definedName name="gIsInPrintArea" localSheetId="21" hidden="1">NOT(ISERROR(gIsRef !Print_Area))</definedName>
    <definedName name="gIsInPrintArea" hidden="1">NOT(ISERROR(gIsRef !Print_Area))</definedName>
    <definedName name="gIsInPrintTitles" localSheetId="2" hidden="1">NOT(ISERROR(gIsRef !Print_Titles))</definedName>
    <definedName name="gIsInPrintTitles" localSheetId="0" hidden="1">NOT(ISERROR(gIsRef !Print_Titles))</definedName>
    <definedName name="gIsInPrintTitles" localSheetId="6" hidden="1">NOT(ISERROR(gIsRef !Print_Titles))</definedName>
    <definedName name="gIsInPrintTitles" localSheetId="7" hidden="1">NOT(ISERROR([0]!gIsRef !Print_Titles))</definedName>
    <definedName name="gIsInPrintTitles" localSheetId="11" hidden="1">NOT(ISERROR(gIsRef !Print_Titles))</definedName>
    <definedName name="gIsInPrintTitles" localSheetId="21" hidden="1">NOT(ISERROR(gIsRef !Print_Titles))</definedName>
    <definedName name="gIsInPrintTitles" hidden="1">NOT(ISERROR(gIsRef !Print_Titles))</definedName>
    <definedName name="gIsNumber" localSheetId="2" hidden="1">ISNUMBER(gIsRef)</definedName>
    <definedName name="gIsNumber" localSheetId="0" hidden="1">ISNUMBER(gIsRef)</definedName>
    <definedName name="gIsNumber" localSheetId="6" hidden="1">ISNUMBER(gIsRef)</definedName>
    <definedName name="gIsNumber" localSheetId="11" hidden="1">ISNUMBER(gIsRef)</definedName>
    <definedName name="gIsNumber" localSheetId="21" hidden="1">ISNUMBER(gIsRef)</definedName>
    <definedName name="gIsNumber" hidden="1">ISNUMBER(gIsRef)</definedName>
    <definedName name="gIsPreviousSheet" localSheetId="2" hidden="1">PrevShtCellValue(gIsRef)&lt;&gt;gIsRef</definedName>
    <definedName name="gIsPreviousSheet" localSheetId="0" hidden="1">PrevShtCellValue(gIsRef)&lt;&gt;gIsRef</definedName>
    <definedName name="gIsPreviousSheet" localSheetId="6" hidden="1">PrevShtCellValue(gIsRef)&lt;&gt;gIsRef</definedName>
    <definedName name="gIsPreviousSheet" localSheetId="7" hidden="1">PrevShtCellValue([0]!gIsRef)&lt;&gt;[0]!gIsRef</definedName>
    <definedName name="gIsPreviousSheet" localSheetId="11" hidden="1">PrevShtCellValue(gIsRef)&lt;&gt;gIsRef</definedName>
    <definedName name="gIsPreviousSheet" localSheetId="21" hidden="1">PrevShtCellValue(gIsRef)&lt;&gt;gIsRef</definedName>
    <definedName name="gIsPreviousSheet" hidden="1">PrevShtCellValue(gIsRef)&lt;&gt;gIsRef</definedName>
    <definedName name="gIsRef" hidden="1">INDIRECT("rc",FALSE)</definedName>
    <definedName name="gIsText" localSheetId="2" hidden="1">ISTEXT(gIsRef)</definedName>
    <definedName name="gIsText" localSheetId="0" hidden="1">ISTEXT(gIsRef)</definedName>
    <definedName name="gIsText" localSheetId="6" hidden="1">ISTEXT(gIsRef)</definedName>
    <definedName name="gIsText" localSheetId="11" hidden="1">ISTEXT(gIsRef)</definedName>
    <definedName name="gIsText" localSheetId="21" hidden="1">ISTEXT(gIsRef)</definedName>
    <definedName name="gIsText" hidden="1">ISTEXT(gIsRef)</definedName>
    <definedName name="GP">'MISO Cover'!$G$72</definedName>
    <definedName name="Keep" localSheetId="2"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NP">'MISO Cover'!$G$90</definedName>
    <definedName name="_xlnm.Print_Area" localSheetId="1">'Appendix A'!$A$8:$H$343</definedName>
    <definedName name="_xlnm.Print_Area" localSheetId="0">'MISO Cover'!$A$1:$K$239</definedName>
    <definedName name="_xlnm.Print_Area" localSheetId="24">'WP AJ2 ITC'!$A$1:$F$68</definedName>
    <definedName name="_xlnm.Print_Area" localSheetId="26">'WP AJ4 LA Merger'!$A$1:$E$62</definedName>
    <definedName name="_xlnm.Print_Area" localSheetId="3">'WP01 True-Up'!$A$8:$I$78</definedName>
    <definedName name="_xlnm.Print_Area" localSheetId="4">'WP02 Support'!$A$7:$I$163</definedName>
    <definedName name="_xlnm.Print_Area" localSheetId="8">'WP06 ADIT'!$A$7:$N$194</definedName>
    <definedName name="_xlnm.Print_Area" localSheetId="14">'WP12 PBOP'!$A$1:$C$16</definedName>
    <definedName name="_xlnm.Print_Area" localSheetId="17">'WP15 Radials'!$A$1:$G$20</definedName>
    <definedName name="_xlnm.Print_Titles" localSheetId="1">'Appendix A'!$1:$7</definedName>
    <definedName name="_xlnm.Print_Titles" localSheetId="3">'WP01 True-Up'!$1:$7</definedName>
    <definedName name="_xlnm.Print_Titles" localSheetId="4">'WP02 Support'!$1:$6</definedName>
    <definedName name="_xlnm.Print_Titles" localSheetId="8">'WP06 ADIT'!$1:$6</definedName>
    <definedName name="retail" localSheetId="2"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2"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test" localSheetId="2" hidden="1">{"LBO Summary",#N/A,FALSE,"Summary"}</definedName>
    <definedName name="test" localSheetId="0" hidden="1">{"LBO Summary",#N/A,FALSE,"Summary"}</definedName>
    <definedName name="test" localSheetId="6" hidden="1">{"LBO Summary",#N/A,FALSE,"Summary"}</definedName>
    <definedName name="test" localSheetId="11" hidden="1">{"LBO Summary",#N/A,FALSE,"Summary"}</definedName>
    <definedName name="test" localSheetId="21" hidden="1">{"LBO Summary",#N/A,FALSE,"Summary"}</definedName>
    <definedName name="test" hidden="1">{"LBO Summary",#N/A,FALSE,"Summary"}</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21"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2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2" hidden="1">{"LBO Summary",#N/A,FALSE,"Summary"}</definedName>
    <definedName name="test11" localSheetId="0" hidden="1">{"LBO Summary",#N/A,FALSE,"Summary"}</definedName>
    <definedName name="test11" localSheetId="6" hidden="1">{"LBO Summary",#N/A,FALSE,"Summary"}</definedName>
    <definedName name="test11" localSheetId="11" hidden="1">{"LBO Summary",#N/A,FALSE,"Summary"}</definedName>
    <definedName name="test11" localSheetId="21" hidden="1">{"LBO Summary",#N/A,FALSE,"Summary"}</definedName>
    <definedName name="test11" hidden="1">{"LBO Summary",#N/A,FALSE,"Summary"}</definedName>
    <definedName name="test12" localSheetId="2" hidden="1">{"assumptions",#N/A,FALSE,"Scenario 1";"valuation",#N/A,FALSE,"Scenario 1"}</definedName>
    <definedName name="test12" localSheetId="0" hidden="1">{"assumptions",#N/A,FALSE,"Scenario 1";"valuation",#N/A,FALSE,"Scenario 1"}</definedName>
    <definedName name="test12" localSheetId="6" hidden="1">{"assumptions",#N/A,FALSE,"Scenario 1";"valuation",#N/A,FALSE,"Scenario 1"}</definedName>
    <definedName name="test12" localSheetId="11" hidden="1">{"assumptions",#N/A,FALSE,"Scenario 1";"valuation",#N/A,FALSE,"Scenario 1"}</definedName>
    <definedName name="test12" localSheetId="21" hidden="1">{"assumptions",#N/A,FALSE,"Scenario 1";"valuation",#N/A,FALSE,"Scenario 1"}</definedName>
    <definedName name="test12" hidden="1">{"assumptions",#N/A,FALSE,"Scenario 1";"valuation",#N/A,FALSE,"Scenario 1"}</definedName>
    <definedName name="test13" localSheetId="2" hidden="1">{"LBO Summary",#N/A,FALSE,"Summary"}</definedName>
    <definedName name="test13" localSheetId="0" hidden="1">{"LBO Summary",#N/A,FALSE,"Summary"}</definedName>
    <definedName name="test13" localSheetId="6" hidden="1">{"LBO Summary",#N/A,FALSE,"Summary"}</definedName>
    <definedName name="test13" localSheetId="11" hidden="1">{"LBO Summary",#N/A,FALSE,"Summary"}</definedName>
    <definedName name="test13" localSheetId="21" hidden="1">{"LBO Summary",#N/A,FALSE,"Summary"}</definedName>
    <definedName name="test13" hidden="1">{"LBO Summary",#N/A,FALSE,"Summary"}</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21"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21"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21"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 hidden="1">{"LBO Summary",#N/A,FALSE,"Summary"}</definedName>
    <definedName name="test2" localSheetId="0" hidden="1">{"LBO Summary",#N/A,FALSE,"Summary"}</definedName>
    <definedName name="test2" localSheetId="6" hidden="1">{"LBO Summary",#N/A,FALSE,"Summary"}</definedName>
    <definedName name="test2" localSheetId="11" hidden="1">{"LBO Summary",#N/A,FALSE,"Summary"}</definedName>
    <definedName name="test2" localSheetId="21" hidden="1">{"LBO Summary",#N/A,FALSE,"Summary"}</definedName>
    <definedName name="test2" hidden="1">{"LBO Summary",#N/A,FALSE,"Summary"}</definedName>
    <definedName name="test4" localSheetId="2" hidden="1">{"assumptions",#N/A,FALSE,"Scenario 1";"valuation",#N/A,FALSE,"Scenario 1"}</definedName>
    <definedName name="test4" localSheetId="0" hidden="1">{"assumptions",#N/A,FALSE,"Scenario 1";"valuation",#N/A,FALSE,"Scenario 1"}</definedName>
    <definedName name="test4" localSheetId="6" hidden="1">{"assumptions",#N/A,FALSE,"Scenario 1";"valuation",#N/A,FALSE,"Scenario 1"}</definedName>
    <definedName name="test4" localSheetId="11" hidden="1">{"assumptions",#N/A,FALSE,"Scenario 1";"valuation",#N/A,FALSE,"Scenario 1"}</definedName>
    <definedName name="test4" localSheetId="21" hidden="1">{"assumptions",#N/A,FALSE,"Scenario 1";"valuation",#N/A,FALSE,"Scenario 1"}</definedName>
    <definedName name="test4" hidden="1">{"assumptions",#N/A,FALSE,"Scenario 1";"valuation",#N/A,FALSE,"Scenario 1"}</definedName>
    <definedName name="test6" localSheetId="2" hidden="1">{"LBO Summary",#N/A,FALSE,"Summary"}</definedName>
    <definedName name="test6" localSheetId="0" hidden="1">{"LBO Summary",#N/A,FALSE,"Summary"}</definedName>
    <definedName name="test6" localSheetId="6" hidden="1">{"LBO Summary",#N/A,FALSE,"Summary"}</definedName>
    <definedName name="test6" localSheetId="11" hidden="1">{"LBO Summary",#N/A,FALSE,"Summary"}</definedName>
    <definedName name="test6" localSheetId="21" hidden="1">{"LBO Summary",#N/A,FALSE,"Summary"}</definedName>
    <definedName name="test6" hidden="1">{"LBO Summary",#N/A,FALSE,"Summary"}</definedName>
    <definedName name="TextRefCopyRangeCount" hidden="1">1</definedName>
    <definedName name="TP">'MISO Cover'!$I$194</definedName>
    <definedName name="Value" localSheetId="2" hidden="1">{"assumptions",#N/A,FALSE,"Scenario 1";"valuation",#N/A,FALSE,"Scenario 1"}</definedName>
    <definedName name="Value" localSheetId="0" hidden="1">{"assumptions",#N/A,FALSE,"Scenario 1";"valuation",#N/A,FALSE,"Scenario 1"}</definedName>
    <definedName name="Value" localSheetId="6" hidden="1">{"assumptions",#N/A,FALSE,"Scenario 1";"valuation",#N/A,FALSE,"Scenario 1"}</definedName>
    <definedName name="Value" localSheetId="11" hidden="1">{"assumptions",#N/A,FALSE,"Scenario 1";"valuation",#N/A,FALSE,"Scenario 1"}</definedName>
    <definedName name="Value" localSheetId="21" hidden="1">{"assumptions",#N/A,FALSE,"Scenario 1";"valuation",#N/A,FALSE,"Scenario 1"}</definedName>
    <definedName name="Value" hidden="1">{"assumptions",#N/A,FALSE,"Scenario 1";"valuation",#N/A,FALSE,"Scenario 1"}</definedName>
    <definedName name="wrn.All._.Pages." localSheetId="2"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2" hidden="1">{#N/A,#N/A,FALSE,"LOCAL.XLS"}</definedName>
    <definedName name="wrn.ARKANSAS." localSheetId="0" hidden="1">{#N/A,#N/A,FALSE,"LOCAL.XLS"}</definedName>
    <definedName name="wrn.ARKANSAS." localSheetId="6" hidden="1">{#N/A,#N/A,FALSE,"LOCAL.XLS"}</definedName>
    <definedName name="wrn.ARKANSAS." localSheetId="11" hidden="1">{#N/A,#N/A,FALSE,"LOCAL.XLS"}</definedName>
    <definedName name="wrn.ARKANSAS." localSheetId="21" hidden="1">{#N/A,#N/A,FALSE,"LOCAL.XLS"}</definedName>
    <definedName name="wrn.ARKANSAS." hidden="1">{#N/A,#N/A,FALSE,"LOCAL.XLS"}</definedName>
    <definedName name="wrn.CP._.Demand." localSheetId="2" hidden="1">{"Retail CP pg1",#N/A,FALSE,"FACTOR3";"Retail CP pg2",#N/A,FALSE,"FACTOR3";"Retail CP pg3",#N/A,FALSE,"FACTOR3"}</definedName>
    <definedName name="wrn.CP._.Demand." localSheetId="0" hidden="1">{"Retail CP pg1",#N/A,FALSE,"FACTOR3";"Retail CP pg2",#N/A,FALSE,"FACTOR3";"Retail CP pg3",#N/A,FALSE,"FACTOR3"}</definedName>
    <definedName name="wrn.CP._.Demand." localSheetId="6"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19" hidden="1">{"Retail CP pg1",#N/A,FALSE,"FACTOR3";"Retail CP pg2",#N/A,FALSE,"FACTOR3";"Retail CP pg3",#N/A,FALSE,"FACTOR3"}</definedName>
    <definedName name="wrn.CP._.Demand." hidden="1">{"Retail CP pg1",#N/A,FALSE,"FACTOR3";"Retail CP pg2",#N/A,FALSE,"FACTOR3";"Retail CP pg3",#N/A,FALSE,"FACTOR3"}</definedName>
    <definedName name="wrn.CP._.Demand2." localSheetId="2" hidden="1">{"Retail CP pg1",#N/A,FALSE,"FACTOR3";"Retail CP pg2",#N/A,FALSE,"FACTOR3";"Retail CP pg3",#N/A,FALSE,"FACTOR3"}</definedName>
    <definedName name="wrn.CP._.Demand2." localSheetId="0"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19" hidden="1">{"Retail CP pg1",#N/A,FALSE,"FACTOR3";"Retail CP pg2",#N/A,FALSE,"FACTOR3";"Retail CP pg3",#N/A,FALSE,"FACTOR3"}</definedName>
    <definedName name="wrn.CP._.Demand2." hidden="1">{"Retail CP pg1",#N/A,FALSE,"FACTOR3";"Retail CP pg2",#N/A,FALSE,"FACTOR3";"Retail CP pg3",#N/A,FALSE,"FACTOR3"}</definedName>
    <definedName name="wrn.Factors._.Tab._.10." localSheetId="2"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2" hidden="1">{"assumptions",#N/A,FALSE,"Scenario 1";"valuation",#N/A,FALSE,"Scenario 1"}</definedName>
    <definedName name="wrn.IPO._.Valuation." localSheetId="0" hidden="1">{"assumptions",#N/A,FALSE,"Scenario 1";"valuation",#N/A,FALSE,"Scenario 1"}</definedName>
    <definedName name="wrn.IPO._.Valuation." localSheetId="6" hidden="1">{"assumptions",#N/A,FALSE,"Scenario 1";"valuation",#N/A,FALSE,"Scenario 1"}</definedName>
    <definedName name="wrn.IPO._.Valuation." localSheetId="11" hidden="1">{"assumptions",#N/A,FALSE,"Scenario 1";"valuation",#N/A,FALSE,"Scenario 1"}</definedName>
    <definedName name="wrn.IPO._.Valuation." localSheetId="21" hidden="1">{"assumptions",#N/A,FALSE,"Scenario 1";"valuation",#N/A,FALSE,"Scenario 1"}</definedName>
    <definedName name="wrn.IPO._.Valuation." hidden="1">{"assumptions",#N/A,FALSE,"Scenario 1";"valuation",#N/A,FALSE,"Scenario 1"}</definedName>
    <definedName name="wrn.LBO._.Summary." localSheetId="2" hidden="1">{"LBO Summary",#N/A,FALSE,"Summary"}</definedName>
    <definedName name="wrn.LBO._.Summary." localSheetId="0" hidden="1">{"LBO Summary",#N/A,FALSE,"Summary"}</definedName>
    <definedName name="wrn.LBO._.Summary." localSheetId="6" hidden="1">{"LBO Summary",#N/A,FALSE,"Summary"}</definedName>
    <definedName name="wrn.LBO._.Summary." localSheetId="11" hidden="1">{"LBO Summary",#N/A,FALSE,"Summary"}</definedName>
    <definedName name="wrn.LBO._.Summary." localSheetId="21" hidden="1">{"LBO Summary",#N/A,FALSE,"Summary"}</definedName>
    <definedName name="wrn.LBO._.Summary." hidden="1">{"LBO Summary",#N/A,FALSE,"Summary"}</definedName>
    <definedName name="wrn.LOUISIANA." localSheetId="2" hidden="1">{#N/A,#N/A,FALSE,"LOCAL.XLS"}</definedName>
    <definedName name="wrn.LOUISIANA." localSheetId="0" hidden="1">{#N/A,#N/A,FALSE,"LOCAL.XLS"}</definedName>
    <definedName name="wrn.LOUISIANA." localSheetId="6" hidden="1">{#N/A,#N/A,FALSE,"LOCAL.XLS"}</definedName>
    <definedName name="wrn.LOUISIANA." localSheetId="11" hidden="1">{#N/A,#N/A,FALSE,"LOCAL.XLS"}</definedName>
    <definedName name="wrn.LOUISIANA." localSheetId="21" hidden="1">{#N/A,#N/A,FALSE,"LOCAL.XLS"}</definedName>
    <definedName name="wrn.LOUISIANA." hidden="1">{#N/A,#N/A,FALSE,"LOCAL.XLS"}</definedName>
    <definedName name="wrn.OR._.Carrying._.Charge._.JV." localSheetId="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21"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2"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1"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2"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2" hidden="1">{#N/A,#N/A,FALSE,"AP&amp;L"}</definedName>
    <definedName name="wrn.summary." localSheetId="0" hidden="1">{#N/A,#N/A,FALSE,"AP&amp;L"}</definedName>
    <definedName name="wrn.summary." localSheetId="6" hidden="1">{#N/A,#N/A,FALSE,"AP&amp;L"}</definedName>
    <definedName name="wrn.summary." localSheetId="11" hidden="1">{#N/A,#N/A,FALSE,"AP&amp;L"}</definedName>
    <definedName name="wrn.summary." localSheetId="21" hidden="1">{#N/A,#N/A,FALSE,"AP&amp;L"}</definedName>
    <definedName name="wrn.summary." hidden="1">{#N/A,#N/A,FALSE,"AP&amp;L"}</definedName>
    <definedName name="wrn.YearEnd." localSheetId="2"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'MISO Cover'!$I$202</definedName>
    <definedName name="Z_1155D18F_BFDD_426B_8E78_817CEB25FB23_.wvu.Cols" localSheetId="8" hidden="1">'WP06 ADIT'!#REF!</definedName>
    <definedName name="Z_1155D18F_BFDD_426B_8E78_817CEB25FB23_.wvu.PrintArea" localSheetId="8" hidden="1">'WP06 ADIT'!$B$1:$N$196</definedName>
    <definedName name="Z_16940A0E_2B20_4241_BF05_A4686E5A0274_.wvu.Cols" localSheetId="8" hidden="1">'WP06 ADIT'!#REF!</definedName>
    <definedName name="Z_16940A0E_2B20_4241_BF05_A4686E5A0274_.wvu.PrintArea" localSheetId="8" hidden="1">'WP06 ADIT'!$B$1:$N$196</definedName>
    <definedName name="Z_28948E05_8F34_4F1E_96FB_A80A6A844600_.wvu.Cols" localSheetId="8" hidden="1">'WP06 ADIT'!#REF!</definedName>
    <definedName name="Z_28948E05_8F34_4F1E_96FB_A80A6A844600_.wvu.PrintArea" localSheetId="8" hidden="1">'WP06 ADIT'!$B$1:$N$196</definedName>
    <definedName name="Z_3768C7C8_9953_11DA_B318_000FB55D51DC_.wvu.PrintArea" localSheetId="4" hidden="1">'WP02 Support'!$A$149:$M$153</definedName>
    <definedName name="Z_3768C7C8_9953_11DA_B318_000FB55D51DC_.wvu.PrintTitles" localSheetId="4" hidden="1">'WP02 Support'!#REF!</definedName>
    <definedName name="Z_3768C7C8_9953_11DA_B318_000FB55D51DC_.wvu.Rows" localSheetId="4" hidden="1">'WP02 Support'!#REF!</definedName>
    <definedName name="Z_3BDD6235_B127_4929_8311_BDAF7BB89818_.wvu.PrintArea" localSheetId="4" hidden="1">'WP02 Support'!$A$149:$M$153</definedName>
    <definedName name="Z_3BDD6235_B127_4929_8311_BDAF7BB89818_.wvu.PrintTitles" localSheetId="4" hidden="1">'WP02 Support'!#REF!</definedName>
    <definedName name="Z_3BDD6235_B127_4929_8311_BDAF7BB89818_.wvu.Rows" localSheetId="4" hidden="1">'WP02 Support'!#REF!</definedName>
    <definedName name="Z_44504B44_F20F_4B6F_B585_74D55BA74563_.wvu.Cols" localSheetId="8" hidden="1">'WP06 ADIT'!#REF!</definedName>
    <definedName name="Z_44504B44_F20F_4B6F_B585_74D55BA74563_.wvu.PrintArea" localSheetId="8" hidden="1">'WP06 ADIT'!$B$1:$N$196</definedName>
    <definedName name="Z_63011E91_4609_4523_98FE_FD252E915668_.wvu.Cols" localSheetId="8" hidden="1">'WP06 ADIT'!#REF!</definedName>
    <definedName name="Z_63011E91_4609_4523_98FE_FD252E915668_.wvu.PrintArea" localSheetId="3" hidden="1">'WP01 True-Up'!#REF!</definedName>
    <definedName name="Z_63011E91_4609_4523_98FE_FD252E915668_.wvu.PrintArea" localSheetId="7" hidden="1">'WP05 CapAds'!$A$2:$D$23</definedName>
    <definedName name="Z_63011E91_4609_4523_98FE_FD252E915668_.wvu.PrintArea" localSheetId="8" hidden="1">'WP06 ADIT'!$B$1:$N$196</definedName>
    <definedName name="Z_71B42B22_A376_44B5_B0C1_23FC1AA3DBA2_.wvu.Cols" localSheetId="8" hidden="1">'WP06 ADIT'!#REF!</definedName>
    <definedName name="Z_71B42B22_A376_44B5_B0C1_23FC1AA3DBA2_.wvu.PrintArea" localSheetId="8" hidden="1">'WP06 ADIT'!$B$1:$N$196</definedName>
    <definedName name="Z_B0241363_5C8A_48FC_89A6_56D55586BABE_.wvu.PrintArea" localSheetId="4" hidden="1">'WP02 Support'!$A$149:$M$153</definedName>
    <definedName name="Z_B0241363_5C8A_48FC_89A6_56D55586BABE_.wvu.PrintTitles" localSheetId="4" hidden="1">'WP02 Support'!#REF!</definedName>
    <definedName name="Z_B0241363_5C8A_48FC_89A6_56D55586BABE_.wvu.Rows" localSheetId="4" hidden="1">'WP02 Support'!#REF!</definedName>
    <definedName name="Z_B647CB7F_C846_4278_B6B1_1EF7F3C004F5_.wvu.Cols" localSheetId="8" hidden="1">'WP06 ADIT'!#REF!</definedName>
    <definedName name="Z_B647CB7F_C846_4278_B6B1_1EF7F3C004F5_.wvu.PrintArea" localSheetId="8" hidden="1">'WP06 ADIT'!$B$1:$N$196</definedName>
    <definedName name="Z_C0EA0F9F_7310_4201_82C9_7B8FC8DB9137_.wvu.PrintArea" localSheetId="4" hidden="1">'WP02 Support'!$A$149:$M$153</definedName>
    <definedName name="Z_C0EA0F9F_7310_4201_82C9_7B8FC8DB9137_.wvu.PrintTitles" localSheetId="4" hidden="1">'WP02 Support'!#REF!</definedName>
    <definedName name="Z_C0EA0F9F_7310_4201_82C9_7B8FC8DB9137_.wvu.Rows" localSheetId="4" hidden="1">'WP02 Support'!#REF!</definedName>
    <definedName name="Z_DC91DEF3_837B_4BB9_A81E_3B78C5914E6C_.wvu.Cols" localSheetId="8" hidden="1">'WP06 ADIT'!#REF!</definedName>
    <definedName name="Z_DC91DEF3_837B_4BB9_A81E_3B78C5914E6C_.wvu.PrintArea" localSheetId="8" hidden="1">'WP06 ADIT'!$B$1:$N$196</definedName>
    <definedName name="Z_FAAD9AAC_1337_43AB_BF1F_CCF9DFCF5B78_.wvu.Cols" localSheetId="8" hidden="1">'WP06 ADIT'!#REF!</definedName>
    <definedName name="Z_FAAD9AAC_1337_43AB_BF1F_CCF9DFCF5B78_.wvu.PrintArea" localSheetId="8" hidden="1">'WP06 ADIT'!$B$1:$N$196</definedName>
  </definedNames>
  <calcPr calcId="145621" iterate="1"/>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J149" i="2" l="1"/>
  <c r="J148" i="2"/>
  <c r="F149" i="2"/>
  <c r="F148" i="2"/>
  <c r="A4" i="96" l="1"/>
  <c r="A1" i="96"/>
  <c r="F34" i="49" l="1"/>
  <c r="G33" i="49"/>
  <c r="D35" i="49"/>
  <c r="A34" i="49"/>
  <c r="A35" i="49"/>
  <c r="J145" i="2"/>
  <c r="F145" i="2"/>
  <c r="J102" i="2"/>
  <c r="F102" i="2"/>
  <c r="J17" i="2"/>
  <c r="F17" i="2"/>
  <c r="A92" i="77"/>
  <c r="A93" i="77"/>
  <c r="I42" i="62"/>
  <c r="I14" i="77"/>
  <c r="K151" i="2"/>
  <c r="K150" i="2"/>
  <c r="G151" i="2"/>
  <c r="G150" i="2"/>
  <c r="Q13" i="74"/>
  <c r="D49" i="77"/>
  <c r="I62" i="77"/>
  <c r="I63" i="77"/>
  <c r="A16" i="74"/>
  <c r="A66" i="78"/>
  <c r="A67" i="78"/>
  <c r="H68" i="78"/>
  <c r="G164" i="2"/>
  <c r="G165" i="2"/>
  <c r="G184" i="2"/>
  <c r="G186" i="2" s="1"/>
  <c r="G12" i="2" s="1"/>
  <c r="G13" i="2" s="1"/>
  <c r="G68" i="75" s="1"/>
  <c r="G133" i="2"/>
  <c r="G134" i="2"/>
  <c r="G141" i="2"/>
  <c r="G143" i="2"/>
  <c r="G11" i="2"/>
  <c r="H156" i="2"/>
  <c r="H157" i="2"/>
  <c r="H174" i="2"/>
  <c r="H175" i="2"/>
  <c r="H178" i="2"/>
  <c r="H179" i="2"/>
  <c r="H184" i="2"/>
  <c r="H186" i="2"/>
  <c r="H12" i="2"/>
  <c r="H24" i="2"/>
  <c r="H25" i="2"/>
  <c r="H30" i="2"/>
  <c r="H31" i="2"/>
  <c r="H42" i="2"/>
  <c r="H43" i="2"/>
  <c r="H55" i="2"/>
  <c r="H56" i="2"/>
  <c r="H85" i="2"/>
  <c r="H86" i="2"/>
  <c r="H89" i="2"/>
  <c r="H90" i="2"/>
  <c r="H91" i="2"/>
  <c r="H92" i="2"/>
  <c r="H98" i="2"/>
  <c r="H100" i="2"/>
  <c r="H9" i="2"/>
  <c r="H103" i="2"/>
  <c r="H104" i="2"/>
  <c r="H107" i="2"/>
  <c r="H108" i="2"/>
  <c r="H109" i="2"/>
  <c r="H110" i="2"/>
  <c r="H111" i="2"/>
  <c r="H112" i="2"/>
  <c r="H113" i="2"/>
  <c r="H114" i="2"/>
  <c r="H115" i="2"/>
  <c r="H116" i="2"/>
  <c r="H117" i="2"/>
  <c r="H118" i="2"/>
  <c r="H121" i="2"/>
  <c r="H122" i="2"/>
  <c r="H123" i="2"/>
  <c r="H124" i="2"/>
  <c r="H127" i="2"/>
  <c r="H128" i="2"/>
  <c r="H135" i="2"/>
  <c r="H136" i="2"/>
  <c r="H141" i="2"/>
  <c r="H143" i="2"/>
  <c r="H11" i="2"/>
  <c r="H13" i="2"/>
  <c r="G69" i="75"/>
  <c r="L9" i="62"/>
  <c r="L10" i="62"/>
  <c r="L11" i="62"/>
  <c r="L12" i="62"/>
  <c r="L13" i="62"/>
  <c r="L14" i="62"/>
  <c r="L15" i="62"/>
  <c r="L16" i="62"/>
  <c r="L17" i="62"/>
  <c r="L18" i="62"/>
  <c r="L19" i="62"/>
  <c r="L20" i="62"/>
  <c r="L21" i="62"/>
  <c r="L23" i="62"/>
  <c r="G27" i="75"/>
  <c r="C23" i="62"/>
  <c r="G45" i="75"/>
  <c r="K23" i="62"/>
  <c r="G44" i="75"/>
  <c r="G46" i="75" s="1"/>
  <c r="C15" i="61"/>
  <c r="C27" i="61"/>
  <c r="G15" i="75"/>
  <c r="G17" i="75" s="1"/>
  <c r="G23" i="75" s="1"/>
  <c r="C31" i="61"/>
  <c r="C33" i="61"/>
  <c r="G19" i="75"/>
  <c r="G21" i="75" s="1"/>
  <c r="C10" i="61"/>
  <c r="G11" i="75"/>
  <c r="G13" i="75" s="1"/>
  <c r="G23" i="62"/>
  <c r="G40" i="75"/>
  <c r="G42" i="75" s="1"/>
  <c r="G258" i="75" s="1"/>
  <c r="I184" i="2"/>
  <c r="I186" i="2"/>
  <c r="I12" i="2"/>
  <c r="I28" i="2"/>
  <c r="I29" i="2"/>
  <c r="I44" i="2"/>
  <c r="I45" i="2"/>
  <c r="I79" i="2"/>
  <c r="I80" i="2"/>
  <c r="I88" i="2"/>
  <c r="I98" i="2"/>
  <c r="I100" i="2"/>
  <c r="I9" i="2"/>
  <c r="I119" i="2"/>
  <c r="I120" i="2"/>
  <c r="I141" i="2"/>
  <c r="I143" i="2"/>
  <c r="I11" i="2"/>
  <c r="I13" i="2"/>
  <c r="G72" i="75"/>
  <c r="D53" i="93"/>
  <c r="D58" i="93"/>
  <c r="D59" i="93"/>
  <c r="D21" i="77"/>
  <c r="E11" i="55"/>
  <c r="G11" i="55"/>
  <c r="H11" i="55"/>
  <c r="E12" i="55"/>
  <c r="G12" i="55"/>
  <c r="H12" i="55"/>
  <c r="E13" i="55"/>
  <c r="G13" i="55"/>
  <c r="H13" i="55"/>
  <c r="E14" i="55"/>
  <c r="G14" i="55"/>
  <c r="H14" i="55"/>
  <c r="H65" i="55"/>
  <c r="E15" i="55"/>
  <c r="G15" i="55"/>
  <c r="H15" i="55"/>
  <c r="H66" i="55"/>
  <c r="E16" i="55"/>
  <c r="G16" i="55"/>
  <c r="H16" i="55"/>
  <c r="H67" i="55"/>
  <c r="E17" i="55"/>
  <c r="G17" i="55"/>
  <c r="H17" i="55"/>
  <c r="E18" i="55"/>
  <c r="G18" i="55"/>
  <c r="H18" i="55"/>
  <c r="E19" i="55"/>
  <c r="G19" i="55"/>
  <c r="H19" i="55"/>
  <c r="E20" i="55"/>
  <c r="G20" i="55"/>
  <c r="H20" i="55"/>
  <c r="E21" i="55"/>
  <c r="G21" i="55"/>
  <c r="H21" i="55"/>
  <c r="E22" i="55"/>
  <c r="G22" i="55"/>
  <c r="H22" i="55"/>
  <c r="H68" i="55"/>
  <c r="E23" i="55"/>
  <c r="G23" i="55"/>
  <c r="H23" i="55"/>
  <c r="E24" i="55"/>
  <c r="G24" i="55"/>
  <c r="H24" i="55"/>
  <c r="E25" i="55"/>
  <c r="G25" i="55"/>
  <c r="H25" i="55"/>
  <c r="E26" i="55"/>
  <c r="G26" i="55"/>
  <c r="H26" i="55"/>
  <c r="E27" i="55"/>
  <c r="G27" i="55"/>
  <c r="H27" i="55"/>
  <c r="E28" i="55"/>
  <c r="G28" i="55"/>
  <c r="H28" i="55"/>
  <c r="E29" i="55"/>
  <c r="G29" i="55"/>
  <c r="H29" i="55"/>
  <c r="E30" i="55"/>
  <c r="G30" i="55"/>
  <c r="H30" i="55"/>
  <c r="E31" i="55"/>
  <c r="G31" i="55"/>
  <c r="H31" i="55"/>
  <c r="E32" i="55"/>
  <c r="G32" i="55"/>
  <c r="H32" i="55"/>
  <c r="E33" i="55"/>
  <c r="G33" i="55"/>
  <c r="H33" i="55"/>
  <c r="E34" i="55"/>
  <c r="G34" i="55"/>
  <c r="H34" i="55"/>
  <c r="E35" i="55"/>
  <c r="G35" i="55"/>
  <c r="H35" i="55"/>
  <c r="H69" i="55"/>
  <c r="E36" i="55"/>
  <c r="G36" i="55"/>
  <c r="H36" i="55"/>
  <c r="H70" i="55"/>
  <c r="E37" i="55"/>
  <c r="G37" i="55"/>
  <c r="H37" i="55"/>
  <c r="E38" i="55"/>
  <c r="G38" i="55"/>
  <c r="H38" i="55"/>
  <c r="H72" i="55"/>
  <c r="E39" i="55"/>
  <c r="G39" i="55"/>
  <c r="H39" i="55"/>
  <c r="E40" i="55"/>
  <c r="G40" i="55"/>
  <c r="H40" i="55"/>
  <c r="H73" i="55"/>
  <c r="E41" i="55"/>
  <c r="G41" i="55"/>
  <c r="H41" i="55"/>
  <c r="E42" i="55"/>
  <c r="G42" i="55"/>
  <c r="H42" i="55"/>
  <c r="E43" i="55"/>
  <c r="G43" i="55"/>
  <c r="H43" i="55"/>
  <c r="E44" i="55"/>
  <c r="G44" i="55"/>
  <c r="H44" i="55"/>
  <c r="E45" i="55"/>
  <c r="G45" i="55"/>
  <c r="H45" i="55"/>
  <c r="E46" i="55"/>
  <c r="G46" i="55"/>
  <c r="H46" i="55"/>
  <c r="E47" i="55"/>
  <c r="G47" i="55"/>
  <c r="H47" i="55"/>
  <c r="E48" i="55"/>
  <c r="G48" i="55"/>
  <c r="H48" i="55"/>
  <c r="E49" i="55"/>
  <c r="G49" i="55"/>
  <c r="H49" i="55"/>
  <c r="E50" i="55"/>
  <c r="G50" i="55"/>
  <c r="H50" i="55"/>
  <c r="E51" i="55"/>
  <c r="G51" i="55"/>
  <c r="H51" i="55"/>
  <c r="E52" i="55"/>
  <c r="G52" i="55"/>
  <c r="H52" i="55"/>
  <c r="H74" i="55"/>
  <c r="H75" i="55"/>
  <c r="D22" i="77"/>
  <c r="E51" i="56"/>
  <c r="E52" i="56"/>
  <c r="E53" i="56"/>
  <c r="E54" i="56"/>
  <c r="E55" i="56"/>
  <c r="E56" i="56"/>
  <c r="E57" i="56"/>
  <c r="E58" i="56"/>
  <c r="E59" i="56"/>
  <c r="E60" i="56"/>
  <c r="E61" i="56"/>
  <c r="D23" i="77"/>
  <c r="D46" i="95"/>
  <c r="D47" i="95"/>
  <c r="D48" i="95"/>
  <c r="D49" i="95"/>
  <c r="D50" i="95"/>
  <c r="D52" i="95"/>
  <c r="D53" i="95"/>
  <c r="D54" i="95"/>
  <c r="D55" i="95"/>
  <c r="D56" i="95"/>
  <c r="D24" i="77"/>
  <c r="D28" i="77"/>
  <c r="G16" i="75"/>
  <c r="D31" i="77"/>
  <c r="D32" i="77"/>
  <c r="D33" i="77"/>
  <c r="D34" i="77"/>
  <c r="D38" i="77"/>
  <c r="G20" i="75"/>
  <c r="D39" i="95"/>
  <c r="D40" i="95"/>
  <c r="D41" i="95"/>
  <c r="D42" i="95"/>
  <c r="D14" i="77"/>
  <c r="E47" i="56"/>
  <c r="D13" i="77"/>
  <c r="H61" i="55"/>
  <c r="D12" i="77"/>
  <c r="D45" i="93"/>
  <c r="D11" i="77"/>
  <c r="D18" i="77"/>
  <c r="G12" i="75"/>
  <c r="F53" i="77"/>
  <c r="F60" i="77"/>
  <c r="F67" i="77"/>
  <c r="F76" i="77"/>
  <c r="F83" i="77"/>
  <c r="F84" i="77"/>
  <c r="G80" i="75"/>
  <c r="G53" i="77"/>
  <c r="G60" i="77"/>
  <c r="G67" i="77"/>
  <c r="G76" i="77"/>
  <c r="G83" i="77"/>
  <c r="G84" i="77"/>
  <c r="G81" i="75"/>
  <c r="L28" i="62"/>
  <c r="L29" i="62"/>
  <c r="L30" i="62"/>
  <c r="L31" i="62"/>
  <c r="L32" i="62"/>
  <c r="L33" i="62"/>
  <c r="L34" i="62"/>
  <c r="L35" i="62"/>
  <c r="L36" i="62"/>
  <c r="L37" i="62"/>
  <c r="L38" i="62"/>
  <c r="L39" i="62"/>
  <c r="L40" i="62"/>
  <c r="L42" i="62"/>
  <c r="G28" i="75"/>
  <c r="C42" i="62"/>
  <c r="G56" i="75"/>
  <c r="G57" i="75" s="1"/>
  <c r="K42" i="62"/>
  <c r="G55" i="75"/>
  <c r="G42" i="62"/>
  <c r="G53" i="75"/>
  <c r="H53" i="77"/>
  <c r="Q14" i="74"/>
  <c r="D55" i="77"/>
  <c r="H55" i="77"/>
  <c r="Q15" i="74"/>
  <c r="D56" i="77"/>
  <c r="H56" i="77"/>
  <c r="H60" i="77"/>
  <c r="Q16" i="74"/>
  <c r="D62" i="77"/>
  <c r="H62" i="77"/>
  <c r="H67" i="77"/>
  <c r="H76" i="77"/>
  <c r="H83" i="77"/>
  <c r="H84" i="77"/>
  <c r="G84" i="75"/>
  <c r="Q11" i="73"/>
  <c r="D30" i="73"/>
  <c r="G30" i="73"/>
  <c r="Q12" i="73"/>
  <c r="D31" i="73"/>
  <c r="G31" i="73"/>
  <c r="Q15" i="73"/>
  <c r="D34" i="73"/>
  <c r="G34" i="73"/>
  <c r="G41" i="73"/>
  <c r="G98" i="75"/>
  <c r="Q9" i="73"/>
  <c r="D28" i="73"/>
  <c r="H28" i="73"/>
  <c r="Q13" i="73"/>
  <c r="D32" i="73"/>
  <c r="H32" i="73"/>
  <c r="Q14" i="73"/>
  <c r="D33" i="73"/>
  <c r="H33" i="73"/>
  <c r="Q16" i="73"/>
  <c r="D35" i="73"/>
  <c r="H35" i="73"/>
  <c r="Q18" i="73"/>
  <c r="D37" i="73"/>
  <c r="H37" i="73"/>
  <c r="H41" i="73"/>
  <c r="G101" i="75"/>
  <c r="Q10" i="91"/>
  <c r="G91" i="75"/>
  <c r="Q9" i="91"/>
  <c r="G90" i="75"/>
  <c r="E8" i="93"/>
  <c r="E9" i="93"/>
  <c r="E10" i="93"/>
  <c r="E11" i="93"/>
  <c r="E12" i="93"/>
  <c r="E13" i="93"/>
  <c r="E14" i="93"/>
  <c r="E15" i="93"/>
  <c r="E16" i="93"/>
  <c r="E17" i="93"/>
  <c r="E18" i="93"/>
  <c r="E19" i="93"/>
  <c r="E20" i="93"/>
  <c r="E21" i="93"/>
  <c r="E22" i="93"/>
  <c r="E23" i="93"/>
  <c r="E24" i="93"/>
  <c r="E45" i="93"/>
  <c r="D89" i="77"/>
  <c r="K23" i="55"/>
  <c r="K24" i="55"/>
  <c r="K25" i="55"/>
  <c r="K26" i="55"/>
  <c r="K27" i="55"/>
  <c r="K28" i="55"/>
  <c r="K29" i="55"/>
  <c r="K30" i="55"/>
  <c r="K31" i="55"/>
  <c r="K32" i="55"/>
  <c r="K33" i="55"/>
  <c r="K34" i="55"/>
  <c r="K35" i="55"/>
  <c r="K61" i="55"/>
  <c r="D90" i="77"/>
  <c r="F20" i="56"/>
  <c r="F21" i="56"/>
  <c r="F22" i="56"/>
  <c r="F23" i="56"/>
  <c r="F24" i="56"/>
  <c r="F25" i="56"/>
  <c r="F47" i="56"/>
  <c r="D91" i="77"/>
  <c r="C39" i="95"/>
  <c r="C40" i="95"/>
  <c r="C41" i="95"/>
  <c r="C42" i="95"/>
  <c r="E42" i="95"/>
  <c r="D92" i="77"/>
  <c r="D96" i="77"/>
  <c r="G129" i="75"/>
  <c r="G130" i="75"/>
  <c r="D113" i="77"/>
  <c r="G138" i="75"/>
  <c r="E25" i="93"/>
  <c r="E26" i="93"/>
  <c r="E27" i="93"/>
  <c r="E28" i="93"/>
  <c r="E29" i="93"/>
  <c r="E30" i="93"/>
  <c r="E31" i="93"/>
  <c r="E32" i="93"/>
  <c r="E33" i="93"/>
  <c r="E34" i="93"/>
  <c r="E35" i="93"/>
  <c r="E58" i="93"/>
  <c r="D99" i="77"/>
  <c r="K41" i="55"/>
  <c r="K42" i="55"/>
  <c r="K43" i="55"/>
  <c r="K44" i="55"/>
  <c r="K45" i="55"/>
  <c r="K46" i="55"/>
  <c r="K47" i="55"/>
  <c r="K48" i="55"/>
  <c r="K49" i="55"/>
  <c r="K50" i="55"/>
  <c r="K51" i="55"/>
  <c r="K52" i="55"/>
  <c r="K74" i="55"/>
  <c r="D100" i="77"/>
  <c r="F30" i="56"/>
  <c r="F31" i="56"/>
  <c r="F32" i="56"/>
  <c r="F33" i="56"/>
  <c r="F34" i="56"/>
  <c r="F35" i="56"/>
  <c r="F36" i="56"/>
  <c r="F37" i="56"/>
  <c r="F38" i="56"/>
  <c r="F39" i="56"/>
  <c r="F40" i="56"/>
  <c r="F60" i="56"/>
  <c r="D101" i="77"/>
  <c r="C55" i="95"/>
  <c r="E55" i="95"/>
  <c r="D102" i="77"/>
  <c r="D106" i="77"/>
  <c r="G140" i="75"/>
  <c r="G141" i="75"/>
  <c r="D122" i="77"/>
  <c r="G146" i="75"/>
  <c r="G148" i="75"/>
  <c r="E65" i="93"/>
  <c r="G150" i="75"/>
  <c r="G152" i="75"/>
  <c r="Q8" i="44"/>
  <c r="Q9" i="44"/>
  <c r="Q10" i="44"/>
  <c r="Q11" i="44"/>
  <c r="Q12" i="44"/>
  <c r="G197" i="75"/>
  <c r="Q33" i="44"/>
  <c r="Q38" i="44"/>
  <c r="Q34" i="44"/>
  <c r="Q35" i="44"/>
  <c r="Q36" i="44"/>
  <c r="Q37" i="44"/>
  <c r="Q39" i="44"/>
  <c r="G200" i="75"/>
  <c r="G210" i="75" s="1"/>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4" i="44"/>
  <c r="Q48" i="44"/>
  <c r="G202" i="75"/>
  <c r="G206" i="75"/>
  <c r="G215" i="75" s="1"/>
  <c r="Q15" i="44"/>
  <c r="Q16" i="44"/>
  <c r="Q17" i="44"/>
  <c r="Q18" i="44"/>
  <c r="Q19" i="44"/>
  <c r="Q20" i="44"/>
  <c r="G198" i="75"/>
  <c r="G209" i="75" s="1"/>
  <c r="P30" i="44"/>
  <c r="G199" i="75"/>
  <c r="G201" i="75"/>
  <c r="G226" i="75"/>
  <c r="G227" i="75" s="1"/>
  <c r="G231" i="75"/>
  <c r="D128" i="77"/>
  <c r="K15" i="55"/>
  <c r="K66" i="55"/>
  <c r="D129" i="77"/>
  <c r="F10" i="56"/>
  <c r="F52" i="56"/>
  <c r="D130" i="77"/>
  <c r="C47" i="95"/>
  <c r="E47" i="95"/>
  <c r="D131" i="77"/>
  <c r="D135" i="77"/>
  <c r="G165" i="75"/>
  <c r="G166" i="75" s="1"/>
  <c r="D140" i="77"/>
  <c r="K16" i="55"/>
  <c r="K67" i="55"/>
  <c r="D141" i="77"/>
  <c r="F11" i="56"/>
  <c r="F53" i="56"/>
  <c r="D142" i="77"/>
  <c r="C48" i="95"/>
  <c r="E48" i="95"/>
  <c r="D143" i="77"/>
  <c r="D147" i="77"/>
  <c r="G177" i="75"/>
  <c r="F11" i="49"/>
  <c r="F14" i="49"/>
  <c r="F20" i="49"/>
  <c r="F22" i="49"/>
  <c r="F26" i="49"/>
  <c r="F27" i="49"/>
  <c r="F28" i="49"/>
  <c r="F29" i="49"/>
  <c r="F31" i="49"/>
  <c r="F37" i="49"/>
  <c r="G176" i="75"/>
  <c r="G178" i="75" s="1"/>
  <c r="G9" i="49"/>
  <c r="G10" i="49"/>
  <c r="G13" i="49"/>
  <c r="G25" i="49"/>
  <c r="G37" i="49"/>
  <c r="G182" i="75"/>
  <c r="G174" i="75"/>
  <c r="H23" i="62"/>
  <c r="D152" i="77"/>
  <c r="I23" i="62"/>
  <c r="D153" i="77"/>
  <c r="D156" i="77"/>
  <c r="G259" i="75"/>
  <c r="G260" i="75"/>
  <c r="F10" i="51"/>
  <c r="G268" i="75"/>
  <c r="D10" i="51"/>
  <c r="G267" i="75"/>
  <c r="F35" i="51"/>
  <c r="F57" i="51"/>
  <c r="G277" i="75"/>
  <c r="D25" i="51"/>
  <c r="D29" i="51"/>
  <c r="D30" i="51"/>
  <c r="D37" i="51"/>
  <c r="D39" i="51"/>
  <c r="D48" i="51"/>
  <c r="D51" i="51"/>
  <c r="D52" i="51"/>
  <c r="D53" i="51"/>
  <c r="D57" i="51"/>
  <c r="G274" i="75"/>
  <c r="E24" i="51"/>
  <c r="E26" i="51"/>
  <c r="E31" i="51"/>
  <c r="E38" i="51"/>
  <c r="E40" i="51"/>
  <c r="E44" i="51"/>
  <c r="E57" i="51"/>
  <c r="G275" i="75"/>
  <c r="G276" i="75"/>
  <c r="G281" i="75"/>
  <c r="G282" i="75"/>
  <c r="G283" i="75"/>
  <c r="E58" i="51"/>
  <c r="G22" i="78"/>
  <c r="G25" i="78" s="1"/>
  <c r="G29" i="78" s="1"/>
  <c r="G55" i="78"/>
  <c r="G56" i="78"/>
  <c r="G57" i="78" s="1"/>
  <c r="G58" i="78" s="1"/>
  <c r="G59" i="78" s="1"/>
  <c r="G60" i="78" s="1"/>
  <c r="G61" i="78" s="1"/>
  <c r="G62" i="78" s="1"/>
  <c r="G63" i="78" s="1"/>
  <c r="G64" i="78" s="1"/>
  <c r="G65" i="78" s="1"/>
  <c r="F65" i="78"/>
  <c r="A68" i="78"/>
  <c r="H67" i="78"/>
  <c r="H66" i="78"/>
  <c r="F29" i="56"/>
  <c r="F58" i="56"/>
  <c r="F28" i="56"/>
  <c r="F59" i="56"/>
  <c r="D59" i="56"/>
  <c r="D58" i="56"/>
  <c r="G53" i="55"/>
  <c r="H53" i="55"/>
  <c r="G54" i="55"/>
  <c r="H54" i="55"/>
  <c r="K53" i="55"/>
  <c r="K54" i="55"/>
  <c r="Q47" i="44"/>
  <c r="A29" i="55"/>
  <c r="A30" i="55"/>
  <c r="A31" i="55"/>
  <c r="A32" i="55"/>
  <c r="A33" i="55"/>
  <c r="A34" i="55"/>
  <c r="A35" i="55"/>
  <c r="A36" i="55"/>
  <c r="A37" i="55"/>
  <c r="A38" i="55"/>
  <c r="A39" i="55"/>
  <c r="A40" i="55"/>
  <c r="A41" i="55"/>
  <c r="A42" i="55"/>
  <c r="A43" i="55"/>
  <c r="A44" i="55"/>
  <c r="A45" i="55"/>
  <c r="A46" i="55"/>
  <c r="A47" i="55"/>
  <c r="A48" i="55"/>
  <c r="A49" i="55"/>
  <c r="A50" i="55"/>
  <c r="A51" i="55"/>
  <c r="A52" i="55"/>
  <c r="L175" i="2"/>
  <c r="L174" i="2"/>
  <c r="J106" i="2"/>
  <c r="J105" i="2"/>
  <c r="F106" i="2"/>
  <c r="F105" i="2"/>
  <c r="C11" i="57"/>
  <c r="G134" i="75"/>
  <c r="A7" i="74"/>
  <c r="A8" i="74"/>
  <c r="A9" i="74"/>
  <c r="A10" i="74"/>
  <c r="E53" i="55"/>
  <c r="E54" i="55"/>
  <c r="A11" i="55"/>
  <c r="A12" i="55"/>
  <c r="A13" i="55"/>
  <c r="A14" i="55"/>
  <c r="A15" i="55"/>
  <c r="A16" i="55"/>
  <c r="A17" i="55"/>
  <c r="A18" i="55"/>
  <c r="A19" i="55"/>
  <c r="A20" i="55"/>
  <c r="A21" i="55"/>
  <c r="A22" i="55"/>
  <c r="A23" i="55"/>
  <c r="A24" i="55"/>
  <c r="A25" i="55"/>
  <c r="A26" i="55"/>
  <c r="A27" i="55"/>
  <c r="A28" i="55"/>
  <c r="G15" i="86"/>
  <c r="G14" i="86"/>
  <c r="G13" i="86"/>
  <c r="A8" i="73"/>
  <c r="A22" i="73"/>
  <c r="A24" i="73"/>
  <c r="A25" i="73"/>
  <c r="A26" i="73"/>
  <c r="A27" i="73"/>
  <c r="A28" i="73"/>
  <c r="A29" i="73"/>
  <c r="A30" i="73"/>
  <c r="A31" i="73"/>
  <c r="A32" i="73"/>
  <c r="A9" i="73"/>
  <c r="A10" i="73"/>
  <c r="A11" i="73"/>
  <c r="A12" i="73"/>
  <c r="A13" i="73"/>
  <c r="Q19" i="73"/>
  <c r="D38" i="73"/>
  <c r="Q20" i="73"/>
  <c r="D39" i="73"/>
  <c r="Q21" i="73"/>
  <c r="D40" i="73"/>
  <c r="C29" i="73"/>
  <c r="C30" i="73"/>
  <c r="C31" i="73"/>
  <c r="C32" i="73"/>
  <c r="C33" i="73"/>
  <c r="C34" i="73"/>
  <c r="C35" i="73"/>
  <c r="C36" i="73"/>
  <c r="C37" i="73"/>
  <c r="C38" i="73"/>
  <c r="C39" i="73"/>
  <c r="C40" i="73"/>
  <c r="A8" i="2"/>
  <c r="A9" i="2"/>
  <c r="A10" i="2"/>
  <c r="A11" i="2"/>
  <c r="A12" i="2"/>
  <c r="A13" i="2"/>
  <c r="A14" i="2"/>
  <c r="A15" i="2"/>
  <c r="A16" i="2"/>
  <c r="A17" i="2"/>
  <c r="A97" i="2"/>
  <c r="A98" i="2"/>
  <c r="A99" i="2"/>
  <c r="A100" i="2"/>
  <c r="A101" i="2"/>
  <c r="A102" i="2"/>
  <c r="A140" i="2"/>
  <c r="A141" i="2"/>
  <c r="A142" i="2"/>
  <c r="A143" i="2"/>
  <c r="A144" i="2"/>
  <c r="A145" i="2"/>
  <c r="A182"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3" i="2"/>
  <c r="A139" i="2"/>
  <c r="A103" i="2"/>
  <c r="A96" i="2"/>
  <c r="Q11" i="74"/>
  <c r="A53" i="77"/>
  <c r="A54" i="77"/>
  <c r="A60" i="77"/>
  <c r="A61" i="77"/>
  <c r="A67" i="77"/>
  <c r="A68" i="77"/>
  <c r="A76" i="77"/>
  <c r="A77" i="77"/>
  <c r="A78" i="77"/>
  <c r="A83" i="77"/>
  <c r="A84" i="77"/>
  <c r="A85" i="77"/>
  <c r="A86" i="77"/>
  <c r="A87" i="77"/>
  <c r="A88" i="77"/>
  <c r="A96" i="77"/>
  <c r="A97" i="77"/>
  <c r="A98" i="77"/>
  <c r="A106" i="77"/>
  <c r="A107" i="77"/>
  <c r="A108" i="77"/>
  <c r="A113" i="77"/>
  <c r="A114" i="77"/>
  <c r="A115" i="77"/>
  <c r="A116" i="77"/>
  <c r="A122" i="77"/>
  <c r="A123" i="77"/>
  <c r="A124" i="77"/>
  <c r="A125" i="77"/>
  <c r="A126" i="77"/>
  <c r="A127" i="77"/>
  <c r="I135" i="77"/>
  <c r="A10" i="78"/>
  <c r="A11" i="78"/>
  <c r="A12" i="78"/>
  <c r="A13" i="78"/>
  <c r="A14" i="78"/>
  <c r="A15" i="78"/>
  <c r="A16" i="78"/>
  <c r="A17" i="78"/>
  <c r="A18" i="78"/>
  <c r="A19" i="78"/>
  <c r="A20" i="78"/>
  <c r="A21" i="78"/>
  <c r="A22" i="78"/>
  <c r="A23" i="78"/>
  <c r="A24" i="78"/>
  <c r="A25" i="78"/>
  <c r="A26" i="78"/>
  <c r="A27" i="78"/>
  <c r="A28" i="78"/>
  <c r="A29" i="78"/>
  <c r="A30" i="78"/>
  <c r="A31" i="78"/>
  <c r="A32" i="78"/>
  <c r="A33" i="78"/>
  <c r="A3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H29" i="78"/>
  <c r="H25" i="78"/>
  <c r="C179" i="88"/>
  <c r="C116" i="88"/>
  <c r="C56" i="88"/>
  <c r="L10" i="88"/>
  <c r="H129" i="75"/>
  <c r="D126" i="88"/>
  <c r="A12" i="75"/>
  <c r="A13" i="75" s="1"/>
  <c r="A15" i="75" s="1"/>
  <c r="A16" i="75" s="1"/>
  <c r="A17" i="75"/>
  <c r="A44" i="77"/>
  <c r="A45" i="77"/>
  <c r="A46" i="77"/>
  <c r="E7" i="86"/>
  <c r="F7" i="86"/>
  <c r="A36" i="95"/>
  <c r="A37" i="95"/>
  <c r="A38" i="95"/>
  <c r="A39" i="95"/>
  <c r="A40" i="95"/>
  <c r="A41" i="95"/>
  <c r="A42" i="95"/>
  <c r="A43" i="95"/>
  <c r="A44" i="95"/>
  <c r="A45" i="95"/>
  <c r="A46" i="95"/>
  <c r="A47" i="95"/>
  <c r="A48" i="95"/>
  <c r="I143" i="77"/>
  <c r="I131" i="77"/>
  <c r="A109" i="77"/>
  <c r="A110" i="77"/>
  <c r="A49" i="95"/>
  <c r="A50" i="95"/>
  <c r="A51" i="95"/>
  <c r="A52" i="95"/>
  <c r="A53" i="95"/>
  <c r="A54" i="95"/>
  <c r="A55" i="95"/>
  <c r="I102" i="77"/>
  <c r="A89" i="77"/>
  <c r="A90" i="77"/>
  <c r="A91" i="77"/>
  <c r="I34" i="77"/>
  <c r="A56" i="95"/>
  <c r="I24" i="77"/>
  <c r="A8" i="77"/>
  <c r="A9" i="77"/>
  <c r="A10" i="77"/>
  <c r="A11" i="77"/>
  <c r="A12" i="77"/>
  <c r="A13" i="77"/>
  <c r="A14" i="77"/>
  <c r="A15" i="77"/>
  <c r="A18" i="77"/>
  <c r="A19" i="77"/>
  <c r="A20" i="77"/>
  <c r="A21" i="77"/>
  <c r="A22" i="77"/>
  <c r="A23" i="77"/>
  <c r="A24" i="77"/>
  <c r="A25" i="77"/>
  <c r="M185" i="2"/>
  <c r="L185" i="2"/>
  <c r="K185" i="2"/>
  <c r="J176" i="2"/>
  <c r="J177" i="2"/>
  <c r="J185" i="2"/>
  <c r="I185" i="2"/>
  <c r="H185" i="2"/>
  <c r="G185" i="2"/>
  <c r="F176" i="2"/>
  <c r="F177" i="2"/>
  <c r="F185" i="2"/>
  <c r="E185" i="2"/>
  <c r="D185" i="2"/>
  <c r="L179" i="2"/>
  <c r="L178" i="2"/>
  <c r="J173" i="2"/>
  <c r="F173" i="2"/>
  <c r="J172" i="2"/>
  <c r="F172" i="2"/>
  <c r="J171" i="2"/>
  <c r="F171" i="2"/>
  <c r="J170" i="2"/>
  <c r="F170" i="2"/>
  <c r="J169" i="2"/>
  <c r="F169" i="2"/>
  <c r="J168" i="2"/>
  <c r="F168" i="2"/>
  <c r="J167" i="2"/>
  <c r="F167" i="2"/>
  <c r="J166" i="2"/>
  <c r="F166" i="2"/>
  <c r="K165" i="2"/>
  <c r="K164" i="2"/>
  <c r="J159" i="2"/>
  <c r="F159" i="2"/>
  <c r="J158" i="2"/>
  <c r="F158" i="2"/>
  <c r="L157" i="2"/>
  <c r="L156" i="2"/>
  <c r="J155" i="2"/>
  <c r="F155" i="2"/>
  <c r="J154" i="2"/>
  <c r="F154" i="2"/>
  <c r="J153" i="2"/>
  <c r="F153" i="2"/>
  <c r="J152" i="2"/>
  <c r="F152" i="2"/>
  <c r="J147" i="2"/>
  <c r="F147" i="2"/>
  <c r="J146" i="2"/>
  <c r="F146" i="2"/>
  <c r="L136" i="2"/>
  <c r="L135" i="2"/>
  <c r="K134" i="2"/>
  <c r="K133" i="2"/>
  <c r="J132" i="2"/>
  <c r="F132" i="2"/>
  <c r="J131" i="2"/>
  <c r="F131" i="2"/>
  <c r="J130" i="2"/>
  <c r="F130" i="2"/>
  <c r="J129" i="2"/>
  <c r="F129" i="2"/>
  <c r="L128" i="2"/>
  <c r="L127" i="2"/>
  <c r="J126" i="2"/>
  <c r="F126" i="2"/>
  <c r="J125" i="2"/>
  <c r="F125" i="2"/>
  <c r="L124" i="2"/>
  <c r="L123" i="2"/>
  <c r="L122" i="2"/>
  <c r="L121" i="2"/>
  <c r="M120" i="2"/>
  <c r="M119" i="2"/>
  <c r="L118" i="2"/>
  <c r="L117" i="2"/>
  <c r="L116" i="2"/>
  <c r="L115" i="2"/>
  <c r="L114" i="2"/>
  <c r="L113" i="2"/>
  <c r="L112" i="2"/>
  <c r="L111" i="2"/>
  <c r="L110" i="2"/>
  <c r="L109" i="2"/>
  <c r="L108" i="2"/>
  <c r="L107" i="2"/>
  <c r="L104" i="2"/>
  <c r="L103" i="2"/>
  <c r="M142" i="2"/>
  <c r="L142" i="2"/>
  <c r="K142" i="2"/>
  <c r="J142" i="2"/>
  <c r="I142" i="2"/>
  <c r="H142" i="2"/>
  <c r="G142" i="2"/>
  <c r="F142" i="2"/>
  <c r="E142" i="2"/>
  <c r="D142"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M99" i="2"/>
  <c r="L99" i="2"/>
  <c r="K99" i="2"/>
  <c r="J83" i="2"/>
  <c r="J84" i="2"/>
  <c r="J99" i="2"/>
  <c r="I99" i="2"/>
  <c r="H99" i="2"/>
  <c r="G99" i="2"/>
  <c r="F83" i="2"/>
  <c r="F84" i="2"/>
  <c r="F99" i="2"/>
  <c r="E99" i="2"/>
  <c r="D99" i="2"/>
  <c r="J93" i="2"/>
  <c r="F93" i="2"/>
  <c r="L92" i="2"/>
  <c r="L91" i="2"/>
  <c r="L90" i="2"/>
  <c r="L89" i="2"/>
  <c r="M88" i="2"/>
  <c r="J87" i="2"/>
  <c r="F87" i="2"/>
  <c r="L86" i="2"/>
  <c r="L85" i="2"/>
  <c r="J82" i="2"/>
  <c r="F82" i="2"/>
  <c r="J81" i="2"/>
  <c r="F81" i="2"/>
  <c r="M80" i="2"/>
  <c r="M79" i="2"/>
  <c r="J78" i="2"/>
  <c r="F78" i="2"/>
  <c r="J77" i="2"/>
  <c r="F77" i="2"/>
  <c r="J76" i="2"/>
  <c r="F76" i="2"/>
  <c r="J75" i="2"/>
  <c r="F75" i="2"/>
  <c r="J74" i="2"/>
  <c r="F74" i="2"/>
  <c r="J73" i="2"/>
  <c r="F73" i="2"/>
  <c r="J72" i="2"/>
  <c r="F72" i="2"/>
  <c r="J71" i="2"/>
  <c r="F71" i="2"/>
  <c r="J70" i="2"/>
  <c r="F70" i="2"/>
  <c r="J69" i="2"/>
  <c r="F69" i="2"/>
  <c r="J68" i="2"/>
  <c r="F68" i="2"/>
  <c r="J67" i="2"/>
  <c r="F67" i="2"/>
  <c r="J66" i="2"/>
  <c r="F66" i="2"/>
  <c r="J65" i="2"/>
  <c r="F65" i="2"/>
  <c r="J64" i="2"/>
  <c r="F64" i="2"/>
  <c r="J63" i="2"/>
  <c r="F63" i="2"/>
  <c r="J62" i="2"/>
  <c r="F62" i="2"/>
  <c r="J61" i="2"/>
  <c r="F61" i="2"/>
  <c r="J60" i="2"/>
  <c r="F60" i="2"/>
  <c r="J59" i="2"/>
  <c r="F59" i="2"/>
  <c r="J58" i="2"/>
  <c r="F58" i="2"/>
  <c r="J57" i="2"/>
  <c r="F57" i="2"/>
  <c r="L56" i="2"/>
  <c r="L55" i="2"/>
  <c r="J54" i="2"/>
  <c r="F54" i="2"/>
  <c r="J53" i="2"/>
  <c r="F53" i="2"/>
  <c r="J52" i="2"/>
  <c r="F52" i="2"/>
  <c r="J51" i="2"/>
  <c r="F51" i="2"/>
  <c r="J50" i="2"/>
  <c r="F50" i="2"/>
  <c r="J49" i="2"/>
  <c r="F49" i="2"/>
  <c r="J48" i="2"/>
  <c r="F48" i="2"/>
  <c r="J47" i="2"/>
  <c r="F47" i="2"/>
  <c r="J46" i="2"/>
  <c r="F46" i="2"/>
  <c r="M45" i="2"/>
  <c r="M44" i="2"/>
  <c r="L43" i="2"/>
  <c r="L42" i="2"/>
  <c r="J41" i="2"/>
  <c r="F41" i="2"/>
  <c r="J40" i="2"/>
  <c r="F40" i="2"/>
  <c r="J39" i="2"/>
  <c r="F39" i="2"/>
  <c r="J38" i="2"/>
  <c r="F38" i="2"/>
  <c r="J37" i="2"/>
  <c r="F37" i="2"/>
  <c r="J36" i="2"/>
  <c r="F36" i="2"/>
  <c r="J35" i="2"/>
  <c r="F35" i="2"/>
  <c r="J34" i="2"/>
  <c r="F34" i="2"/>
  <c r="J33" i="2"/>
  <c r="F33" i="2"/>
  <c r="J32" i="2"/>
  <c r="F32" i="2"/>
  <c r="L31" i="2"/>
  <c r="L30" i="2"/>
  <c r="M29" i="2"/>
  <c r="M28" i="2"/>
  <c r="J27" i="2"/>
  <c r="F27" i="2"/>
  <c r="J26" i="2"/>
  <c r="F26" i="2"/>
  <c r="L25" i="2"/>
  <c r="L24" i="2"/>
  <c r="J23" i="2"/>
  <c r="F23" i="2"/>
  <c r="J22" i="2"/>
  <c r="F22" i="2"/>
  <c r="J21" i="2"/>
  <c r="F21" i="2"/>
  <c r="J20" i="2"/>
  <c r="F20" i="2"/>
  <c r="J19" i="2"/>
  <c r="F19" i="2"/>
  <c r="J18" i="2"/>
  <c r="F18"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Q17" i="73"/>
  <c r="D36" i="73"/>
  <c r="E36" i="73"/>
  <c r="Q10" i="73"/>
  <c r="D29" i="73"/>
  <c r="E29" i="73"/>
  <c r="B31" i="73"/>
  <c r="B30" i="73"/>
  <c r="B29" i="73"/>
  <c r="C28" i="73"/>
  <c r="B28" i="73"/>
  <c r="Q22" i="73"/>
  <c r="A14" i="73"/>
  <c r="A15" i="73"/>
  <c r="A16" i="73"/>
  <c r="A17" i="73"/>
  <c r="A18" i="73"/>
  <c r="A19" i="73"/>
  <c r="A33" i="73"/>
  <c r="A34" i="73"/>
  <c r="A35" i="73"/>
  <c r="A36" i="73"/>
  <c r="A37" i="73"/>
  <c r="A38" i="73"/>
  <c r="A7" i="86"/>
  <c r="A8" i="86"/>
  <c r="A9" i="86"/>
  <c r="A10" i="86"/>
  <c r="A11" i="86"/>
  <c r="A12" i="86"/>
  <c r="A13" i="86"/>
  <c r="A11" i="85"/>
  <c r="A12" i="85"/>
  <c r="A13" i="85"/>
  <c r="A14" i="85"/>
  <c r="G50" i="51"/>
  <c r="G49" i="51"/>
  <c r="G47" i="51"/>
  <c r="G46" i="51"/>
  <c r="G45" i="51"/>
  <c r="G43" i="51"/>
  <c r="G42" i="51"/>
  <c r="G41" i="51"/>
  <c r="G36" i="51"/>
  <c r="G34" i="51"/>
  <c r="G33" i="51"/>
  <c r="G32" i="51"/>
  <c r="G28" i="51"/>
  <c r="G27" i="51"/>
  <c r="G23" i="51"/>
  <c r="G22" i="51"/>
  <c r="G21" i="51"/>
  <c r="G20" i="51"/>
  <c r="G19" i="51"/>
  <c r="G18" i="51"/>
  <c r="G17" i="51"/>
  <c r="G16" i="51"/>
  <c r="G15" i="51"/>
  <c r="C57" i="51"/>
  <c r="A41" i="56"/>
  <c r="A42" i="56"/>
  <c r="A43" i="56"/>
  <c r="A44" i="56"/>
  <c r="A45" i="56"/>
  <c r="A46" i="56"/>
  <c r="A47" i="56"/>
  <c r="I13" i="77"/>
  <c r="A48" i="56"/>
  <c r="A49" i="56"/>
  <c r="A50" i="56"/>
  <c r="A51" i="56"/>
  <c r="A52" i="56"/>
  <c r="A53" i="56"/>
  <c r="A54" i="56"/>
  <c r="A55" i="56"/>
  <c r="A56" i="56"/>
  <c r="A57" i="56"/>
  <c r="A58" i="56"/>
  <c r="A59" i="56"/>
  <c r="A60" i="56"/>
  <c r="I101" i="77"/>
  <c r="I92" i="77"/>
  <c r="A135" i="77"/>
  <c r="A136" i="77"/>
  <c r="A137" i="77"/>
  <c r="A138" i="77"/>
  <c r="A139" i="77"/>
  <c r="A140" i="77"/>
  <c r="A141" i="77"/>
  <c r="A142" i="77"/>
  <c r="A143" i="77"/>
  <c r="A144" i="77"/>
  <c r="A99" i="77"/>
  <c r="A100" i="77"/>
  <c r="A101" i="77"/>
  <c r="A102" i="77"/>
  <c r="A103" i="77"/>
  <c r="A128" i="77"/>
  <c r="A129" i="77"/>
  <c r="A130" i="77"/>
  <c r="A131" i="77"/>
  <c r="A132" i="77"/>
  <c r="E38" i="93"/>
  <c r="I106" i="77"/>
  <c r="C32" i="61"/>
  <c r="G98" i="2"/>
  <c r="G100" i="2"/>
  <c r="G9" i="2"/>
  <c r="H130" i="75"/>
  <c r="Q8" i="74"/>
  <c r="Q9" i="74"/>
  <c r="Q10" i="74"/>
  <c r="Q12" i="74"/>
  <c r="Q17" i="74"/>
  <c r="Q18" i="74"/>
  <c r="Q19" i="74"/>
  <c r="Q20" i="74"/>
  <c r="Q21" i="74"/>
  <c r="Q22" i="74"/>
  <c r="Q23" i="74"/>
  <c r="Q24" i="74"/>
  <c r="Q25" i="74"/>
  <c r="E25" i="74"/>
  <c r="F25" i="74"/>
  <c r="G25" i="74"/>
  <c r="H25" i="74"/>
  <c r="I25" i="74"/>
  <c r="J25" i="74"/>
  <c r="K25" i="74"/>
  <c r="L25" i="74"/>
  <c r="M25" i="74"/>
  <c r="N25" i="74"/>
  <c r="O25" i="74"/>
  <c r="P25" i="74"/>
  <c r="D25" i="74"/>
  <c r="A8" i="66"/>
  <c r="A9" i="66"/>
  <c r="A10" i="66"/>
  <c r="A11" i="66"/>
  <c r="A12" i="66"/>
  <c r="A13" i="66"/>
  <c r="A14" i="66"/>
  <c r="A15" i="66"/>
  <c r="A16" i="66"/>
  <c r="A17" i="66"/>
  <c r="A18" i="66"/>
  <c r="F289" i="75"/>
  <c r="A92" i="2"/>
  <c r="A93" i="2"/>
  <c r="A94" i="2"/>
  <c r="A137" i="2"/>
  <c r="A3" i="67"/>
  <c r="F41" i="73"/>
  <c r="H97" i="75"/>
  <c r="H98" i="75"/>
  <c r="H27" i="75"/>
  <c r="H28" i="75"/>
  <c r="H44" i="75"/>
  <c r="H46" i="75" s="1"/>
  <c r="H45" i="75"/>
  <c r="H15" i="75"/>
  <c r="H16" i="75"/>
  <c r="H19" i="75"/>
  <c r="H21" i="75" s="1"/>
  <c r="H20" i="75"/>
  <c r="H11" i="75"/>
  <c r="H13" i="75" s="1"/>
  <c r="H12" i="75"/>
  <c r="H40" i="75"/>
  <c r="H42" i="75" s="1"/>
  <c r="H258" i="75" s="1"/>
  <c r="D9" i="84"/>
  <c r="D10" i="84"/>
  <c r="D11" i="84"/>
  <c r="D12" i="84"/>
  <c r="D13" i="84"/>
  <c r="D14" i="84"/>
  <c r="D15" i="84"/>
  <c r="D16" i="84"/>
  <c r="D17" i="84"/>
  <c r="D18" i="84"/>
  <c r="D19" i="84"/>
  <c r="D20" i="84"/>
  <c r="D22" i="84"/>
  <c r="H41" i="75"/>
  <c r="H55" i="75"/>
  <c r="H57" i="75" s="1"/>
  <c r="H56" i="75"/>
  <c r="H53" i="75"/>
  <c r="H101" i="75"/>
  <c r="K98" i="2"/>
  <c r="K100" i="2"/>
  <c r="K9" i="2"/>
  <c r="K141" i="2"/>
  <c r="K143" i="2"/>
  <c r="K11" i="2"/>
  <c r="K184" i="2"/>
  <c r="K186" i="2" s="1"/>
  <c r="K12" i="2" s="1"/>
  <c r="K13" i="2" s="1"/>
  <c r="H68" i="75" s="1"/>
  <c r="L98" i="2"/>
  <c r="L100" i="2"/>
  <c r="L9" i="2"/>
  <c r="L141" i="2"/>
  <c r="L143" i="2"/>
  <c r="L11" i="2"/>
  <c r="L184" i="2"/>
  <c r="L186" i="2"/>
  <c r="L12" i="2"/>
  <c r="L13" i="2"/>
  <c r="H69" i="75"/>
  <c r="M98" i="2"/>
  <c r="M100" i="2"/>
  <c r="M9" i="2"/>
  <c r="M141" i="2"/>
  <c r="M143" i="2"/>
  <c r="M11" i="2"/>
  <c r="M184" i="2"/>
  <c r="M186" i="2"/>
  <c r="M12" i="2"/>
  <c r="M13" i="2"/>
  <c r="H72" i="75"/>
  <c r="H80" i="75"/>
  <c r="H81" i="75"/>
  <c r="H84" i="75"/>
  <c r="H106" i="75"/>
  <c r="H90" i="75"/>
  <c r="H91" i="75"/>
  <c r="H134" i="75"/>
  <c r="H141" i="75" s="1"/>
  <c r="H138" i="75"/>
  <c r="H140" i="75"/>
  <c r="D130" i="88" s="1"/>
  <c r="H146" i="75"/>
  <c r="H148" i="75"/>
  <c r="H150" i="75"/>
  <c r="H152" i="75"/>
  <c r="H116" i="75"/>
  <c r="P12" i="44"/>
  <c r="H197" i="75"/>
  <c r="H200" i="75"/>
  <c r="P48" i="44"/>
  <c r="H202" i="75"/>
  <c r="H205" i="75"/>
  <c r="P20" i="44"/>
  <c r="H198" i="75"/>
  <c r="H209" i="75" s="1"/>
  <c r="H199" i="75"/>
  <c r="H201" i="75"/>
  <c r="H210" i="75" s="1"/>
  <c r="H226" i="75"/>
  <c r="H227" i="75"/>
  <c r="G97" i="75"/>
  <c r="P11" i="58"/>
  <c r="G106" i="75"/>
  <c r="G116" i="75"/>
  <c r="Q46" i="44"/>
  <c r="H231" i="75"/>
  <c r="D32" i="49"/>
  <c r="G12" i="86"/>
  <c r="C58" i="55"/>
  <c r="D58" i="55"/>
  <c r="E58" i="55"/>
  <c r="F58" i="55"/>
  <c r="G58" i="55"/>
  <c r="H58" i="55"/>
  <c r="A146" i="77"/>
  <c r="D48" i="77"/>
  <c r="D79" i="77"/>
  <c r="E79" i="77"/>
  <c r="E83" i="77"/>
  <c r="D83" i="77"/>
  <c r="D69" i="77"/>
  <c r="E69" i="77"/>
  <c r="D70" i="77"/>
  <c r="E70" i="77"/>
  <c r="D71" i="77"/>
  <c r="E71" i="77"/>
  <c r="D72" i="77"/>
  <c r="E72" i="77"/>
  <c r="E76" i="77"/>
  <c r="D76" i="77"/>
  <c r="D63" i="77"/>
  <c r="E63" i="77"/>
  <c r="E67" i="77"/>
  <c r="D67" i="77"/>
  <c r="E60" i="77"/>
  <c r="D60" i="77"/>
  <c r="D44" i="77"/>
  <c r="E44" i="77"/>
  <c r="D45" i="77"/>
  <c r="E45" i="77"/>
  <c r="D46" i="77"/>
  <c r="E46" i="77"/>
  <c r="D47" i="77"/>
  <c r="E47" i="77"/>
  <c r="E48" i="77"/>
  <c r="E49" i="77"/>
  <c r="E53" i="77"/>
  <c r="D53" i="77"/>
  <c r="A121" i="77"/>
  <c r="A134" i="77"/>
  <c r="A117" i="77"/>
  <c r="A118" i="77"/>
  <c r="A119" i="77"/>
  <c r="A112" i="77"/>
  <c r="A105" i="77"/>
  <c r="A95" i="77"/>
  <c r="A82" i="77"/>
  <c r="A79" i="77"/>
  <c r="A80" i="77"/>
  <c r="A75" i="77"/>
  <c r="A69" i="77"/>
  <c r="A70" i="77"/>
  <c r="A71" i="77"/>
  <c r="A72" i="77"/>
  <c r="A73" i="77"/>
  <c r="A66" i="77"/>
  <c r="A62" i="77"/>
  <c r="A63" i="77"/>
  <c r="A64" i="77"/>
  <c r="A59" i="77"/>
  <c r="A55" i="77"/>
  <c r="A56" i="77"/>
  <c r="A57" i="77"/>
  <c r="A52" i="77"/>
  <c r="A47" i="77"/>
  <c r="A48" i="77"/>
  <c r="A49" i="77"/>
  <c r="A50" i="77"/>
  <c r="A28" i="77"/>
  <c r="A29" i="77"/>
  <c r="A30" i="77"/>
  <c r="A37" i="77"/>
  <c r="A27" i="77"/>
  <c r="A17" i="77"/>
  <c r="A31" i="77"/>
  <c r="A32" i="77"/>
  <c r="A33" i="77"/>
  <c r="A34" i="77"/>
  <c r="A35" i="77"/>
  <c r="A147" i="77"/>
  <c r="A148" i="77"/>
  <c r="A149" i="77"/>
  <c r="A150" i="77"/>
  <c r="A10" i="51"/>
  <c r="A11" i="51"/>
  <c r="A12" i="51"/>
  <c r="A13" i="51"/>
  <c r="A14" i="51"/>
  <c r="B57" i="51"/>
  <c r="J42" i="62"/>
  <c r="H42" i="62"/>
  <c r="F28" i="62"/>
  <c r="F29" i="62"/>
  <c r="F30" i="62"/>
  <c r="F31" i="62"/>
  <c r="F32" i="62"/>
  <c r="F33" i="62"/>
  <c r="F34" i="62"/>
  <c r="F35" i="62"/>
  <c r="F36" i="62"/>
  <c r="F37" i="62"/>
  <c r="F38" i="62"/>
  <c r="F39" i="62"/>
  <c r="F40" i="62"/>
  <c r="F42" i="62"/>
  <c r="E42" i="62"/>
  <c r="D42" i="62"/>
  <c r="D23" i="62"/>
  <c r="E23" i="62"/>
  <c r="F9" i="62"/>
  <c r="F10" i="62"/>
  <c r="F11" i="62"/>
  <c r="F12" i="62"/>
  <c r="F13" i="62"/>
  <c r="F14" i="62"/>
  <c r="F15" i="62"/>
  <c r="F16" i="62"/>
  <c r="F17" i="62"/>
  <c r="F18" i="62"/>
  <c r="F19" i="62"/>
  <c r="F20" i="62"/>
  <c r="F21" i="62"/>
  <c r="F23" i="62"/>
  <c r="J23" i="62"/>
  <c r="E37" i="49"/>
  <c r="E8" i="86"/>
  <c r="F8" i="86"/>
  <c r="G8" i="86"/>
  <c r="D154" i="77"/>
  <c r="P8" i="85"/>
  <c r="P9" i="85"/>
  <c r="P10" i="85"/>
  <c r="P11" i="85"/>
  <c r="C17" i="85"/>
  <c r="D17" i="85"/>
  <c r="E17" i="85"/>
  <c r="F17" i="85"/>
  <c r="G17" i="85"/>
  <c r="H17" i="85"/>
  <c r="I17" i="85"/>
  <c r="J17" i="85"/>
  <c r="K17" i="85"/>
  <c r="L17" i="85"/>
  <c r="M17" i="85"/>
  <c r="N17" i="85"/>
  <c r="O17" i="85"/>
  <c r="P17" i="85"/>
  <c r="P19" i="85"/>
  <c r="D155" i="77"/>
  <c r="H177" i="75"/>
  <c r="H176" i="75"/>
  <c r="H178" i="75"/>
  <c r="H182" i="75"/>
  <c r="H174" i="75"/>
  <c r="H165" i="75"/>
  <c r="H166" i="75"/>
  <c r="F152" i="77"/>
  <c r="F153" i="77"/>
  <c r="F154" i="77"/>
  <c r="O11" i="85"/>
  <c r="O19" i="85"/>
  <c r="F155" i="77"/>
  <c r="F156" i="77"/>
  <c r="H259" i="75"/>
  <c r="I190" i="88" s="1"/>
  <c r="H268" i="75"/>
  <c r="H267" i="75"/>
  <c r="H277" i="75"/>
  <c r="H274" i="75"/>
  <c r="H275" i="75"/>
  <c r="H281" i="75" s="1"/>
  <c r="I228" i="88" s="1"/>
  <c r="H276" i="75"/>
  <c r="H282" i="75"/>
  <c r="H283" i="75"/>
  <c r="H300" i="75"/>
  <c r="H301" i="75" s="1"/>
  <c r="D213" i="88"/>
  <c r="D214" i="88"/>
  <c r="A39" i="93"/>
  <c r="A40" i="93"/>
  <c r="A41" i="93"/>
  <c r="A42" i="93"/>
  <c r="A43" i="93"/>
  <c r="A44" i="93"/>
  <c r="A45" i="93"/>
  <c r="A46" i="93"/>
  <c r="A47" i="93"/>
  <c r="A48" i="93"/>
  <c r="A49" i="93"/>
  <c r="A50" i="93"/>
  <c r="A51" i="93"/>
  <c r="I140" i="77"/>
  <c r="I128" i="77"/>
  <c r="A52" i="93"/>
  <c r="A53" i="93"/>
  <c r="A54" i="93"/>
  <c r="A55" i="93"/>
  <c r="A56" i="93"/>
  <c r="A57" i="93"/>
  <c r="A58" i="93"/>
  <c r="I99" i="77"/>
  <c r="I89" i="77"/>
  <c r="I31" i="77"/>
  <c r="A59" i="93"/>
  <c r="I21" i="77"/>
  <c r="I11" i="77"/>
  <c r="A60" i="93"/>
  <c r="A61" i="93"/>
  <c r="A62" i="93"/>
  <c r="A63" i="93"/>
  <c r="A64" i="93"/>
  <c r="A65" i="93"/>
  <c r="F150" i="75"/>
  <c r="D67" i="88"/>
  <c r="M67" i="88"/>
  <c r="D76" i="88"/>
  <c r="M76" i="88"/>
  <c r="M85" i="88"/>
  <c r="D68" i="88"/>
  <c r="M68" i="88" s="1"/>
  <c r="D70" i="88"/>
  <c r="D198" i="88"/>
  <c r="D199" i="88"/>
  <c r="D79" i="88"/>
  <c r="D104" i="88"/>
  <c r="M104" i="88" s="1"/>
  <c r="M107" i="88"/>
  <c r="M64" i="78"/>
  <c r="M62" i="78"/>
  <c r="A10" i="61"/>
  <c r="A11" i="61"/>
  <c r="A12" i="61"/>
  <c r="A13" i="61"/>
  <c r="A14" i="61"/>
  <c r="A15" i="61"/>
  <c r="A16" i="61"/>
  <c r="A17" i="61"/>
  <c r="A18" i="61"/>
  <c r="A19" i="61"/>
  <c r="A20" i="61"/>
  <c r="A21" i="61"/>
  <c r="A22" i="61"/>
  <c r="A23" i="61"/>
  <c r="D32" i="61"/>
  <c r="C10" i="60"/>
  <c r="A7" i="60"/>
  <c r="A24" i="61"/>
  <c r="D85" i="88"/>
  <c r="N85" i="88"/>
  <c r="N76" i="88"/>
  <c r="N67" i="88"/>
  <c r="M21" i="88"/>
  <c r="D21" i="88"/>
  <c r="I21" i="88"/>
  <c r="N21" i="88"/>
  <c r="D128" i="88"/>
  <c r="D132" i="88"/>
  <c r="D125" i="88"/>
  <c r="D127" i="88"/>
  <c r="D131" i="88"/>
  <c r="D134" i="88"/>
  <c r="D140" i="88"/>
  <c r="D170" i="88"/>
  <c r="I170" i="88"/>
  <c r="D173" i="88"/>
  <c r="I173" i="88"/>
  <c r="I229" i="88"/>
  <c r="I230" i="88"/>
  <c r="I25" i="88"/>
  <c r="I26" i="88"/>
  <c r="M125" i="88"/>
  <c r="M126" i="88"/>
  <c r="M127" i="88"/>
  <c r="N127" i="88"/>
  <c r="M131" i="88"/>
  <c r="M133" i="88"/>
  <c r="M134" i="88"/>
  <c r="M136" i="88"/>
  <c r="M140"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A17" i="74"/>
  <c r="A18" i="74"/>
  <c r="A19" i="74"/>
  <c r="A20" i="74"/>
  <c r="A21" i="74"/>
  <c r="A22" i="74"/>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P14" i="85"/>
  <c r="P15" i="85"/>
  <c r="P16" i="85"/>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 i="95"/>
  <c r="A1" i="95"/>
  <c r="D58" i="95"/>
  <c r="A57" i="95"/>
  <c r="A58" i="95"/>
  <c r="C46" i="95"/>
  <c r="E46" i="95"/>
  <c r="C49" i="95"/>
  <c r="E49" i="95"/>
  <c r="C50" i="95"/>
  <c r="E50" i="95"/>
  <c r="E51" i="95"/>
  <c r="C52" i="95"/>
  <c r="E52" i="95"/>
  <c r="C53" i="95"/>
  <c r="E53" i="95"/>
  <c r="C54" i="95"/>
  <c r="E54" i="95"/>
  <c r="E56" i="95"/>
  <c r="C56" i="95"/>
  <c r="B56" i="95"/>
  <c r="C43" i="95"/>
  <c r="D43" i="95"/>
  <c r="E43" i="95"/>
  <c r="E41" i="95"/>
  <c r="E40" i="95"/>
  <c r="E39" i="95"/>
  <c r="E8" i="95"/>
  <c r="E9" i="95"/>
  <c r="E10" i="95"/>
  <c r="E11" i="95"/>
  <c r="E12" i="95"/>
  <c r="E13" i="95"/>
  <c r="E14" i="95"/>
  <c r="E15" i="95"/>
  <c r="E16" i="95"/>
  <c r="E17" i="95"/>
  <c r="E18" i="95"/>
  <c r="E19" i="95"/>
  <c r="E20" i="95"/>
  <c r="E21" i="95"/>
  <c r="E22" i="95"/>
  <c r="E23" i="95"/>
  <c r="E24" i="95"/>
  <c r="E25" i="95"/>
  <c r="E26" i="95"/>
  <c r="E27" i="95"/>
  <c r="E28" i="95"/>
  <c r="E29" i="95"/>
  <c r="E30" i="95"/>
  <c r="E31" i="95"/>
  <c r="E32" i="95"/>
  <c r="E33" i="95"/>
  <c r="E34" i="95"/>
  <c r="E35" i="95"/>
  <c r="E36" i="95"/>
  <c r="D36" i="95"/>
  <c r="C36" i="95"/>
  <c r="A8" i="95"/>
  <c r="A9" i="95"/>
  <c r="A10" i="95"/>
  <c r="A11" i="95"/>
  <c r="A12" i="95"/>
  <c r="A13" i="95"/>
  <c r="A14" i="95"/>
  <c r="A15" i="95"/>
  <c r="A16" i="95"/>
  <c r="A17" i="95"/>
  <c r="A18" i="95"/>
  <c r="A19" i="95"/>
  <c r="A20" i="95"/>
  <c r="A21" i="95"/>
  <c r="A22" i="95"/>
  <c r="A23" i="95"/>
  <c r="A24" i="95"/>
  <c r="A25" i="95"/>
  <c r="A26" i="95"/>
  <c r="A27" i="95"/>
  <c r="A28" i="95"/>
  <c r="A29" i="95"/>
  <c r="A30" i="95"/>
  <c r="A31" i="95"/>
  <c r="A32" i="95"/>
  <c r="A33" i="95"/>
  <c r="A34" i="95"/>
  <c r="A35" i="95"/>
  <c r="A57" i="51"/>
  <c r="B58" i="51"/>
  <c r="A58" i="51"/>
  <c r="K69" i="55"/>
  <c r="I61" i="55"/>
  <c r="I58" i="55"/>
  <c r="J141" i="2"/>
  <c r="F141" i="2"/>
  <c r="E141" i="2"/>
  <c r="D141" i="2"/>
  <c r="F98" i="2"/>
  <c r="E98" i="2"/>
  <c r="D98" i="2"/>
  <c r="D30" i="49"/>
  <c r="A37" i="49"/>
  <c r="A38" i="49"/>
  <c r="A39" i="49"/>
  <c r="B30" i="49"/>
  <c r="B29" i="49"/>
  <c r="B28" i="49"/>
  <c r="B27" i="49"/>
  <c r="B26" i="49"/>
  <c r="B25" i="49"/>
  <c r="D24" i="49"/>
  <c r="D23" i="49"/>
  <c r="D21" i="49"/>
  <c r="D19" i="49"/>
  <c r="D18" i="49"/>
  <c r="D17" i="49"/>
  <c r="D16" i="49"/>
  <c r="D15" i="49"/>
  <c r="D12" i="49"/>
  <c r="D8" i="49"/>
  <c r="G57" i="51"/>
  <c r="G8" i="51"/>
  <c r="G9" i="51"/>
  <c r="G10" i="51"/>
  <c r="G58" i="51"/>
  <c r="F58" i="51"/>
  <c r="D58" i="51"/>
  <c r="C8" i="51"/>
  <c r="C9" i="51"/>
  <c r="C10" i="51"/>
  <c r="C58" i="51"/>
  <c r="I10" i="51"/>
  <c r="H10" i="51"/>
  <c r="K58" i="55"/>
  <c r="K59" i="55"/>
  <c r="K60" i="55"/>
  <c r="K62" i="55"/>
  <c r="D65" i="55"/>
  <c r="E65" i="55"/>
  <c r="F65" i="55"/>
  <c r="G65" i="55"/>
  <c r="I65" i="55"/>
  <c r="J65" i="55"/>
  <c r="K11" i="55"/>
  <c r="K12" i="55"/>
  <c r="K13" i="55"/>
  <c r="K14" i="55"/>
  <c r="K65" i="55"/>
  <c r="D66" i="55"/>
  <c r="E66" i="55"/>
  <c r="F66" i="55"/>
  <c r="G66" i="55"/>
  <c r="I66" i="55"/>
  <c r="J66" i="55"/>
  <c r="D67" i="55"/>
  <c r="E67" i="55"/>
  <c r="F67" i="55"/>
  <c r="G67" i="55"/>
  <c r="I67" i="55"/>
  <c r="J67" i="55"/>
  <c r="D68" i="55"/>
  <c r="E68" i="55"/>
  <c r="F68" i="55"/>
  <c r="G68" i="55"/>
  <c r="I68" i="55"/>
  <c r="J68" i="55"/>
  <c r="K17" i="55"/>
  <c r="K18" i="55"/>
  <c r="K19" i="55"/>
  <c r="K20" i="55"/>
  <c r="K21" i="55"/>
  <c r="K22" i="55"/>
  <c r="K68" i="55"/>
  <c r="D69" i="55"/>
  <c r="E69" i="55"/>
  <c r="F69" i="55"/>
  <c r="G69" i="55"/>
  <c r="I69" i="55"/>
  <c r="J69" i="55"/>
  <c r="D70" i="55"/>
  <c r="E70" i="55"/>
  <c r="F70" i="55"/>
  <c r="G70" i="55"/>
  <c r="I70" i="55"/>
  <c r="J70" i="55"/>
  <c r="K36" i="55"/>
  <c r="K70" i="55"/>
  <c r="D72" i="55"/>
  <c r="E72" i="55"/>
  <c r="F72" i="55"/>
  <c r="G72" i="55"/>
  <c r="I72" i="55"/>
  <c r="J72" i="55"/>
  <c r="K37" i="55"/>
  <c r="K38" i="55"/>
  <c r="K72" i="55"/>
  <c r="D73" i="55"/>
  <c r="E73" i="55"/>
  <c r="F73" i="55"/>
  <c r="G73" i="55"/>
  <c r="I73" i="55"/>
  <c r="J73" i="55"/>
  <c r="K39" i="55"/>
  <c r="K40" i="55"/>
  <c r="K73" i="55"/>
  <c r="D74" i="55"/>
  <c r="E74" i="55"/>
  <c r="F74" i="55"/>
  <c r="G74" i="55"/>
  <c r="I74" i="55"/>
  <c r="J74" i="55"/>
  <c r="D75" i="55"/>
  <c r="E75" i="55"/>
  <c r="F75" i="55"/>
  <c r="G75" i="55"/>
  <c r="I75" i="55"/>
  <c r="J75" i="55"/>
  <c r="K75" i="55"/>
  <c r="C74" i="55"/>
  <c r="C73" i="55"/>
  <c r="C72" i="55"/>
  <c r="C70" i="55"/>
  <c r="C69" i="55"/>
  <c r="C68" i="55"/>
  <c r="D59" i="55"/>
  <c r="D60" i="55"/>
  <c r="D61" i="55"/>
  <c r="D62" i="55"/>
  <c r="C59" i="55"/>
  <c r="E59" i="55"/>
  <c r="E60" i="55"/>
  <c r="C61" i="55"/>
  <c r="E61" i="55"/>
  <c r="E62" i="55"/>
  <c r="F59" i="55"/>
  <c r="F60" i="55"/>
  <c r="F61" i="55"/>
  <c r="F62" i="55"/>
  <c r="G59" i="55"/>
  <c r="G60" i="55"/>
  <c r="G61" i="55"/>
  <c r="G62" i="55"/>
  <c r="H59" i="55"/>
  <c r="H60" i="55"/>
  <c r="H62" i="55"/>
  <c r="I59" i="55"/>
  <c r="I60" i="55"/>
  <c r="I62" i="55"/>
  <c r="J58" i="55"/>
  <c r="J59" i="55"/>
  <c r="J60" i="55"/>
  <c r="J61" i="55"/>
  <c r="J62" i="55"/>
  <c r="H55" i="55"/>
  <c r="I55" i="55"/>
  <c r="J55" i="55"/>
  <c r="K55" i="55"/>
  <c r="F27" i="56"/>
  <c r="F26" i="56"/>
  <c r="F19" i="56"/>
  <c r="F18" i="56"/>
  <c r="F17" i="56"/>
  <c r="F16" i="56"/>
  <c r="F15" i="56"/>
  <c r="F14" i="56"/>
  <c r="F13" i="56"/>
  <c r="F12" i="56"/>
  <c r="F9" i="56"/>
  <c r="F8" i="56"/>
  <c r="D61" i="93"/>
  <c r="B61" i="93"/>
  <c r="C45" i="93"/>
  <c r="D43" i="93"/>
  <c r="D44" i="93"/>
  <c r="D46" i="93"/>
  <c r="D39" i="93"/>
  <c r="C53" i="93"/>
  <c r="C58" i="93"/>
  <c r="C59" i="93"/>
  <c r="C43" i="93"/>
  <c r="C44" i="93"/>
  <c r="C46" i="93"/>
  <c r="C39" i="93"/>
  <c r="A127" i="88"/>
  <c r="A128" i="88"/>
  <c r="A129" i="88"/>
  <c r="A130" i="88"/>
  <c r="A133" i="88"/>
  <c r="A136" i="88"/>
  <c r="C137" i="88"/>
  <c r="B10" i="60"/>
  <c r="A10" i="60"/>
  <c r="I38" i="77"/>
  <c r="I28" i="77"/>
  <c r="I18" i="77"/>
  <c r="I84" i="77"/>
  <c r="A8" i="44"/>
  <c r="A9" i="44"/>
  <c r="A10" i="44"/>
  <c r="A11" i="44"/>
  <c r="A12" i="44"/>
  <c r="A13" i="44"/>
  <c r="A14" i="44"/>
  <c r="A15" i="44"/>
  <c r="A16" i="44"/>
  <c r="A17" i="44"/>
  <c r="A18" i="44"/>
  <c r="A19" i="44"/>
  <c r="A20" i="44"/>
  <c r="A21" i="44"/>
  <c r="A22" i="44"/>
  <c r="A23" i="44"/>
  <c r="A24" i="44"/>
  <c r="A25" i="44"/>
  <c r="A26" i="44"/>
  <c r="A27" i="44"/>
  <c r="A28" i="44"/>
  <c r="A29" i="44"/>
  <c r="C30" i="44"/>
  <c r="C20" i="44"/>
  <c r="E12" i="44"/>
  <c r="E20" i="44"/>
  <c r="F12" i="44"/>
  <c r="F20" i="44"/>
  <c r="G12" i="44"/>
  <c r="G20" i="44"/>
  <c r="H12" i="44"/>
  <c r="H20" i="44"/>
  <c r="I12" i="44"/>
  <c r="I20" i="44"/>
  <c r="J12" i="44"/>
  <c r="J20" i="44"/>
  <c r="K12" i="44"/>
  <c r="K20" i="44"/>
  <c r="L12" i="44"/>
  <c r="L20" i="44"/>
  <c r="M12" i="44"/>
  <c r="M20" i="44"/>
  <c r="N12" i="44"/>
  <c r="N20" i="44"/>
  <c r="O12" i="44"/>
  <c r="O20" i="44"/>
  <c r="D12" i="44"/>
  <c r="D20" i="44"/>
  <c r="A8" i="56"/>
  <c r="A9" i="56"/>
  <c r="A10" i="56"/>
  <c r="A11" i="56"/>
  <c r="A12" i="56"/>
  <c r="A13" i="56"/>
  <c r="A14" i="56"/>
  <c r="A15" i="56"/>
  <c r="A16" i="56"/>
  <c r="A17" i="56"/>
  <c r="A18" i="56"/>
  <c r="A19" i="56"/>
  <c r="A20" i="56"/>
  <c r="A21" i="56"/>
  <c r="A22" i="56"/>
  <c r="A23" i="56"/>
  <c r="A24" i="56"/>
  <c r="A25" i="56"/>
  <c r="A26" i="56"/>
  <c r="A27" i="56"/>
  <c r="A28" i="56"/>
  <c r="A29" i="56"/>
  <c r="A30" i="56"/>
  <c r="E151" i="75"/>
  <c r="E147" i="75"/>
  <c r="E146" i="75"/>
  <c r="E138" i="75"/>
  <c r="A10" i="57"/>
  <c r="A11" i="57"/>
  <c r="B16" i="57"/>
  <c r="A30" i="44"/>
  <c r="A31" i="44"/>
  <c r="A32" i="44"/>
  <c r="A33" i="44"/>
  <c r="A34" i="44"/>
  <c r="A35" i="44"/>
  <c r="A36" i="44"/>
  <c r="A37" i="44"/>
  <c r="A38" i="44"/>
  <c r="A39" i="44"/>
  <c r="A40" i="44"/>
  <c r="A41" i="44"/>
  <c r="A42" i="44"/>
  <c r="A43" i="44"/>
  <c r="A44" i="44"/>
  <c r="A45" i="44"/>
  <c r="A46" i="44"/>
  <c r="A47" i="44"/>
  <c r="A48" i="44"/>
  <c r="F202" i="75"/>
  <c r="F200" i="75"/>
  <c r="F198" i="75"/>
  <c r="F197" i="75"/>
  <c r="A7" i="62"/>
  <c r="A8" i="62"/>
  <c r="A9" i="62"/>
  <c r="A10" i="62"/>
  <c r="A11" i="62"/>
  <c r="A12" i="62"/>
  <c r="A13" i="62"/>
  <c r="A14" i="62"/>
  <c r="A15" i="62"/>
  <c r="A16" i="62"/>
  <c r="A17" i="62"/>
  <c r="A18" i="62"/>
  <c r="A19" i="62"/>
  <c r="A20" i="62"/>
  <c r="A21" i="62"/>
  <c r="A22" i="62"/>
  <c r="A23" i="62"/>
  <c r="F27" i="75"/>
  <c r="E28" i="75"/>
  <c r="E27" i="75"/>
  <c r="A24" i="62"/>
  <c r="A25" i="62"/>
  <c r="A26" i="62"/>
  <c r="A27" i="62"/>
  <c r="A28" i="62"/>
  <c r="A29" i="62"/>
  <c r="A30" i="62"/>
  <c r="A31" i="62"/>
  <c r="A32" i="62"/>
  <c r="A33" i="62"/>
  <c r="A34" i="62"/>
  <c r="A35" i="62"/>
  <c r="A36" i="62"/>
  <c r="A37" i="62"/>
  <c r="A38" i="62"/>
  <c r="A39" i="62"/>
  <c r="A40" i="62"/>
  <c r="A41" i="62"/>
  <c r="A42" i="62"/>
  <c r="F28" i="75"/>
  <c r="A213" i="88"/>
  <c r="A214" i="88"/>
  <c r="A215" i="88"/>
  <c r="A220" i="88"/>
  <c r="A221" i="88"/>
  <c r="A222" i="88"/>
  <c r="A224" i="88"/>
  <c r="A227" i="88"/>
  <c r="A228" i="88"/>
  <c r="A231" i="88"/>
  <c r="C16" i="88"/>
  <c r="B59" i="93"/>
  <c r="C215" i="88"/>
  <c r="A199" i="88"/>
  <c r="A200" i="88"/>
  <c r="A201" i="88"/>
  <c r="A202" i="88"/>
  <c r="A205" i="88"/>
  <c r="A206" i="88"/>
  <c r="A207" i="88"/>
  <c r="C208" i="88"/>
  <c r="A137" i="88"/>
  <c r="A140" i="88"/>
  <c r="A141" i="88"/>
  <c r="A142" i="88"/>
  <c r="A143" i="88"/>
  <c r="A146" i="88"/>
  <c r="A147" i="88"/>
  <c r="A148" i="88"/>
  <c r="A149" i="88"/>
  <c r="A150" i="88"/>
  <c r="A151" i="88"/>
  <c r="A152" i="88"/>
  <c r="A153" i="88"/>
  <c r="A156" i="88"/>
  <c r="A157" i="88"/>
  <c r="A158" i="88"/>
  <c r="A159" i="88"/>
  <c r="A160" i="88"/>
  <c r="A161" i="88"/>
  <c r="C162" i="88"/>
  <c r="C153" i="88"/>
  <c r="C143" i="88"/>
  <c r="A67" i="88"/>
  <c r="A69" i="88"/>
  <c r="A70" i="88"/>
  <c r="A71" i="88"/>
  <c r="A72" i="88"/>
  <c r="A75" i="88"/>
  <c r="A76" i="88"/>
  <c r="A78" i="88"/>
  <c r="A79" i="88"/>
  <c r="A80" i="88"/>
  <c r="A81" i="88"/>
  <c r="A84" i="88"/>
  <c r="A85" i="88"/>
  <c r="A87" i="88"/>
  <c r="A88" i="88"/>
  <c r="A89" i="88"/>
  <c r="A90" i="88"/>
  <c r="A95" i="88"/>
  <c r="A97" i="88"/>
  <c r="A98" i="88"/>
  <c r="A99" i="88"/>
  <c r="A100" i="88"/>
  <c r="A102" i="88"/>
  <c r="A104" i="88"/>
  <c r="A107" i="88"/>
  <c r="A108" i="88"/>
  <c r="A109" i="88"/>
  <c r="C110" i="88"/>
  <c r="A101" i="88"/>
  <c r="C102" i="88"/>
  <c r="C90" i="88"/>
  <c r="C81" i="88"/>
  <c r="C72" i="88"/>
  <c r="A32" i="88"/>
  <c r="A33" i="88"/>
  <c r="A34" i="88"/>
  <c r="A35" i="88"/>
  <c r="A36" i="88"/>
  <c r="A37" i="88"/>
  <c r="A38" i="88"/>
  <c r="C39" i="88"/>
  <c r="C28" i="88"/>
  <c r="A15" i="88"/>
  <c r="A16" i="88"/>
  <c r="A17" i="88"/>
  <c r="A18" i="88"/>
  <c r="C19" i="88"/>
  <c r="A55" i="55"/>
  <c r="A56" i="55"/>
  <c r="A57" i="55"/>
  <c r="A58" i="55"/>
  <c r="A59" i="55"/>
  <c r="A60" i="55"/>
  <c r="A61" i="55"/>
  <c r="A62" i="55"/>
  <c r="A63" i="55"/>
  <c r="A64" i="55"/>
  <c r="A65" i="55"/>
  <c r="A66" i="55"/>
  <c r="A67" i="55"/>
  <c r="A68" i="55"/>
  <c r="A69" i="55"/>
  <c r="A70" i="55"/>
  <c r="A71" i="55"/>
  <c r="A72" i="55"/>
  <c r="A73" i="55"/>
  <c r="A74" i="55"/>
  <c r="B75" i="55"/>
  <c r="B77" i="55"/>
  <c r="A8" i="58"/>
  <c r="A9" i="58"/>
  <c r="A10" i="58"/>
  <c r="A11" i="58"/>
  <c r="F106" i="75"/>
  <c r="F72" i="75"/>
  <c r="F69" i="75"/>
  <c r="F68" i="75"/>
  <c r="F56" i="75"/>
  <c r="F55" i="75"/>
  <c r="F53" i="75"/>
  <c r="F45" i="75"/>
  <c r="F44" i="75"/>
  <c r="F40" i="75"/>
  <c r="C79" i="88"/>
  <c r="C78" i="88"/>
  <c r="C76" i="88"/>
  <c r="C75" i="88"/>
  <c r="C70" i="88"/>
  <c r="C69" i="88"/>
  <c r="C66" i="88"/>
  <c r="C67" i="88"/>
  <c r="I32" i="88"/>
  <c r="E259" i="75"/>
  <c r="A68" i="88"/>
  <c r="A77" i="88"/>
  <c r="C86" i="88"/>
  <c r="I141" i="77"/>
  <c r="I129" i="77"/>
  <c r="I100" i="77"/>
  <c r="I90" i="77"/>
  <c r="K7" i="55"/>
  <c r="H7" i="55"/>
  <c r="E7" i="55"/>
  <c r="G7" i="55"/>
  <c r="D47" i="56"/>
  <c r="C21" i="84"/>
  <c r="F283" i="75"/>
  <c r="A151" i="77"/>
  <c r="A156" i="77"/>
  <c r="F259" i="75"/>
  <c r="F274" i="75"/>
  <c r="F129" i="75"/>
  <c r="A39" i="88"/>
  <c r="A41" i="88"/>
  <c r="C48" i="88"/>
  <c r="F277" i="75"/>
  <c r="F275" i="75"/>
  <c r="A11" i="74"/>
  <c r="A12" i="74"/>
  <c r="A13" i="74"/>
  <c r="I49" i="77"/>
  <c r="I47" i="77"/>
  <c r="A14" i="74"/>
  <c r="A15" i="74"/>
  <c r="D11" i="85"/>
  <c r="D19" i="85"/>
  <c r="E11" i="85"/>
  <c r="E19" i="85"/>
  <c r="F11" i="85"/>
  <c r="F19" i="85"/>
  <c r="G11" i="85"/>
  <c r="G19" i="85"/>
  <c r="H11" i="85"/>
  <c r="H19" i="85"/>
  <c r="I11" i="85"/>
  <c r="I19" i="85"/>
  <c r="J11" i="85"/>
  <c r="J19" i="85"/>
  <c r="K11" i="85"/>
  <c r="K19" i="85"/>
  <c r="L11" i="85"/>
  <c r="L19" i="85"/>
  <c r="M11" i="85"/>
  <c r="M19" i="85"/>
  <c r="N11" i="85"/>
  <c r="N19" i="85"/>
  <c r="C11" i="85"/>
  <c r="C19" i="85"/>
  <c r="H23" i="78"/>
  <c r="E295" i="75"/>
  <c r="E294" i="75"/>
  <c r="C284" i="75"/>
  <c r="C222" i="88"/>
  <c r="I222" i="88"/>
  <c r="B46" i="93"/>
  <c r="A190" i="88"/>
  <c r="A191" i="88"/>
  <c r="A192" i="88"/>
  <c r="C194" i="88"/>
  <c r="C192" i="88"/>
  <c r="C47" i="88"/>
  <c r="C46" i="88"/>
  <c r="C231" i="88"/>
  <c r="B39" i="88"/>
  <c r="E198" i="75"/>
  <c r="E40" i="75"/>
  <c r="C281" i="75"/>
  <c r="F17" i="75"/>
  <c r="F13" i="75"/>
  <c r="E115" i="75"/>
  <c r="E114" i="75"/>
  <c r="E106" i="75"/>
  <c r="F282" i="75"/>
  <c r="F268" i="75"/>
  <c r="F267" i="75"/>
  <c r="C270" i="75"/>
  <c r="C269" i="75"/>
  <c r="A162" i="88"/>
  <c r="C167" i="88"/>
  <c r="A167" i="88"/>
  <c r="A169" i="88"/>
  <c r="C174" i="88"/>
  <c r="C88" i="88"/>
  <c r="C87" i="88"/>
  <c r="C85" i="88"/>
  <c r="C84" i="88"/>
  <c r="A19" i="88"/>
  <c r="A21" i="88"/>
  <c r="C23" i="88"/>
  <c r="C7" i="88"/>
  <c r="C60" i="88"/>
  <c r="C120" i="88"/>
  <c r="C183" i="88"/>
  <c r="F201" i="75"/>
  <c r="F199" i="75"/>
  <c r="E101" i="75"/>
  <c r="E98" i="75"/>
  <c r="E97" i="75"/>
  <c r="E77" i="75"/>
  <c r="A110" i="88"/>
  <c r="C112" i="88"/>
  <c r="C76" i="77"/>
  <c r="C67" i="77"/>
  <c r="C60" i="77"/>
  <c r="E8" i="75"/>
  <c r="B65" i="93"/>
  <c r="E43" i="93"/>
  <c r="E44" i="93"/>
  <c r="E46" i="93"/>
  <c r="B44" i="93"/>
  <c r="E39" i="93"/>
  <c r="C15" i="88"/>
  <c r="B16" i="88"/>
  <c r="B15" i="88"/>
  <c r="D208" i="88"/>
  <c r="A86" i="88"/>
  <c r="B23" i="85"/>
  <c r="B19" i="86"/>
  <c r="E299" i="75"/>
  <c r="E253" i="75"/>
  <c r="E252" i="75"/>
  <c r="E223" i="75"/>
  <c r="E134" i="75"/>
  <c r="E110" i="75"/>
  <c r="E104" i="75"/>
  <c r="E67" i="75"/>
  <c r="B161" i="77"/>
  <c r="A41" i="73"/>
  <c r="F101" i="75"/>
  <c r="F98" i="75"/>
  <c r="F97" i="75"/>
  <c r="E41" i="75"/>
  <c r="E197" i="75"/>
  <c r="E199" i="75"/>
  <c r="E133" i="75"/>
  <c r="E125" i="75"/>
  <c r="A1" i="87"/>
  <c r="E63" i="56"/>
  <c r="A61" i="56"/>
  <c r="A62" i="56"/>
  <c r="A63" i="56"/>
  <c r="F51" i="56"/>
  <c r="F54" i="56"/>
  <c r="F55" i="56"/>
  <c r="F56" i="56"/>
  <c r="F57" i="56"/>
  <c r="F61" i="56"/>
  <c r="D51" i="56"/>
  <c r="D52" i="56"/>
  <c r="D53" i="56"/>
  <c r="D54" i="56"/>
  <c r="D55" i="56"/>
  <c r="D56" i="56"/>
  <c r="D57" i="56"/>
  <c r="D60" i="56"/>
  <c r="D61" i="56"/>
  <c r="B61" i="56"/>
  <c r="F45" i="56"/>
  <c r="F46" i="56"/>
  <c r="F48" i="56"/>
  <c r="E45" i="56"/>
  <c r="E46" i="56"/>
  <c r="E48" i="56"/>
  <c r="D45" i="56"/>
  <c r="D46" i="56"/>
  <c r="D48" i="56"/>
  <c r="F41" i="56"/>
  <c r="E41" i="56"/>
  <c r="D41" i="56"/>
  <c r="A31" i="56"/>
  <c r="A32" i="56"/>
  <c r="A33" i="56"/>
  <c r="A34" i="56"/>
  <c r="A35" i="56"/>
  <c r="A36" i="56"/>
  <c r="A37" i="56"/>
  <c r="A38" i="56"/>
  <c r="A39" i="56"/>
  <c r="A40" i="56"/>
  <c r="A3" i="56"/>
  <c r="A1" i="56"/>
  <c r="H77" i="55"/>
  <c r="A75" i="55"/>
  <c r="A76" i="55"/>
  <c r="A77" i="55"/>
  <c r="C65" i="55"/>
  <c r="C66" i="55"/>
  <c r="C67" i="55"/>
  <c r="C75" i="55"/>
  <c r="C60" i="55"/>
  <c r="C62" i="55"/>
  <c r="B60" i="55"/>
  <c r="G55" i="55"/>
  <c r="F55" i="55"/>
  <c r="E55" i="55"/>
  <c r="D55" i="55"/>
  <c r="C55" i="55"/>
  <c r="B55" i="55"/>
  <c r="A3" i="55"/>
  <c r="A1" i="55"/>
  <c r="E53" i="93"/>
  <c r="E59" i="93"/>
  <c r="B39" i="93"/>
  <c r="A3" i="93"/>
  <c r="A1" i="93"/>
  <c r="C25" i="74"/>
  <c r="A25" i="74"/>
  <c r="A3" i="74"/>
  <c r="A1" i="74"/>
  <c r="A1" i="67"/>
  <c r="A23" i="66"/>
  <c r="A24" i="66"/>
  <c r="A33" i="66"/>
  <c r="A34" i="66"/>
  <c r="A35" i="66"/>
  <c r="A36" i="66"/>
  <c r="A37" i="66"/>
  <c r="A38" i="66"/>
  <c r="A39" i="66"/>
  <c r="A40" i="66"/>
  <c r="A41" i="66"/>
  <c r="A42" i="66"/>
  <c r="A43" i="66"/>
  <c r="A44" i="66"/>
  <c r="A45" i="66"/>
  <c r="A46" i="66"/>
  <c r="A47" i="66"/>
  <c r="A25" i="66"/>
  <c r="A26" i="66"/>
  <c r="A27" i="66"/>
  <c r="A28" i="66"/>
  <c r="A29" i="66"/>
  <c r="A30" i="66"/>
  <c r="A31" i="66"/>
  <c r="A32" i="66"/>
  <c r="A19" i="66"/>
  <c r="A20" i="66"/>
  <c r="A21" i="66"/>
  <c r="A22" i="66"/>
  <c r="A8" i="51"/>
  <c r="A9" i="51"/>
  <c r="A3" i="51"/>
  <c r="A1" i="51"/>
  <c r="A17" i="85"/>
  <c r="B20" i="85"/>
  <c r="A18" i="85"/>
  <c r="A19" i="85"/>
  <c r="B17" i="85"/>
  <c r="B11" i="85"/>
  <c r="A3" i="85"/>
  <c r="A1" i="85"/>
  <c r="G16" i="86"/>
  <c r="F16" i="86"/>
  <c r="E16" i="86"/>
  <c r="A16" i="86"/>
  <c r="G11" i="86"/>
  <c r="F11" i="86"/>
  <c r="E11" i="86"/>
  <c r="E9" i="86"/>
  <c r="F9" i="86"/>
  <c r="G9" i="86"/>
  <c r="C8" i="86"/>
  <c r="G7" i="86"/>
  <c r="C7" i="86"/>
  <c r="A3" i="86"/>
  <c r="A1" i="86"/>
  <c r="O48" i="44"/>
  <c r="N48" i="44"/>
  <c r="M48" i="44"/>
  <c r="L48" i="44"/>
  <c r="K48" i="44"/>
  <c r="J48" i="44"/>
  <c r="I48" i="44"/>
  <c r="H48" i="44"/>
  <c r="G48" i="44"/>
  <c r="F48" i="44"/>
  <c r="E48" i="44"/>
  <c r="D48" i="44"/>
  <c r="C48" i="44"/>
  <c r="C45" i="44"/>
  <c r="C39" i="44"/>
  <c r="C12" i="44"/>
  <c r="A3" i="44"/>
  <c r="A1" i="44"/>
  <c r="D37" i="49"/>
  <c r="C37" i="49"/>
  <c r="B37" i="49"/>
  <c r="A3" i="49"/>
  <c r="A1" i="49"/>
  <c r="A3" i="57"/>
  <c r="A1" i="57"/>
  <c r="A3" i="60"/>
  <c r="A1" i="60"/>
  <c r="P8" i="58"/>
  <c r="P9" i="58"/>
  <c r="P10" i="58"/>
  <c r="P12" i="58"/>
  <c r="P13" i="58"/>
  <c r="P14" i="58"/>
  <c r="P15" i="58"/>
  <c r="O15" i="58"/>
  <c r="N15" i="58"/>
  <c r="M15" i="58"/>
  <c r="L15" i="58"/>
  <c r="K15" i="58"/>
  <c r="J15" i="58"/>
  <c r="I15" i="58"/>
  <c r="H15" i="58"/>
  <c r="G15" i="58"/>
  <c r="F15" i="58"/>
  <c r="E15" i="58"/>
  <c r="D15" i="58"/>
  <c r="C15" i="58"/>
  <c r="A12" i="58"/>
  <c r="A13" i="58"/>
  <c r="A14" i="58"/>
  <c r="A15" i="58"/>
  <c r="A3" i="58"/>
  <c r="A1" i="58"/>
  <c r="E41" i="73"/>
  <c r="D41" i="73"/>
  <c r="C41" i="73"/>
  <c r="B41" i="73"/>
  <c r="C26" i="73"/>
  <c r="B26" i="73"/>
  <c r="P22" i="73"/>
  <c r="O22" i="73"/>
  <c r="N22" i="73"/>
  <c r="M22" i="73"/>
  <c r="L22" i="73"/>
  <c r="K22" i="73"/>
  <c r="J22" i="73"/>
  <c r="I22" i="73"/>
  <c r="H22" i="73"/>
  <c r="G22" i="73"/>
  <c r="F22" i="73"/>
  <c r="E22" i="73"/>
  <c r="D22" i="73"/>
  <c r="C22" i="73"/>
  <c r="A3" i="73"/>
  <c r="A1" i="73"/>
  <c r="A9" i="91"/>
  <c r="A10" i="91"/>
  <c r="A3" i="91"/>
  <c r="A1" i="91"/>
  <c r="A184" i="2"/>
  <c r="A185" i="2"/>
  <c r="A186" i="2"/>
  <c r="A187" i="2"/>
  <c r="A188" i="2"/>
  <c r="A189" i="2"/>
  <c r="A190" i="2"/>
  <c r="A191" i="2"/>
  <c r="A192" i="2"/>
  <c r="A193" i="2"/>
  <c r="A194" i="2"/>
  <c r="B192" i="2"/>
  <c r="B191" i="2"/>
  <c r="B190" i="2"/>
  <c r="B189" i="2"/>
  <c r="N186" i="2"/>
  <c r="J184" i="2"/>
  <c r="J186" i="2" s="1"/>
  <c r="J12" i="2" s="1"/>
  <c r="J13" i="2" s="1"/>
  <c r="F184" i="2"/>
  <c r="F186" i="2"/>
  <c r="E184" i="2"/>
  <c r="E186" i="2"/>
  <c r="D184" i="2"/>
  <c r="D186" i="2"/>
  <c r="N184" i="2"/>
  <c r="N143" i="2"/>
  <c r="J143" i="2"/>
  <c r="F143" i="2"/>
  <c r="E143" i="2"/>
  <c r="D143" i="2"/>
  <c r="N141" i="2"/>
  <c r="N100" i="2"/>
  <c r="J98" i="2"/>
  <c r="J100" i="2"/>
  <c r="F100" i="2"/>
  <c r="E100" i="2"/>
  <c r="D100" i="2"/>
  <c r="N98" i="2"/>
  <c r="N13" i="2"/>
  <c r="J9" i="2"/>
  <c r="J11" i="2"/>
  <c r="F12" i="2"/>
  <c r="F13" i="2" s="1"/>
  <c r="F9" i="2"/>
  <c r="F11" i="2"/>
  <c r="N12" i="2"/>
  <c r="N11" i="2"/>
  <c r="N9" i="2"/>
  <c r="A3" i="2"/>
  <c r="A1" i="2"/>
  <c r="A8" i="84"/>
  <c r="A9" i="84"/>
  <c r="A10" i="84"/>
  <c r="A11" i="84"/>
  <c r="A12" i="84"/>
  <c r="A13" i="84"/>
  <c r="A14" i="84"/>
  <c r="A15" i="84"/>
  <c r="A16" i="84"/>
  <c r="A17" i="84"/>
  <c r="A18" i="84"/>
  <c r="A19" i="84"/>
  <c r="A20" i="84"/>
  <c r="A21" i="84"/>
  <c r="A22" i="84"/>
  <c r="A3" i="84"/>
  <c r="A1" i="84"/>
  <c r="B40" i="62"/>
  <c r="B39" i="62"/>
  <c r="B38" i="62"/>
  <c r="B37" i="62"/>
  <c r="B36" i="62"/>
  <c r="B35" i="62"/>
  <c r="B34" i="62"/>
  <c r="B33" i="62"/>
  <c r="B32" i="62"/>
  <c r="B31" i="62"/>
  <c r="B30" i="62"/>
  <c r="B29" i="62"/>
  <c r="B28" i="62"/>
  <c r="A3" i="62"/>
  <c r="A1" i="62"/>
  <c r="A27" i="61"/>
  <c r="A28" i="61"/>
  <c r="A29" i="61"/>
  <c r="D33" i="61"/>
  <c r="B33" i="61"/>
  <c r="A33" i="61"/>
  <c r="A30" i="61"/>
  <c r="A31" i="61"/>
  <c r="A32" i="61"/>
  <c r="D31" i="61"/>
  <c r="D27" i="61"/>
  <c r="A8" i="61"/>
  <c r="A9" i="61"/>
  <c r="D15" i="61"/>
  <c r="D10" i="61"/>
  <c r="A3" i="61"/>
  <c r="A1" i="61"/>
  <c r="I156" i="77"/>
  <c r="C156" i="77"/>
  <c r="I155" i="77"/>
  <c r="A152" i="77"/>
  <c r="A153" i="77"/>
  <c r="A154" i="77"/>
  <c r="A155" i="77"/>
  <c r="I154" i="77"/>
  <c r="I153" i="77"/>
  <c r="I152" i="77"/>
  <c r="I147" i="77"/>
  <c r="I142" i="77"/>
  <c r="I130" i="77"/>
  <c r="I122" i="77"/>
  <c r="C122" i="77"/>
  <c r="I113" i="77"/>
  <c r="C113" i="77"/>
  <c r="I96" i="77"/>
  <c r="I91" i="77"/>
  <c r="E84" i="77"/>
  <c r="D84" i="77"/>
  <c r="I83" i="77"/>
  <c r="C83" i="77"/>
  <c r="I79" i="77"/>
  <c r="I76" i="77"/>
  <c r="I72" i="77"/>
  <c r="I71" i="77"/>
  <c r="I70" i="77"/>
  <c r="I69" i="77"/>
  <c r="I67" i="77"/>
  <c r="I60" i="77"/>
  <c r="I56" i="77"/>
  <c r="I55" i="77"/>
  <c r="I53" i="77"/>
  <c r="C53" i="77"/>
  <c r="I48" i="77"/>
  <c r="I46" i="77"/>
  <c r="I45" i="77"/>
  <c r="I44" i="77"/>
  <c r="A38" i="77"/>
  <c r="A39" i="77"/>
  <c r="A40" i="77"/>
  <c r="A41" i="77"/>
  <c r="A42" i="77"/>
  <c r="C38" i="77"/>
  <c r="I33" i="77"/>
  <c r="I32" i="77"/>
  <c r="C28" i="77"/>
  <c r="I23" i="77"/>
  <c r="I22" i="77"/>
  <c r="C18" i="77"/>
  <c r="I12" i="77"/>
  <c r="A3" i="77"/>
  <c r="A1" i="77"/>
  <c r="H22" i="78"/>
  <c r="A3" i="78"/>
  <c r="A1" i="78"/>
  <c r="E285" i="75"/>
  <c r="E283" i="75"/>
  <c r="E282" i="75"/>
  <c r="C279" i="75"/>
  <c r="C278" i="75"/>
  <c r="C258" i="75"/>
  <c r="C242" i="75"/>
  <c r="E230" i="75"/>
  <c r="E229" i="75"/>
  <c r="E225" i="75"/>
  <c r="E224" i="75"/>
  <c r="E211" i="75"/>
  <c r="E202" i="75"/>
  <c r="E200" i="75"/>
  <c r="E193" i="75"/>
  <c r="C192" i="75"/>
  <c r="C184" i="75"/>
  <c r="F182" i="75"/>
  <c r="C180" i="75"/>
  <c r="C179" i="75"/>
  <c r="F177" i="75"/>
  <c r="E177" i="75"/>
  <c r="F176" i="75"/>
  <c r="F174" i="75"/>
  <c r="F165" i="75"/>
  <c r="E165" i="75"/>
  <c r="E164" i="75"/>
  <c r="E163" i="75"/>
  <c r="E161" i="75"/>
  <c r="E150" i="75"/>
  <c r="F146" i="75"/>
  <c r="C143" i="75"/>
  <c r="F140" i="75"/>
  <c r="E140" i="75"/>
  <c r="F138" i="75"/>
  <c r="E136" i="75"/>
  <c r="F134" i="75"/>
  <c r="E129" i="75"/>
  <c r="E126" i="75"/>
  <c r="C103" i="75"/>
  <c r="C100" i="75"/>
  <c r="F91" i="75"/>
  <c r="E91" i="75"/>
  <c r="F90" i="75"/>
  <c r="E90" i="75"/>
  <c r="E87" i="75"/>
  <c r="C86" i="75"/>
  <c r="F84" i="75"/>
  <c r="E84" i="75"/>
  <c r="C83" i="75"/>
  <c r="F81" i="75"/>
  <c r="E81" i="75"/>
  <c r="F80" i="75"/>
  <c r="E80" i="75"/>
  <c r="C74" i="75"/>
  <c r="E72" i="75"/>
  <c r="C71" i="75"/>
  <c r="C70" i="75"/>
  <c r="E69" i="75"/>
  <c r="E68" i="75"/>
  <c r="C58" i="75"/>
  <c r="E56" i="75"/>
  <c r="E55" i="75"/>
  <c r="E53" i="75"/>
  <c r="E45" i="75"/>
  <c r="E44" i="75"/>
  <c r="F41" i="75"/>
  <c r="B39" i="75"/>
  <c r="E34" i="75"/>
  <c r="C34" i="75"/>
  <c r="C31" i="75"/>
  <c r="F20" i="75"/>
  <c r="E20" i="75"/>
  <c r="F19" i="75"/>
  <c r="F16" i="75"/>
  <c r="E16" i="75"/>
  <c r="F15" i="75"/>
  <c r="F12" i="75"/>
  <c r="E12" i="75"/>
  <c r="F11" i="75"/>
  <c r="A3" i="75"/>
  <c r="A1" i="75"/>
  <c r="D236" i="88"/>
  <c r="A234" i="88"/>
  <c r="A235" i="88"/>
  <c r="A236" i="88"/>
  <c r="D235" i="88"/>
  <c r="D234" i="88"/>
  <c r="G212" i="88"/>
  <c r="G213" i="88"/>
  <c r="G214" i="88"/>
  <c r="A208" i="88"/>
  <c r="C199" i="88"/>
  <c r="C198" i="88"/>
  <c r="A194" i="88"/>
  <c r="C59" i="88"/>
  <c r="C119" i="88"/>
  <c r="C182" i="88"/>
  <c r="K180" i="88"/>
  <c r="K177" i="88"/>
  <c r="A174" i="88"/>
  <c r="C155" i="88"/>
  <c r="F141" i="88"/>
  <c r="F126" i="88"/>
  <c r="F127" i="88"/>
  <c r="F131" i="88"/>
  <c r="F132" i="88"/>
  <c r="F129" i="88"/>
  <c r="K117" i="88"/>
  <c r="K114" i="88"/>
  <c r="D66" i="88"/>
  <c r="D75" i="88"/>
  <c r="D84" i="88"/>
  <c r="D69" i="88"/>
  <c r="D78" i="88"/>
  <c r="D87" i="88"/>
  <c r="D88" i="88"/>
  <c r="A112" i="88"/>
  <c r="D81" i="88"/>
  <c r="G78" i="88"/>
  <c r="K57" i="88"/>
  <c r="K54" i="88"/>
  <c r="I52" i="88"/>
  <c r="A42" i="88"/>
  <c r="A46" i="88"/>
  <c r="A47" i="88"/>
  <c r="A48" i="88"/>
  <c r="A51" i="88"/>
  <c r="A52" i="88"/>
  <c r="I51" i="88"/>
  <c r="I39" i="88"/>
  <c r="D41" i="88" s="1"/>
  <c r="C42" i="88"/>
  <c r="C41" i="88"/>
  <c r="C12" i="88"/>
  <c r="I47" i="88" l="1"/>
  <c r="I48" i="88"/>
  <c r="I46" i="88"/>
  <c r="M86" i="88"/>
  <c r="I189" i="88"/>
  <c r="H260" i="75"/>
  <c r="H261" i="75"/>
  <c r="A19" i="75"/>
  <c r="G29" i="75"/>
  <c r="D72" i="88"/>
  <c r="D86" i="88"/>
  <c r="D90" i="88" s="1"/>
  <c r="O127" i="88"/>
  <c r="H214" i="75"/>
  <c r="H206" i="75"/>
  <c r="H215" i="75" s="1"/>
  <c r="D212" i="88"/>
  <c r="D215" i="88" s="1"/>
  <c r="G261" i="75"/>
  <c r="G24" i="75"/>
  <c r="H17" i="75"/>
  <c r="H23" i="75" s="1"/>
  <c r="H29" i="75"/>
  <c r="G205" i="75"/>
  <c r="D42" i="88"/>
  <c r="D46" i="88"/>
  <c r="D48" i="88"/>
  <c r="D47" i="88"/>
  <c r="G39" i="78"/>
  <c r="G42" i="78"/>
  <c r="G45" i="78"/>
  <c r="G48" i="78"/>
  <c r="G38" i="78"/>
  <c r="G41" i="78"/>
  <c r="G44" i="78"/>
  <c r="G47" i="78"/>
  <c r="F67" i="78"/>
  <c r="G37" i="78"/>
  <c r="H37" i="78" s="1"/>
  <c r="G40" i="78"/>
  <c r="G43" i="78"/>
  <c r="G46" i="78"/>
  <c r="H24" i="75" l="1"/>
  <c r="D202" i="88"/>
  <c r="F213" i="88"/>
  <c r="I213" i="88" s="1"/>
  <c r="F214" i="88"/>
  <c r="I214" i="88" s="1"/>
  <c r="F212" i="88"/>
  <c r="I212" i="88" s="1"/>
  <c r="I215" i="88" s="1"/>
  <c r="A20" i="75"/>
  <c r="A21" i="75" s="1"/>
  <c r="G204" i="75"/>
  <c r="G213" i="75" s="1"/>
  <c r="G214" i="75"/>
  <c r="G73" i="75"/>
  <c r="G74" i="75" s="1"/>
  <c r="G85" i="75"/>
  <c r="G86" i="75" s="1"/>
  <c r="G102" i="75"/>
  <c r="G103" i="75" s="1"/>
  <c r="G92" i="75"/>
  <c r="G93" i="75" s="1"/>
  <c r="G94" i="75" s="1"/>
  <c r="G167" i="75"/>
  <c r="G168" i="75" s="1"/>
  <c r="G170" i="75" s="1"/>
  <c r="G247" i="75" s="1"/>
  <c r="G278" i="75"/>
  <c r="G279" i="75" s="1"/>
  <c r="G280" i="75" s="1"/>
  <c r="G284" i="75" s="1"/>
  <c r="G47" i="75"/>
  <c r="G48" i="75" s="1"/>
  <c r="G50" i="75" s="1"/>
  <c r="G191" i="75"/>
  <c r="G192" i="75" s="1"/>
  <c r="G193" i="75" s="1"/>
  <c r="G249" i="75" s="1"/>
  <c r="G269" i="75"/>
  <c r="G270" i="75" s="1"/>
  <c r="G271" i="75" s="1"/>
  <c r="G58" i="75"/>
  <c r="G59" i="75" s="1"/>
  <c r="G61" i="75" s="1"/>
  <c r="G142" i="75"/>
  <c r="G143" i="75" s="1"/>
  <c r="G183" i="75"/>
  <c r="G184" i="75" s="1"/>
  <c r="H204" i="75"/>
  <c r="H213" i="75" s="1"/>
  <c r="H216" i="75" s="1"/>
  <c r="I192" i="88"/>
  <c r="I194" i="88"/>
  <c r="F37" i="78"/>
  <c r="H38" i="78"/>
  <c r="G165" i="88" l="1"/>
  <c r="G134" i="88"/>
  <c r="I134" i="88" s="1"/>
  <c r="G141" i="88"/>
  <c r="G95" i="88"/>
  <c r="G109" i="88"/>
  <c r="F198" i="88"/>
  <c r="G198" i="88" s="1"/>
  <c r="G129" i="88"/>
  <c r="G135" i="88"/>
  <c r="G131" i="88"/>
  <c r="I131" i="88" s="1"/>
  <c r="G146" i="88"/>
  <c r="G67" i="88"/>
  <c r="I67" i="88" s="1"/>
  <c r="I85" i="88" s="1"/>
  <c r="G99" i="88"/>
  <c r="G104" i="88"/>
  <c r="I104" i="88" s="1"/>
  <c r="G68" i="88"/>
  <c r="I68" i="88" s="1"/>
  <c r="I86" i="88" s="1"/>
  <c r="G156" i="88"/>
  <c r="F199" i="88"/>
  <c r="G199" i="88" s="1"/>
  <c r="G126" i="88"/>
  <c r="I126" i="88" s="1"/>
  <c r="G140" i="88"/>
  <c r="I140" i="88" s="1"/>
  <c r="G125" i="88"/>
  <c r="I125" i="88" s="1"/>
  <c r="L200" i="88"/>
  <c r="G76" i="88"/>
  <c r="I76" i="88" s="1"/>
  <c r="G127" i="88"/>
  <c r="I127" i="88" s="1"/>
  <c r="G108" i="88"/>
  <c r="I108" i="88" s="1"/>
  <c r="G31" i="75"/>
  <c r="G32" i="75" s="1"/>
  <c r="G63" i="75"/>
  <c r="G216" i="75"/>
  <c r="L199" i="88"/>
  <c r="L201" i="88" s="1"/>
  <c r="L70" i="88"/>
  <c r="A23" i="75"/>
  <c r="F23" i="75"/>
  <c r="F21" i="75"/>
  <c r="H58" i="75"/>
  <c r="H59" i="75" s="1"/>
  <c r="H61" i="75" s="1"/>
  <c r="H142" i="75"/>
  <c r="H143" i="75" s="1"/>
  <c r="H269" i="75"/>
  <c r="H270" i="75" s="1"/>
  <c r="H271" i="75" s="1"/>
  <c r="I224" i="88" s="1"/>
  <c r="D15" i="88" s="1"/>
  <c r="I15" i="88" s="1"/>
  <c r="H47" i="75"/>
  <c r="H48" i="75" s="1"/>
  <c r="H50" i="75" s="1"/>
  <c r="H92" i="75"/>
  <c r="H93" i="75" s="1"/>
  <c r="H94" i="75" s="1"/>
  <c r="D108" i="88" s="1"/>
  <c r="H183" i="75"/>
  <c r="H184" i="75" s="1"/>
  <c r="H278" i="75"/>
  <c r="H279" i="75" s="1"/>
  <c r="H280" i="75" s="1"/>
  <c r="H102" i="75"/>
  <c r="H103" i="75" s="1"/>
  <c r="H167" i="75"/>
  <c r="H168" i="75" s="1"/>
  <c r="H191" i="75"/>
  <c r="H192" i="75" s="1"/>
  <c r="H73" i="75"/>
  <c r="H74" i="75" s="1"/>
  <c r="H85" i="75"/>
  <c r="H86" i="75" s="1"/>
  <c r="H39" i="78"/>
  <c r="F39" i="78" s="1"/>
  <c r="F38" i="78"/>
  <c r="I37" i="78"/>
  <c r="H193" i="75" l="1"/>
  <c r="H249" i="75" s="1"/>
  <c r="D135" i="88"/>
  <c r="I135" i="88" s="1"/>
  <c r="A24" i="75"/>
  <c r="F24" i="75"/>
  <c r="C202" i="88"/>
  <c r="G34" i="75"/>
  <c r="G35" i="75" s="1"/>
  <c r="G242" i="75"/>
  <c r="G202" i="88"/>
  <c r="I202" i="88" s="1"/>
  <c r="I227" i="88"/>
  <c r="I231" i="88" s="1"/>
  <c r="D16" i="88" s="1"/>
  <c r="I16" i="88" s="1"/>
  <c r="I19" i="88" s="1"/>
  <c r="H284" i="75"/>
  <c r="I141" i="88"/>
  <c r="I143" i="88" s="1"/>
  <c r="H170" i="75"/>
  <c r="D141" i="88"/>
  <c r="M108" i="88"/>
  <c r="L79" i="88"/>
  <c r="M70" i="88"/>
  <c r="G179" i="75"/>
  <c r="G180" i="75" s="1"/>
  <c r="G185" i="75" s="1"/>
  <c r="G248" i="75" s="1"/>
  <c r="G70" i="75"/>
  <c r="G71" i="75" s="1"/>
  <c r="G75" i="75" s="1"/>
  <c r="H31" i="75"/>
  <c r="H32" i="75" s="1"/>
  <c r="H63" i="75"/>
  <c r="I38" i="78"/>
  <c r="I39" i="78" s="1"/>
  <c r="H40" i="78"/>
  <c r="H34" i="75" l="1"/>
  <c r="H35" i="75" s="1"/>
  <c r="H242" i="75"/>
  <c r="L128" i="88"/>
  <c r="M79" i="88"/>
  <c r="M81" i="88" s="1"/>
  <c r="H247" i="75"/>
  <c r="N143" i="88"/>
  <c r="G128" i="88"/>
  <c r="I128" i="88" s="1"/>
  <c r="G70" i="88"/>
  <c r="I70" i="88" s="1"/>
  <c r="G132" i="88"/>
  <c r="I132" i="88" s="1"/>
  <c r="G130" i="88"/>
  <c r="I130" i="88" s="1"/>
  <c r="G79" i="88"/>
  <c r="I79" i="88" s="1"/>
  <c r="I81" i="88" s="1"/>
  <c r="A27" i="75"/>
  <c r="F191" i="75"/>
  <c r="F183" i="75"/>
  <c r="F102" i="75"/>
  <c r="F73" i="75"/>
  <c r="F47" i="75"/>
  <c r="F92" i="75"/>
  <c r="F58" i="75"/>
  <c r="F167" i="75"/>
  <c r="F142" i="75"/>
  <c r="F269" i="75"/>
  <c r="F278" i="75"/>
  <c r="F85" i="75"/>
  <c r="H70" i="75"/>
  <c r="H71" i="75" s="1"/>
  <c r="H75" i="75" s="1"/>
  <c r="H179" i="75"/>
  <c r="H180" i="75" s="1"/>
  <c r="H185" i="75" s="1"/>
  <c r="M88" i="88"/>
  <c r="M90" i="88" s="1"/>
  <c r="M72" i="88"/>
  <c r="M141" i="88"/>
  <c r="M143" i="88" s="1"/>
  <c r="O143" i="88" s="1"/>
  <c r="D143" i="88"/>
  <c r="G99" i="75"/>
  <c r="G100" i="75" s="1"/>
  <c r="G104" i="75" s="1"/>
  <c r="G153" i="75"/>
  <c r="G154" i="75" s="1"/>
  <c r="G156" i="75" s="1"/>
  <c r="G232" i="75"/>
  <c r="G233" i="75" s="1"/>
  <c r="G82" i="75"/>
  <c r="G83" i="75" s="1"/>
  <c r="G87" i="75" s="1"/>
  <c r="F40" i="78"/>
  <c r="H41" i="78"/>
  <c r="G109" i="75" l="1"/>
  <c r="G111" i="75" s="1"/>
  <c r="G118" i="75" s="1"/>
  <c r="G246" i="75"/>
  <c r="A28" i="75"/>
  <c r="A29" i="75" s="1"/>
  <c r="A31" i="75" s="1"/>
  <c r="I72" i="88"/>
  <c r="I88" i="88"/>
  <c r="I90" i="88" s="1"/>
  <c r="H99" i="75"/>
  <c r="H100" i="75" s="1"/>
  <c r="H104" i="75" s="1"/>
  <c r="D109" i="88" s="1"/>
  <c r="H82" i="75"/>
  <c r="H83" i="75" s="1"/>
  <c r="H87" i="75" s="1"/>
  <c r="D99" i="88" s="1"/>
  <c r="H153" i="75"/>
  <c r="H154" i="75" s="1"/>
  <c r="H232" i="75"/>
  <c r="H233" i="75" s="1"/>
  <c r="D146" i="88"/>
  <c r="N153" i="88"/>
  <c r="H248" i="75"/>
  <c r="L130" i="88"/>
  <c r="M128" i="88"/>
  <c r="D95" i="88"/>
  <c r="L143" i="88"/>
  <c r="I40" i="78"/>
  <c r="H42" i="78"/>
  <c r="F42" i="78" s="1"/>
  <c r="F41" i="78"/>
  <c r="G243" i="75" l="1"/>
  <c r="G120" i="75"/>
  <c r="D153" i="88"/>
  <c r="M146" i="88"/>
  <c r="M153" i="88" s="1"/>
  <c r="O153" i="88" s="1"/>
  <c r="I146" i="88"/>
  <c r="I153" i="88" s="1"/>
  <c r="M130" i="88"/>
  <c r="L132" i="88"/>
  <c r="M132" i="88" s="1"/>
  <c r="M95" i="88"/>
  <c r="D102" i="88"/>
  <c r="M102" i="88" s="1"/>
  <c r="I95" i="88"/>
  <c r="D129" i="88"/>
  <c r="H156" i="75"/>
  <c r="I99" i="88"/>
  <c r="M99" i="88"/>
  <c r="F29" i="75"/>
  <c r="M109" i="88"/>
  <c r="M110" i="88" s="1"/>
  <c r="D110" i="88"/>
  <c r="I109" i="88"/>
  <c r="I110" i="88" s="1"/>
  <c r="A32" i="75"/>
  <c r="F32" i="75"/>
  <c r="I41" i="78"/>
  <c r="I42" i="78" s="1"/>
  <c r="H109" i="75" l="1"/>
  <c r="H111" i="75" s="1"/>
  <c r="H118" i="75" s="1"/>
  <c r="N137" i="88"/>
  <c r="H246" i="75"/>
  <c r="G218" i="75"/>
  <c r="G244" i="75"/>
  <c r="M112" i="88"/>
  <c r="A34" i="75"/>
  <c r="F179" i="75"/>
  <c r="F70" i="75"/>
  <c r="M129" i="88"/>
  <c r="M137" i="88" s="1"/>
  <c r="D137" i="88"/>
  <c r="I129" i="88"/>
  <c r="I137" i="88" s="1"/>
  <c r="D112" i="88"/>
  <c r="I102" i="88"/>
  <c r="I112" i="88" s="1"/>
  <c r="L153" i="88"/>
  <c r="H43" i="78"/>
  <c r="F35" i="75" l="1"/>
  <c r="A35" i="75"/>
  <c r="O137" i="88"/>
  <c r="H243" i="75"/>
  <c r="H120" i="75"/>
  <c r="L137" i="88"/>
  <c r="G250" i="75"/>
  <c r="G235" i="75"/>
  <c r="G237" i="75" s="1"/>
  <c r="G251" i="75" s="1"/>
  <c r="F43" i="78"/>
  <c r="H44" i="78"/>
  <c r="G255" i="75" l="1"/>
  <c r="G262" i="75" s="1"/>
  <c r="G263" i="75" s="1"/>
  <c r="G287" i="75" s="1"/>
  <c r="A40" i="75"/>
  <c r="F232" i="75"/>
  <c r="F153" i="75"/>
  <c r="F99" i="75"/>
  <c r="F82" i="75"/>
  <c r="H218" i="75"/>
  <c r="N112" i="88"/>
  <c r="H244" i="75"/>
  <c r="I43" i="78"/>
  <c r="I44" i="78" s="1"/>
  <c r="H45" i="78"/>
  <c r="F45" i="78" s="1"/>
  <c r="F44" i="78"/>
  <c r="A41" i="75" l="1"/>
  <c r="F42" i="75"/>
  <c r="N165" i="88"/>
  <c r="H250" i="75"/>
  <c r="D165" i="88"/>
  <c r="H235" i="75"/>
  <c r="H237" i="75" s="1"/>
  <c r="I45" i="78"/>
  <c r="H46" i="78"/>
  <c r="N156" i="88" l="1"/>
  <c r="D156" i="88"/>
  <c r="H251" i="75"/>
  <c r="H255" i="75" s="1"/>
  <c r="M165" i="88"/>
  <c r="O165" i="88" s="1"/>
  <c r="I165" i="88"/>
  <c r="A42" i="75"/>
  <c r="C68" i="88"/>
  <c r="F46" i="78"/>
  <c r="I46" i="78" s="1"/>
  <c r="H47" i="78"/>
  <c r="L165" i="88" l="1"/>
  <c r="N167" i="88"/>
  <c r="H262" i="75"/>
  <c r="H263" i="75" s="1"/>
  <c r="A44" i="75"/>
  <c r="F258" i="75"/>
  <c r="D162" i="88"/>
  <c r="D167" i="88" s="1"/>
  <c r="D174" i="88" s="1"/>
  <c r="M156" i="88"/>
  <c r="M167" i="88" s="1"/>
  <c r="I156" i="88"/>
  <c r="H48" i="78"/>
  <c r="F48" i="78" s="1"/>
  <c r="F47" i="78"/>
  <c r="I47" i="78" s="1"/>
  <c r="O167" i="88" l="1"/>
  <c r="I162" i="88"/>
  <c r="I167" i="88" s="1"/>
  <c r="I174" i="88" s="1"/>
  <c r="I12" i="88" s="1"/>
  <c r="I23" i="88" s="1"/>
  <c r="L156" i="88"/>
  <c r="A45" i="75"/>
  <c r="A46" i="75" s="1"/>
  <c r="H287" i="75"/>
  <c r="H291" i="75" s="1"/>
  <c r="L174" i="88"/>
  <c r="M174" i="88" s="1"/>
  <c r="I48" i="78"/>
  <c r="A47" i="75" l="1"/>
  <c r="A48" i="75" s="1"/>
  <c r="F48" i="75"/>
  <c r="M23" i="88"/>
  <c r="N23" i="88" s="1"/>
  <c r="M28" i="88"/>
  <c r="H296" i="75"/>
  <c r="F46" i="75"/>
  <c r="I28" i="88"/>
  <c r="H49" i="78"/>
  <c r="N28" i="88" l="1"/>
  <c r="A50" i="75"/>
  <c r="F50" i="75"/>
  <c r="H50" i="78"/>
  <c r="F49" i="78"/>
  <c r="I49" i="78" s="1"/>
  <c r="A53" i="75" l="1"/>
  <c r="F31" i="75"/>
  <c r="F50" i="78"/>
  <c r="I50" i="78" s="1"/>
  <c r="H51" i="78"/>
  <c r="F51" i="78" s="1"/>
  <c r="A55" i="75" l="1"/>
  <c r="I51" i="78"/>
  <c r="H52" i="78" s="1"/>
  <c r="A56" i="75" l="1"/>
  <c r="A57" i="75" s="1"/>
  <c r="F52" i="78"/>
  <c r="I52" i="78" s="1"/>
  <c r="H53" i="78"/>
  <c r="A58" i="75" l="1"/>
  <c r="A59" i="75" s="1"/>
  <c r="F59" i="75"/>
  <c r="F57" i="75"/>
  <c r="F53" i="78"/>
  <c r="I53" i="78" s="1"/>
  <c r="H54" i="78"/>
  <c r="F54" i="78" s="1"/>
  <c r="A61" i="75" l="1"/>
  <c r="F61" i="75"/>
  <c r="I54" i="78"/>
  <c r="H55" i="78" s="1"/>
  <c r="A63" i="75" l="1"/>
  <c r="F63" i="75"/>
  <c r="H56" i="78"/>
  <c r="F55" i="78"/>
  <c r="I55" i="78" s="1"/>
  <c r="A68" i="75" l="1"/>
  <c r="F242" i="75"/>
  <c r="F34" i="75"/>
  <c r="F56" i="78"/>
  <c r="I56" i="78" s="1"/>
  <c r="H57" i="78"/>
  <c r="F57" i="78" s="1"/>
  <c r="A69" i="75" l="1"/>
  <c r="I57" i="78"/>
  <c r="H58" i="78" s="1"/>
  <c r="A70" i="75" l="1"/>
  <c r="A71" i="75" s="1"/>
  <c r="H59" i="78"/>
  <c r="F58" i="78"/>
  <c r="I58" i="78" s="1"/>
  <c r="A72" i="75" l="1"/>
  <c r="F71" i="75"/>
  <c r="F59" i="78"/>
  <c r="I59" i="78" s="1"/>
  <c r="H60" i="78"/>
  <c r="F60" i="78" s="1"/>
  <c r="A73" i="75" l="1"/>
  <c r="A74" i="75" s="1"/>
  <c r="F74" i="75"/>
  <c r="I60" i="78"/>
  <c r="H61" i="78"/>
  <c r="A75" i="75" l="1"/>
  <c r="F75" i="75"/>
  <c r="H62" i="78"/>
  <c r="F61" i="78"/>
  <c r="I61" i="78" s="1"/>
  <c r="A77" i="75" l="1"/>
  <c r="A80" i="75" s="1"/>
  <c r="C95" i="88"/>
  <c r="F62" i="78"/>
  <c r="I62" i="78" s="1"/>
  <c r="H63" i="78"/>
  <c r="F63" i="78" s="1"/>
  <c r="A81" i="75" l="1"/>
  <c r="I63" i="78"/>
  <c r="H64" i="78" s="1"/>
  <c r="F64" i="78" s="1"/>
  <c r="F66" i="78" s="1"/>
  <c r="F68" i="78" s="1"/>
  <c r="A82" i="75" l="1"/>
  <c r="A83" i="75" s="1"/>
  <c r="F83" i="75"/>
  <c r="I64" i="78"/>
  <c r="I65" i="78" s="1"/>
  <c r="A84" i="75" l="1"/>
  <c r="A85" i="75" l="1"/>
  <c r="A86" i="75" s="1"/>
  <c r="A87" i="75" l="1"/>
  <c r="F87" i="75"/>
  <c r="F86" i="75"/>
  <c r="A90" i="75" l="1"/>
  <c r="A91" i="75" s="1"/>
  <c r="C99" i="88"/>
  <c r="A92" i="75" l="1"/>
  <c r="A93" i="75" s="1"/>
  <c r="F93" i="75"/>
  <c r="A94" i="75" l="1"/>
  <c r="F94" i="75"/>
  <c r="A97" i="75" l="1"/>
  <c r="C108" i="88"/>
  <c r="A98" i="75" l="1"/>
  <c r="A99" i="75" l="1"/>
  <c r="A100" i="75" s="1"/>
  <c r="F100" i="75"/>
  <c r="A101" i="75" l="1"/>
  <c r="A102" i="75" l="1"/>
  <c r="A103" i="75" s="1"/>
  <c r="F103" i="75"/>
  <c r="A104" i="75" l="1"/>
  <c r="F104" i="75"/>
  <c r="A106" i="75" l="1"/>
  <c r="C109" i="88"/>
  <c r="A109" i="75" l="1"/>
  <c r="C104" i="88"/>
  <c r="A110" i="75" l="1"/>
  <c r="A111" i="75" s="1"/>
  <c r="F111" i="75"/>
  <c r="A114" i="75" l="1"/>
  <c r="A115" i="75" l="1"/>
  <c r="A116" i="75" s="1"/>
  <c r="F116" i="75"/>
  <c r="A118" i="75" l="1"/>
  <c r="F118" i="75"/>
  <c r="A120" i="75" l="1"/>
  <c r="F243" i="75"/>
  <c r="F120" i="75"/>
  <c r="A125" i="75" l="1"/>
  <c r="F244" i="75"/>
  <c r="A126" i="75" l="1"/>
  <c r="C125" i="88"/>
  <c r="A127" i="75" l="1"/>
  <c r="A128" i="75" l="1"/>
  <c r="C127" i="88"/>
  <c r="A129" i="75" l="1"/>
  <c r="C126" i="88"/>
  <c r="A130" i="75" l="1"/>
  <c r="F130" i="75"/>
  <c r="A133" i="75" l="1"/>
  <c r="A134" i="75" l="1"/>
  <c r="C128" i="88"/>
  <c r="A135" i="75" l="1"/>
  <c r="C132" i="88"/>
  <c r="A136" i="75" l="1"/>
  <c r="A137" i="75" s="1"/>
  <c r="A138" i="75" s="1"/>
  <c r="A139" i="75" s="1"/>
  <c r="A140" i="75" l="1"/>
  <c r="F141" i="75"/>
  <c r="A141" i="75" l="1"/>
  <c r="C130" i="88"/>
  <c r="A142" i="75" l="1"/>
  <c r="A143" i="75" s="1"/>
  <c r="F143" i="75"/>
  <c r="A146" i="75" l="1"/>
  <c r="A147" i="75" l="1"/>
  <c r="A148" i="75" s="1"/>
  <c r="C131" i="88"/>
  <c r="F148" i="75"/>
  <c r="A149" i="75" l="1"/>
  <c r="A150" i="75" s="1"/>
  <c r="A151" i="75" l="1"/>
  <c r="A152" i="75" s="1"/>
  <c r="F152" i="75"/>
  <c r="A153" i="75" l="1"/>
  <c r="A154" i="75" s="1"/>
  <c r="F154" i="75"/>
  <c r="A155" i="75" l="1"/>
  <c r="A156" i="75" s="1"/>
  <c r="C129" i="88"/>
  <c r="F156" i="75"/>
  <c r="A161" i="75" l="1"/>
  <c r="F246" i="75"/>
  <c r="F109" i="75"/>
  <c r="A162" i="75" l="1"/>
  <c r="A163" i="75" s="1"/>
  <c r="C140" i="88"/>
  <c r="A164" i="75" l="1"/>
  <c r="A165" i="75" s="1"/>
  <c r="A166" i="75" s="1"/>
  <c r="F166" i="75"/>
  <c r="A167" i="75" l="1"/>
  <c r="A168" i="75" s="1"/>
  <c r="F168" i="75"/>
  <c r="A169" i="75" l="1"/>
  <c r="A170" i="75" s="1"/>
  <c r="C141" i="88"/>
  <c r="F170" i="75"/>
  <c r="A174" i="75" l="1"/>
  <c r="F247" i="75"/>
  <c r="A175" i="75" l="1"/>
  <c r="A176" i="75" s="1"/>
  <c r="A177" i="75" l="1"/>
  <c r="A178" i="75" s="1"/>
  <c r="F178" i="75"/>
  <c r="A179" i="75" l="1"/>
  <c r="A180" i="75" s="1"/>
  <c r="F180" i="75"/>
  <c r="A181" i="75" l="1"/>
  <c r="A182" i="75" s="1"/>
  <c r="A183" i="75" l="1"/>
  <c r="A184" i="75" s="1"/>
  <c r="F184" i="75"/>
  <c r="A185" i="75" l="1"/>
  <c r="F185" i="75"/>
  <c r="A189" i="75" l="1"/>
  <c r="C146" i="88"/>
  <c r="F248" i="75"/>
  <c r="A190" i="75" l="1"/>
  <c r="C134" i="88"/>
  <c r="A191" i="75" l="1"/>
  <c r="A192" i="75" s="1"/>
  <c r="F192" i="75"/>
  <c r="A193" i="75" l="1"/>
  <c r="C135" i="88"/>
  <c r="F193" i="75"/>
  <c r="A197" i="75" l="1"/>
  <c r="F249" i="75"/>
  <c r="A198" i="75" l="1"/>
  <c r="A199" i="75" s="1"/>
  <c r="C212" i="88"/>
  <c r="A200" i="75" l="1"/>
  <c r="F209" i="75"/>
  <c r="A201" i="75" l="1"/>
  <c r="C213" i="88"/>
  <c r="A202" i="75" l="1"/>
  <c r="F210" i="75"/>
  <c r="A204" i="75" l="1"/>
  <c r="C214" i="88"/>
  <c r="F206" i="75"/>
  <c r="F205" i="75"/>
  <c r="A205" i="75" l="1"/>
  <c r="A206" i="75" l="1"/>
  <c r="F204" i="75"/>
  <c r="A209" i="75" l="1"/>
  <c r="A210" i="75" l="1"/>
  <c r="F213" i="75"/>
  <c r="A211" i="75" l="1"/>
  <c r="F214" i="75"/>
  <c r="A213" i="75" l="1"/>
  <c r="F215" i="75"/>
  <c r="A214" i="75" l="1"/>
  <c r="A215" i="75" s="1"/>
  <c r="A216" i="75" s="1"/>
  <c r="F216" i="75"/>
  <c r="A218" i="75" l="1"/>
  <c r="F218" i="75"/>
  <c r="A223" i="75" l="1"/>
  <c r="F250" i="75"/>
  <c r="C165" i="88"/>
  <c r="A224" i="75" l="1"/>
  <c r="C234" i="88"/>
  <c r="A225" i="75" l="1"/>
  <c r="C235" i="88"/>
  <c r="A226" i="75" l="1"/>
  <c r="C236" i="88"/>
  <c r="A227" i="75" l="1"/>
  <c r="F231" i="75"/>
  <c r="A230" i="75" l="1"/>
  <c r="F235" i="75"/>
  <c r="A231" i="75" l="1"/>
  <c r="A232" i="75" s="1"/>
  <c r="A233" i="75" s="1"/>
  <c r="A235" i="75" l="1"/>
  <c r="A237" i="75" s="1"/>
  <c r="F237" i="75"/>
  <c r="F233" i="75"/>
  <c r="A242" i="75" l="1"/>
  <c r="A243" i="75" s="1"/>
  <c r="A244" i="75" s="1"/>
  <c r="A246" i="75" s="1"/>
  <c r="F251" i="75"/>
  <c r="C156" i="88"/>
  <c r="A247" i="75" l="1"/>
  <c r="A248" i="75" s="1"/>
  <c r="A249" i="75" s="1"/>
  <c r="A250" i="75" s="1"/>
  <c r="A251" i="75" s="1"/>
  <c r="A252" i="75" s="1"/>
  <c r="A253" i="75" l="1"/>
  <c r="C170" i="88"/>
  <c r="C173" i="88" l="1"/>
  <c r="A255" i="75"/>
  <c r="F255" i="75"/>
  <c r="A258" i="75" l="1"/>
  <c r="F262" i="75"/>
  <c r="A259" i="75" l="1"/>
  <c r="F260" i="75"/>
  <c r="C189" i="88"/>
  <c r="A260" i="75" l="1"/>
  <c r="C190" i="88"/>
  <c r="A261" i="75" l="1"/>
  <c r="F261" i="75"/>
  <c r="A262" i="75" l="1"/>
  <c r="A263" i="75" s="1"/>
  <c r="F263" i="75"/>
  <c r="A267" i="75" l="1"/>
  <c r="A268" i="75" l="1"/>
  <c r="A269" i="75" l="1"/>
  <c r="A270" i="75" s="1"/>
  <c r="F270" i="75"/>
  <c r="A271" i="75" l="1"/>
  <c r="F271" i="75"/>
  <c r="C224" i="88" l="1"/>
  <c r="A274" i="75"/>
  <c r="A275" i="75" l="1"/>
  <c r="F276" i="75"/>
  <c r="F281" i="75" l="1"/>
  <c r="A276" i="75"/>
  <c r="A277" i="75" l="1"/>
  <c r="A278" i="75" l="1"/>
  <c r="A279" i="75" s="1"/>
  <c r="F279" i="75"/>
  <c r="A280" i="75" l="1"/>
  <c r="F280" i="75"/>
  <c r="A281" i="75" l="1"/>
  <c r="C227" i="88"/>
  <c r="C228" i="88" l="1"/>
  <c r="A282" i="75"/>
  <c r="A283" i="75" l="1"/>
  <c r="B64" i="51"/>
  <c r="C229" i="88"/>
  <c r="F284" i="75"/>
  <c r="C230" i="88" l="1"/>
  <c r="A284" i="75"/>
  <c r="A285" i="75" l="1"/>
  <c r="A287" i="75" s="1"/>
  <c r="F287" i="75"/>
  <c r="A289" i="75" l="1"/>
  <c r="F291" i="75"/>
  <c r="A291" i="75" l="1"/>
  <c r="C21" i="88"/>
  <c r="A293" i="75" l="1"/>
  <c r="A294" i="75" s="1"/>
  <c r="A295" i="75" l="1"/>
  <c r="C25" i="88"/>
  <c r="C26" i="88" l="1"/>
  <c r="A296" i="75"/>
  <c r="F296" i="75"/>
  <c r="A299" i="75" l="1"/>
  <c r="F300" i="75"/>
  <c r="A300" i="75" l="1"/>
  <c r="C32" i="88"/>
  <c r="A301" i="75" l="1"/>
  <c r="F301" i="75"/>
</calcChain>
</file>

<file path=xl/sharedStrings.xml><?xml version="1.0" encoding="utf-8"?>
<sst xmlns="http://schemas.openxmlformats.org/spreadsheetml/2006/main" count="2574" uniqueCount="1498">
  <si>
    <t>190886</t>
  </si>
  <si>
    <t>ADIT-AMT CR C/F-TAP-FED</t>
  </si>
  <si>
    <t>190887</t>
  </si>
  <si>
    <t>FED ADIT on State Tax Accrual</t>
  </si>
  <si>
    <t>190983</t>
  </si>
  <si>
    <t>ADIT-NOL C/F TAP-Fed-Non-curr</t>
  </si>
  <si>
    <t>190986</t>
  </si>
  <si>
    <t>ADIT-Contrib C/F St Non-Cur</t>
  </si>
  <si>
    <t>282111</t>
  </si>
  <si>
    <t>Liberalized Depreciation-Fed</t>
  </si>
  <si>
    <t>Liberalized tax depreciation.</t>
  </si>
  <si>
    <t>282112</t>
  </si>
  <si>
    <t>Liberalized Deprec - State</t>
  </si>
  <si>
    <t>282117</t>
  </si>
  <si>
    <t>Section 481A Adj Fed</t>
  </si>
  <si>
    <t>282118</t>
  </si>
  <si>
    <t>Section 481A Adj State</t>
  </si>
  <si>
    <t>Plant basis difference.</t>
  </si>
  <si>
    <t>282223</t>
  </si>
  <si>
    <t>Repairs &amp; Maint Exp - Federal</t>
  </si>
  <si>
    <t>282224</t>
  </si>
  <si>
    <t>Repairs &amp; Maint Exp - State</t>
  </si>
  <si>
    <t>282241</t>
  </si>
  <si>
    <t>R&amp;E Deduction - Fed</t>
  </si>
  <si>
    <t>282242</t>
  </si>
  <si>
    <t>R&amp;E Deduction - St</t>
  </si>
  <si>
    <t>282245</t>
  </si>
  <si>
    <t>Warranty Expense - Federal</t>
  </si>
  <si>
    <t>282246</t>
  </si>
  <si>
    <t>Warranty Expense - State</t>
  </si>
  <si>
    <t>Intangible and General plant</t>
  </si>
  <si>
    <t>282351</t>
  </si>
  <si>
    <t>Tax Int (Avoided Cost)-Fed</t>
  </si>
  <si>
    <t>282352</t>
  </si>
  <si>
    <t>Tax Int (Avoided Cost) - St</t>
  </si>
  <si>
    <t>282461</t>
  </si>
  <si>
    <t>Computer Software Cap - Fed</t>
  </si>
  <si>
    <t>282462</t>
  </si>
  <si>
    <t>Computer Software Cap - State</t>
  </si>
  <si>
    <t>282533</t>
  </si>
  <si>
    <t>Casualty Loss Deduction-Fed</t>
  </si>
  <si>
    <t>282534</t>
  </si>
  <si>
    <t>Casualty Loss Deduction-St</t>
  </si>
  <si>
    <t>282701</t>
  </si>
  <si>
    <t>282702</t>
  </si>
  <si>
    <t>282901</t>
  </si>
  <si>
    <t>263A Method Change-DSC - Fed</t>
  </si>
  <si>
    <t>282902</t>
  </si>
  <si>
    <t>263A Method Change - DSC-State</t>
  </si>
  <si>
    <t>282903</t>
  </si>
  <si>
    <t>Units of Production Ded - Fed</t>
  </si>
  <si>
    <t>282904</t>
  </si>
  <si>
    <t>282975</t>
  </si>
  <si>
    <t>Depreciation Expense - Fed</t>
  </si>
  <si>
    <t>282976</t>
  </si>
  <si>
    <t>Depreciation Expense - State</t>
  </si>
  <si>
    <t>283151</t>
  </si>
  <si>
    <t>Regulatory Asset - Federal</t>
  </si>
  <si>
    <t>283152</t>
  </si>
  <si>
    <t>Regulatory Asset - State</t>
  </si>
  <si>
    <t>283213</t>
  </si>
  <si>
    <t>SFAS 158 Def Tax Liability-Fed</t>
  </si>
  <si>
    <t>283214</t>
  </si>
  <si>
    <t>SFAS 158 Def Tax Liability-St</t>
  </si>
  <si>
    <t>283221</t>
  </si>
  <si>
    <t>Bond Reacquisition Loss - Fed</t>
  </si>
  <si>
    <t>283222</t>
  </si>
  <si>
    <t>Bond Reacquisition Loss - St</t>
  </si>
  <si>
    <t>283225</t>
  </si>
  <si>
    <t>Section 475 Adjustment-Fed</t>
  </si>
  <si>
    <t>Mark to market of purchase power contracts.</t>
  </si>
  <si>
    <t>283226</t>
  </si>
  <si>
    <t>Section 475 Adjustment-St</t>
  </si>
  <si>
    <t>Miscellaneous including Account 186</t>
  </si>
  <si>
    <t>283247</t>
  </si>
  <si>
    <t>Transco Costs - Federal</t>
  </si>
  <si>
    <t>Transmission related costs deducted as repairs for tax and capitalized for books.</t>
  </si>
  <si>
    <t>283248</t>
  </si>
  <si>
    <t>Transco Costs - State</t>
  </si>
  <si>
    <t>283345</t>
  </si>
  <si>
    <t>Misc Cap Costs-Fed</t>
  </si>
  <si>
    <t>283346</t>
  </si>
  <si>
    <t>Misc Cap Costs-State</t>
  </si>
  <si>
    <t>283361</t>
  </si>
  <si>
    <t>Prepaid Expenses Federal</t>
  </si>
  <si>
    <t>Prepaid costs in FERC account 165 that were deducted for tax.</t>
  </si>
  <si>
    <t>283362</t>
  </si>
  <si>
    <t>Prepaid Expenses State</t>
  </si>
  <si>
    <t>283701</t>
  </si>
  <si>
    <t>283702</t>
  </si>
  <si>
    <t>283901</t>
  </si>
  <si>
    <t>263A Method Change - Federal</t>
  </si>
  <si>
    <t>456104 - Cwl Transmission Revenue</t>
  </si>
  <si>
    <t>456105 - Transmisn Service Rev-Non Firm</t>
  </si>
  <si>
    <t>456107 - Network Transmission Revenue- NITB Bulk</t>
  </si>
  <si>
    <t>456111 - Non-Firm Transmission Revenue</t>
  </si>
  <si>
    <t>456112 - Short Term Firm Transm Revenue</t>
  </si>
  <si>
    <t>456113 - Long Term Firm Transm Revenue</t>
  </si>
  <si>
    <t>456102 - Gia Annual Fees</t>
  </si>
  <si>
    <t>456107 - Network Transmission Revenue- Nits Dist. Sub</t>
  </si>
  <si>
    <t>456108 - Schdlg Syst Control &amp; Dispatch</t>
  </si>
  <si>
    <t>456127 - RTO &amp; ICT Operations Costs Rec</t>
  </si>
  <si>
    <t>4561FR - FFR Transm Revenue</t>
  </si>
  <si>
    <t>456117 - Reg &amp; Freq Response Trans Rev</t>
  </si>
  <si>
    <t>456118 - Spinning Reserve Ptp Tran Rev</t>
  </si>
  <si>
    <t>456119 - Suppl Reserve Ptp Tran Rev</t>
  </si>
  <si>
    <t xml:space="preserve">Total </t>
  </si>
  <si>
    <t>Taxes Other Than Income</t>
  </si>
  <si>
    <t>FICA</t>
  </si>
  <si>
    <t>Fed Unemployment</t>
  </si>
  <si>
    <t>State Unemployment</t>
  </si>
  <si>
    <t>Gross Receipts &amp; Sales Tax</t>
  </si>
  <si>
    <t>Use Tax</t>
  </si>
  <si>
    <t>Gross Receipts Privilege Tax</t>
  </si>
  <si>
    <t xml:space="preserve">Franchise Tax- Local </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</si>
  <si>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</si>
  <si>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</si>
  <si>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</si>
  <si>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</si>
  <si>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</si>
  <si>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</si>
  <si>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</si>
  <si>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</si>
  <si>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</si>
  <si>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</si>
  <si>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</si>
  <si>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</si>
  <si>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</si>
  <si>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</si>
  <si>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</si>
  <si>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</si>
  <si>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</si>
  <si>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</si>
  <si>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</si>
  <si>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</si>
  <si>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</si>
  <si>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</si>
  <si>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</si>
  <si>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</si>
  <si>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</si>
  <si>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</si>
  <si>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</si>
  <si>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</si>
  <si>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</si>
  <si>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</si>
  <si>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</si>
  <si>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</si>
  <si>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</si>
  <si>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</si>
  <si>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</si>
  <si>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</si>
  <si>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</si>
  <si>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</si>
  <si>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</si>
  <si>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</si>
  <si>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</si>
  <si>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</si>
  <si>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</si>
  <si>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</si>
  <si>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</si>
  <si>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</si>
  <si>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</si>
  <si>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</si>
  <si>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</si>
  <si>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</si>
  <si>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</si>
  <si>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</si>
  <si>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</si>
  <si>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</si>
  <si>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</si>
  <si>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</si>
  <si>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</si>
  <si>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</si>
  <si>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</si>
  <si>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</si>
  <si>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</si>
  <si>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</si>
  <si>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</si>
  <si>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</si>
  <si>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</si>
  <si>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</si>
  <si>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</si>
  <si>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</si>
  <si>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</si>
  <si>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</si>
  <si>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</si>
  <si>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</si>
  <si>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</si>
  <si>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</si>
  <si>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</si>
  <si>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</si>
  <si>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ITC Adjustment Allocated to Transmission</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</si>
  <si>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</si>
  <si>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</si>
  <si>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</si>
  <si>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</si>
  <si>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</si>
  <si>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</si>
  <si>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</si>
  <si>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</si>
  <si>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</si>
  <si>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</si>
  <si>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</si>
  <si>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</si>
  <si>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</si>
  <si>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</si>
  <si>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</si>
  <si>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</si>
  <si>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</si>
  <si>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</si>
  <si>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</si>
  <si>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</si>
  <si>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</si>
  <si>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</si>
  <si>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</si>
  <si>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</si>
  <si>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</si>
  <si>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</si>
  <si>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</si>
  <si>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</si>
  <si>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</si>
  <si>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</si>
  <si>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</si>
  <si>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</si>
  <si>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</si>
  <si>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</si>
  <si>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</si>
  <si>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</si>
  <si>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</si>
  <si>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</si>
  <si>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</si>
  <si>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</si>
  <si>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</si>
  <si>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</si>
  <si>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</si>
  <si>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</si>
  <si>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</si>
  <si>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</si>
  <si>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</si>
  <si>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</si>
  <si>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</si>
  <si>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</si>
  <si>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</si>
  <si>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</si>
  <si>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</si>
  <si>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</si>
  <si>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</si>
  <si>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</si>
  <si>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</si>
  <si>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</si>
  <si>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</si>
  <si>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</si>
  <si>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</si>
  <si>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</si>
  <si>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</si>
  <si>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</si>
  <si>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</si>
  <si>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</si>
  <si>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</si>
  <si>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</si>
  <si>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</si>
  <si>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</si>
  <si>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</si>
  <si>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</si>
  <si>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</si>
  <si>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</si>
  <si>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</si>
  <si>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</si>
  <si>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</si>
  <si>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</si>
  <si>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</si>
  <si>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(1)</t>
  </si>
  <si>
    <t>Generation</t>
  </si>
  <si>
    <t>General Plant</t>
  </si>
  <si>
    <t>165SAI</t>
  </si>
  <si>
    <t>Attachment O</t>
  </si>
  <si>
    <t>Account</t>
  </si>
  <si>
    <t>4031AM</t>
  </si>
  <si>
    <t>4031AM - Deprec Exp billed from Serv Co Total</t>
  </si>
  <si>
    <t>408110 - Employment Taxes Total</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</si>
  <si>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</si>
  <si>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</si>
  <si>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</si>
  <si>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</si>
  <si>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</si>
  <si>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</si>
  <si>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</si>
  <si>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</si>
  <si>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</si>
  <si>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</si>
  <si>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</si>
  <si>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</si>
  <si>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</si>
  <si>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</si>
  <si>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</si>
  <si>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</si>
  <si>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</si>
  <si>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</si>
  <si>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</si>
  <si>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</si>
  <si>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190151</t>
  </si>
  <si>
    <t>Taxable Unbilled Revenue-Fed</t>
  </si>
  <si>
    <t>190152</t>
  </si>
  <si>
    <t>Taxable Unbilled Revenue-St</t>
  </si>
  <si>
    <t>190161</t>
  </si>
  <si>
    <t>Property Ins Reserve-Fed</t>
  </si>
  <si>
    <t>Reserve for Property insurance - a book accrual.</t>
  </si>
  <si>
    <t>190162</t>
  </si>
  <si>
    <t>Property Ins Reserve-State</t>
  </si>
  <si>
    <t>190163</t>
  </si>
  <si>
    <t>Capitalized Repairs - Fed</t>
  </si>
  <si>
    <t>Property O&amp;M repair costs for book required to be depreciated for tax.</t>
  </si>
  <si>
    <t>190164</t>
  </si>
  <si>
    <t>Capitalized Repairs - State</t>
  </si>
  <si>
    <t>190171</t>
  </si>
  <si>
    <t>Inj &amp; Damages Reserve-Fed</t>
  </si>
  <si>
    <t>Reserve for Injuries and Damages - a book accrual.</t>
  </si>
  <si>
    <t>190172</t>
  </si>
  <si>
    <t>Inj &amp; Damages Reserve-State</t>
  </si>
  <si>
    <t>190191</t>
  </si>
  <si>
    <t>Customer Deposits-Fed</t>
  </si>
  <si>
    <t>Customer deposit recorded in account 253</t>
  </si>
  <si>
    <t>190192</t>
  </si>
  <si>
    <t>190211</t>
  </si>
  <si>
    <t>Unfunded Pension Exp-Fed</t>
  </si>
  <si>
    <t>Employee Benefit</t>
  </si>
  <si>
    <t>190212</t>
  </si>
  <si>
    <t>Unfunded Pension Exp-State</t>
  </si>
  <si>
    <t>190213</t>
  </si>
  <si>
    <t>SFAS 158 Def Tax Asset - Fed</t>
  </si>
  <si>
    <t>190214</t>
  </si>
  <si>
    <t>SFAS 158 Def Tax Asset - State</t>
  </si>
  <si>
    <t>190215</t>
  </si>
  <si>
    <t>Supplemental Pension Plan-Fed</t>
  </si>
  <si>
    <t>190216</t>
  </si>
  <si>
    <t>Supplemental Pension Plan-St</t>
  </si>
  <si>
    <t>190221</t>
  </si>
  <si>
    <t>190222</t>
  </si>
  <si>
    <t>Production related.</t>
  </si>
  <si>
    <t>190251</t>
  </si>
  <si>
    <t>Removal Cost - Fed</t>
  </si>
  <si>
    <t>Net negative salvage is related to plant.</t>
  </si>
  <si>
    <t>190252</t>
  </si>
  <si>
    <t>Removal Cost - State</t>
  </si>
  <si>
    <t>190331</t>
  </si>
  <si>
    <t>Accrued Medical Claims-Fed</t>
  </si>
  <si>
    <t>190332</t>
  </si>
  <si>
    <t>Accrued Medical Claims-State</t>
  </si>
  <si>
    <t>190351</t>
  </si>
  <si>
    <t>Uncollect Accts Reserve-Fed</t>
  </si>
  <si>
    <t>FERC account 144 - Book reserve for uncollectible accounts.</t>
  </si>
  <si>
    <t>190352</t>
  </si>
  <si>
    <t>Uncollect Accts Reserve-St</t>
  </si>
  <si>
    <t>Rounding</t>
  </si>
  <si>
    <t>190381</t>
  </si>
  <si>
    <t>Partnership Income/Loss - Fed</t>
  </si>
  <si>
    <t>Unregulated partnership interest.</t>
  </si>
  <si>
    <t>190382</t>
  </si>
  <si>
    <t>Partnership Income/Loss-State</t>
  </si>
  <si>
    <t>190391</t>
  </si>
  <si>
    <t>Contract Def Revenue-Fed</t>
  </si>
  <si>
    <t>Deferred Revenue FERC account 242500</t>
  </si>
  <si>
    <t>190392</t>
  </si>
  <si>
    <t>Contract Def Revenue-State</t>
  </si>
  <si>
    <t>190421</t>
  </si>
  <si>
    <t>Environmental Reserve-Fed</t>
  </si>
  <si>
    <t>FERC Accounts 228400 and 228403</t>
  </si>
  <si>
    <t>190422</t>
  </si>
  <si>
    <t>Environmental Reserve-State</t>
  </si>
  <si>
    <t>190451</t>
  </si>
  <si>
    <t>Incentive-Fed</t>
  </si>
  <si>
    <t>190452</t>
  </si>
  <si>
    <t>Incentive-State</t>
  </si>
  <si>
    <t>190513</t>
  </si>
  <si>
    <t>Entergy Stck Invstmnt Plan-Fed</t>
  </si>
  <si>
    <t>190514</t>
  </si>
  <si>
    <t>Entergy Stock Invstmnt Plan-St</t>
  </si>
  <si>
    <t>190517</t>
  </si>
  <si>
    <t>Long-Term Incentive Comp-Feder</t>
  </si>
  <si>
    <t>190518</t>
  </si>
  <si>
    <t>Long-Term Incentive Comp-State</t>
  </si>
  <si>
    <t>190519</t>
  </si>
  <si>
    <t>Stock Options - Federal</t>
  </si>
  <si>
    <t>190520</t>
  </si>
  <si>
    <t>Stock Options - State</t>
  </si>
  <si>
    <t>190523</t>
  </si>
  <si>
    <t>Stock Options Exercised-Fed</t>
  </si>
  <si>
    <t>190524</t>
  </si>
  <si>
    <t>190525</t>
  </si>
  <si>
    <t>Restricted Stock Awards-Fed</t>
  </si>
  <si>
    <t>190526</t>
  </si>
  <si>
    <t>Restricted Stock Awards-State</t>
  </si>
  <si>
    <t>190531</t>
  </si>
  <si>
    <t>Deferred directors compensation.</t>
  </si>
  <si>
    <t>190532</t>
  </si>
  <si>
    <t>190603</t>
  </si>
  <si>
    <t>Rate Refund-Federal</t>
  </si>
  <si>
    <t>190604</t>
  </si>
  <si>
    <t>Rate Refund-State</t>
  </si>
  <si>
    <t>190609</t>
  </si>
  <si>
    <t>190610</t>
  </si>
  <si>
    <t>190641</t>
  </si>
  <si>
    <t>190642</t>
  </si>
  <si>
    <t>190701</t>
  </si>
  <si>
    <t>Fas 109 Adjustment - Fed</t>
  </si>
  <si>
    <t>FASB 109 is removed from filing.</t>
  </si>
  <si>
    <t>190702</t>
  </si>
  <si>
    <t>Fas 109 Adjustment - State</t>
  </si>
  <si>
    <t>190881</t>
  </si>
  <si>
    <t>ADIT-NOL C/F-TAP-FED - Current</t>
  </si>
  <si>
    <t>190882</t>
  </si>
  <si>
    <t>Adit-Nol C/F - State-Current</t>
  </si>
  <si>
    <t>190883</t>
  </si>
  <si>
    <t>ADIT-Contribution C/F-TAP-FED</t>
  </si>
  <si>
    <t>Charitable contributions deduction carried forward.</t>
  </si>
  <si>
    <t>190884</t>
  </si>
  <si>
    <t>ADIT-Tax CR C/F-TAP-FED</t>
  </si>
  <si>
    <t>OpCo</t>
  </si>
  <si>
    <t>ESI</t>
  </si>
  <si>
    <t>ESI - Production</t>
  </si>
  <si>
    <t>ESI - Transmission</t>
  </si>
  <si>
    <t>ESI - Regional Market</t>
  </si>
  <si>
    <t>ESI - Distribution</t>
  </si>
  <si>
    <t>ESI - Customer Accounts</t>
  </si>
  <si>
    <t>ESI - Customer Service</t>
  </si>
  <si>
    <t>ESI - Sales</t>
  </si>
  <si>
    <t>EOI - Payroll</t>
  </si>
  <si>
    <t>EOI - A&amp;G</t>
  </si>
  <si>
    <t>190111</t>
  </si>
  <si>
    <t>Accrued interest on tax deficiencies - FIN48 accrued interest.</t>
  </si>
  <si>
    <t>190112</t>
  </si>
  <si>
    <t>Difference between unbilled revenue reported for tax and book.</t>
  </si>
  <si>
    <t>ADIT- 281</t>
  </si>
  <si>
    <t>Accum Prov For Injuries &amp; Dam</t>
  </si>
  <si>
    <t>Reserve For Inj &amp; Dam - Legal</t>
  </si>
  <si>
    <t>Acc Prov-P&amp;B-Opeb</t>
  </si>
  <si>
    <t>Acc Prov-Pen&amp;Ben-Hosp Res-Adj</t>
  </si>
  <si>
    <t>Accum Prov For Prop Insurance</t>
  </si>
  <si>
    <t>Int on Accum Prov for Prop Ins</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</si>
  <si>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</si>
  <si>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</si>
  <si>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</si>
  <si>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</si>
  <si>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</si>
  <si>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</si>
  <si>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</si>
  <si>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</si>
  <si>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</si>
  <si>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</si>
  <si>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</si>
  <si>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</si>
  <si>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</si>
  <si>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</si>
  <si>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</si>
  <si>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</si>
  <si>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</si>
  <si>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</si>
  <si>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</si>
  <si>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</si>
  <si>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</si>
  <si>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</si>
  <si>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</si>
  <si>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</si>
  <si>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</si>
  <si>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</si>
  <si>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</si>
  <si>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</si>
  <si>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</si>
  <si>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</si>
  <si>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</si>
  <si>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</si>
  <si>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</si>
  <si>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</si>
  <si>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</si>
  <si>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</si>
  <si>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2281FR</t>
  </si>
  <si>
    <t>Property Ins. Prov. Reclass</t>
  </si>
  <si>
    <t>Accum Prov - Coal Car Maint</t>
  </si>
  <si>
    <t>Acc Provision-Commer Litigatio</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</si>
  <si>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</si>
  <si>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</si>
  <si>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</si>
  <si>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</si>
  <si>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</si>
  <si>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</si>
  <si>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</si>
  <si>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</si>
  <si>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928000</t>
  </si>
  <si>
    <t>930100</t>
  </si>
  <si>
    <t>Ad Valorem Tax</t>
  </si>
  <si>
    <t>*</t>
  </si>
  <si>
    <t>13 Month Average</t>
  </si>
  <si>
    <t>165000</t>
  </si>
  <si>
    <t>165004</t>
  </si>
  <si>
    <t>165100</t>
  </si>
  <si>
    <t>165400</t>
  </si>
  <si>
    <t>165510</t>
  </si>
  <si>
    <t>Interconnection Facilities</t>
  </si>
  <si>
    <t>Account Name</t>
  </si>
  <si>
    <t>228403</t>
  </si>
  <si>
    <t>228402</t>
  </si>
  <si>
    <t>228401</t>
  </si>
  <si>
    <t>228400</t>
  </si>
  <si>
    <t>228308</t>
  </si>
  <si>
    <t>228301</t>
  </si>
  <si>
    <t>228210</t>
  </si>
  <si>
    <t>228200</t>
  </si>
  <si>
    <t>228151</t>
  </si>
  <si>
    <t>228101</t>
  </si>
  <si>
    <t>228100</t>
  </si>
  <si>
    <t>Insurance proceeds-O&amp;M</t>
  </si>
  <si>
    <t>Acc Misc-Operating Prov</t>
  </si>
  <si>
    <t>Ltd - Decomm &amp; Decontam</t>
  </si>
  <si>
    <t>Cumulative</t>
  </si>
  <si>
    <t>301-Organization (5 year life)</t>
  </si>
  <si>
    <t>302-Franchises and Consents (5 year life)</t>
  </si>
  <si>
    <t>302-Franchises and Consents (30 year life)</t>
  </si>
  <si>
    <t>302-Franchises and Consents (50 year life)</t>
  </si>
  <si>
    <t>303-Miscellaneous Intangible Plant (5 year life)</t>
  </si>
  <si>
    <t>303-Miscellaneous Intangible Plant (10 year life)</t>
  </si>
  <si>
    <t>303-Miscellaneous Intangible Plant (30 year life)</t>
  </si>
  <si>
    <t>303-Miscellaneous Intangible Plant (50 year life)</t>
  </si>
  <si>
    <t>ESI - Administrative &amp; General</t>
  </si>
  <si>
    <t>FERC Form 1  Page # or Reference</t>
  </si>
  <si>
    <t>Tax deduction when reacquired, book amortizes to expense.</t>
  </si>
  <si>
    <t>Ln</t>
  </si>
  <si>
    <t>Debt Capitalization</t>
  </si>
  <si>
    <t>Preferred Capitalization</t>
  </si>
  <si>
    <t>Common Capitalization</t>
  </si>
  <si>
    <t>True-Up</t>
  </si>
  <si>
    <t>FERC Annual Interest Rate</t>
  </si>
  <si>
    <t>X</t>
  </si>
  <si>
    <t>Y</t>
  </si>
  <si>
    <t>Z</t>
  </si>
  <si>
    <t>AA</t>
  </si>
  <si>
    <t>W</t>
  </si>
  <si>
    <t>Average of the 12 CP (kW)</t>
  </si>
  <si>
    <t>456410 - Transm Equal Charges</t>
  </si>
  <si>
    <t>456000 - Other Electric Revenue</t>
  </si>
  <si>
    <t>456001 - Fees-Gustav/Ike Securitization</t>
  </si>
  <si>
    <t>456002 - Distribution Substation Svc.</t>
  </si>
  <si>
    <t>456100 - Miscellaneous Revenue</t>
  </si>
  <si>
    <t>456101 - Side Lights</t>
  </si>
  <si>
    <t>456200 - Unbilled Revenue</t>
  </si>
  <si>
    <t>456300 - Unbilled Revenue-Wholesale</t>
  </si>
  <si>
    <t>456420 - Affiliate service fee revenue</t>
  </si>
  <si>
    <t>456500 - Other Elec Rev - Discounts</t>
  </si>
  <si>
    <t>165RNT</t>
  </si>
  <si>
    <t>Less Attachment GG Adj.</t>
  </si>
  <si>
    <t>Less Attachment MM Adj.</t>
  </si>
  <si>
    <t>Severance Accrual - Federal</t>
  </si>
  <si>
    <t>Severance Accrual - State</t>
  </si>
  <si>
    <t>Tangible Prop Regs-481 Adj-Fed</t>
  </si>
  <si>
    <t>Tangible Prop Regs-481-St</t>
  </si>
  <si>
    <t>Regulatory Asset-MISO-Fed</t>
  </si>
  <si>
    <t>Regulatory Asset-MISO-State</t>
  </si>
  <si>
    <t>Asset Location</t>
  </si>
  <si>
    <t>143983</t>
  </si>
  <si>
    <t>143985</t>
  </si>
  <si>
    <t>143987</t>
  </si>
  <si>
    <t>143995</t>
  </si>
  <si>
    <t>408110</t>
  </si>
  <si>
    <t>500000</t>
  </si>
  <si>
    <t>506000</t>
  </si>
  <si>
    <t>507000</t>
  </si>
  <si>
    <t>510000</t>
  </si>
  <si>
    <t>556000</t>
  </si>
  <si>
    <t>557000</t>
  </si>
  <si>
    <t>560000</t>
  </si>
  <si>
    <t>561300</t>
  </si>
  <si>
    <t>561500</t>
  </si>
  <si>
    <t>566000</t>
  </si>
  <si>
    <t>569100</t>
  </si>
  <si>
    <t>903002</t>
  </si>
  <si>
    <t>905000</t>
  </si>
  <si>
    <t>909000</t>
  </si>
  <si>
    <t>920000</t>
  </si>
  <si>
    <t>921000</t>
  </si>
  <si>
    <t>923000</t>
  </si>
  <si>
    <t>925000</t>
  </si>
  <si>
    <t>926000</t>
  </si>
  <si>
    <t>930200</t>
  </si>
  <si>
    <t>931000</t>
  </si>
  <si>
    <t>930.2 - Misc. General Expense</t>
  </si>
  <si>
    <t>931 - Rents</t>
  </si>
  <si>
    <t>Re-Organization Costs-Federal</t>
  </si>
  <si>
    <t>Re-Organization Costs - State</t>
  </si>
  <si>
    <t>MISO cost deferral account 1823MD.</t>
  </si>
  <si>
    <t>456136 - Short Term Firm Transm Revenue</t>
  </si>
  <si>
    <t>456137 - Long Term Firm Transm Revenue</t>
  </si>
  <si>
    <t>456138 - Non Firm Transm Revenue</t>
  </si>
  <si>
    <t>456141 - MISO Sch 41 Stm Securitization</t>
  </si>
  <si>
    <t>Notes:</t>
  </si>
  <si>
    <t>456003 - MISO Mkt Sch 11 Wholesale Dist</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</si>
  <si>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</si>
  <si>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</si>
  <si>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</si>
  <si>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</si>
  <si>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</si>
  <si>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</si>
  <si>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</si>
  <si>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</si>
  <si>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</si>
  <si>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</si>
  <si>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</si>
  <si>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</si>
  <si>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</si>
  <si>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</si>
  <si>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</si>
  <si>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</si>
  <si>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</si>
  <si>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</si>
  <si>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</si>
  <si>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</si>
  <si>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</si>
  <si>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</si>
  <si>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</si>
  <si>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</si>
  <si>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</si>
  <si>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</si>
  <si>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</si>
  <si>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</si>
  <si>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</si>
  <si>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</si>
  <si>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</si>
  <si>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</si>
  <si>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</si>
  <si>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</si>
  <si>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</si>
  <si>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</si>
  <si>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</si>
  <si>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</si>
  <si>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</si>
  <si>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</si>
  <si>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</si>
  <si>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</si>
  <si>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</si>
  <si>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</si>
  <si>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</si>
  <si>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</si>
  <si>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</si>
  <si>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</si>
  <si>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</si>
  <si>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</si>
  <si>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</si>
  <si>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</si>
  <si>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</si>
  <si>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</si>
  <si>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</si>
  <si>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</si>
  <si>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</si>
  <si>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</si>
  <si>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</si>
  <si>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</si>
  <si>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</si>
  <si>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</si>
  <si>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</si>
  <si>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</si>
  <si>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</si>
  <si>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</si>
  <si>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</si>
  <si>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</si>
  <si>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</si>
  <si>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</si>
  <si>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</si>
  <si>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</si>
  <si>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</si>
  <si>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</si>
  <si>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</si>
  <si>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</si>
  <si>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</si>
  <si>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</si>
  <si>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</si>
  <si>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</si>
  <si>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</si>
  <si>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</si>
  <si>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</si>
  <si>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</si>
  <si>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</si>
  <si>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</si>
  <si>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</si>
  <si>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</si>
  <si>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</si>
  <si>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</si>
  <si>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</si>
  <si>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</si>
  <si>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</si>
  <si>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</si>
  <si>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</si>
  <si>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</si>
  <si>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</si>
  <si>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</si>
  <si>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</si>
  <si>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</si>
  <si>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</si>
  <si>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</si>
  <si>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</si>
  <si>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</si>
  <si>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</si>
  <si>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</si>
  <si>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</si>
  <si>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</si>
  <si>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</si>
  <si>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</si>
  <si>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</si>
  <si>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</si>
  <si>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</si>
  <si>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</si>
  <si>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</si>
  <si>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</si>
  <si>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</si>
  <si>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</si>
  <si>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</si>
  <si>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Subtotal ADIT</t>
  </si>
  <si>
    <t>Gas, Prod Or Other Related</t>
  </si>
  <si>
    <t>Transmission Only Related</t>
  </si>
  <si>
    <t>True-Up: Average Beginning of Year and End of Year</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</si>
  <si>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</si>
  <si>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</si>
  <si>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</si>
  <si>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</si>
  <si>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</si>
  <si>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</si>
  <si>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</si>
  <si>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</si>
  <si>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</si>
  <si>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</si>
  <si>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</si>
  <si>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</si>
  <si>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</si>
  <si>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</si>
  <si>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</si>
  <si>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</si>
  <si>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 xml:space="preserve"> J</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</si>
  <si>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</si>
  <si>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</si>
  <si>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</si>
  <si>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</si>
  <si>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</si>
  <si>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</si>
  <si>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</si>
  <si>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</si>
  <si>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</si>
  <si>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</si>
  <si>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</si>
  <si>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</si>
  <si>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</si>
  <si>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</si>
  <si>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</si>
  <si>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</si>
  <si>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</si>
  <si>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</si>
  <si>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</si>
  <si>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</si>
  <si>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</si>
  <si>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</si>
  <si>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</si>
  <si>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True Up</t>
  </si>
  <si>
    <t>Income Tax Adjustments</t>
  </si>
  <si>
    <t>Total General &amp; Intangible Accumulated Depreciation</t>
  </si>
  <si>
    <t>Transmission O&amp;M (EOY)</t>
  </si>
  <si>
    <t>Allocated General Expenses (EOY)</t>
  </si>
  <si>
    <t>Adjusted A&amp;G</t>
  </si>
  <si>
    <t>Depreciation Expense (EOY)</t>
  </si>
  <si>
    <t>p336.7.f</t>
  </si>
  <si>
    <t>p336.10.f</t>
  </si>
  <si>
    <t>p336.1.f</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</si>
  <si>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</si>
  <si>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</si>
  <si>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</si>
  <si>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</si>
  <si>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</si>
  <si>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</si>
  <si>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</si>
  <si>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</si>
  <si>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</si>
  <si>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</si>
  <si>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</si>
  <si>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</si>
  <si>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</si>
  <si>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</si>
  <si>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</si>
  <si>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</si>
  <si>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Other FERC Transmission Dockets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</si>
  <si>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</si>
  <si>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</si>
  <si>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</si>
  <si>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</si>
  <si>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</si>
  <si>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</si>
  <si>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</si>
  <si>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</si>
  <si>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</si>
  <si>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</si>
  <si>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</si>
  <si>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</si>
  <si>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</si>
  <si>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</si>
  <si>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</si>
  <si>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</si>
  <si>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</si>
  <si>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</si>
  <si>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</si>
  <si>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</si>
  <si>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</si>
  <si>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</si>
  <si>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</si>
  <si>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</si>
  <si>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</si>
  <si>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</si>
  <si>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</si>
  <si>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</si>
  <si>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</si>
  <si>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</si>
  <si>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</si>
  <si>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</si>
  <si>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</si>
  <si>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</si>
  <si>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</si>
  <si>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</si>
  <si>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</si>
  <si>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</si>
  <si>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</si>
  <si>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</si>
  <si>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</si>
  <si>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</si>
  <si>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</si>
  <si>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</si>
  <si>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p.219.26c</t>
  </si>
  <si>
    <t>p.219.28c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</si>
  <si>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</si>
  <si>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</si>
  <si>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</si>
  <si>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</si>
  <si>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</si>
  <si>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p.219.20.c - 24.c</t>
  </si>
  <si>
    <t>FF</t>
  </si>
  <si>
    <t>GG</t>
  </si>
  <si>
    <t>HH</t>
  </si>
  <si>
    <t>II</t>
  </si>
  <si>
    <t>JJ</t>
  </si>
  <si>
    <t>KK</t>
  </si>
  <si>
    <t>Use 13-month average balance for both the True-Up and Projected columns.</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</si>
  <si>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</si>
  <si>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</si>
  <si>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</si>
  <si>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</si>
  <si>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</si>
  <si>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</si>
  <si>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</si>
  <si>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</si>
  <si>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</si>
  <si>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</si>
  <si>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</si>
  <si>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</si>
  <si>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</si>
  <si>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</si>
  <si>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</si>
  <si>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</si>
  <si>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</si>
  <si>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456120 - Fiber Optics (1)</t>
  </si>
  <si>
    <t>456139 - MISO Sch 9 Network</t>
  </si>
  <si>
    <t>Now is Direct Input w/ FF1 reference.</t>
  </si>
  <si>
    <t>p.214.47.d</t>
  </si>
  <si>
    <t>Less FASB 109 Above (Footnote p.234)</t>
  </si>
  <si>
    <t>Less FASB 109 p.276 &amp; 277 Footnote</t>
  </si>
  <si>
    <t>Total ADIT 283 Less FASB 109</t>
  </si>
  <si>
    <t>Related</t>
  </si>
  <si>
    <t>Depreciation Rates in this worksheet are for informational purposes only.</t>
  </si>
  <si>
    <t>The Entergy Operating Companies will not change the depreciation and amortization rates used in computing depreciation and amortization inputs to the Energy Companies’ formula rate templates unless approved by the Commission pursuant to a FPA section 205 or 206 filing.</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</si>
  <si>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</si>
  <si>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</si>
  <si>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</si>
  <si>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</si>
  <si>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</si>
  <si>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</si>
  <si>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</si>
  <si>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</si>
  <si>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</si>
  <si>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</si>
  <si>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</si>
  <si>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</si>
  <si>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</si>
  <si>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</si>
  <si>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</si>
  <si>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</si>
  <si>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</si>
  <si>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</si>
  <si>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</si>
  <si>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</si>
  <si>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</si>
  <si>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</si>
  <si>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</si>
  <si>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</si>
  <si>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</si>
  <si>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</si>
  <si>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</si>
  <si>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</si>
  <si>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</si>
  <si>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</si>
  <si>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</si>
  <si>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</si>
  <si>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</si>
  <si>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</si>
  <si>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</si>
  <si>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</si>
  <si>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</si>
  <si>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</si>
  <si>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</si>
  <si>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</si>
  <si>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</si>
  <si>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</si>
  <si>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</si>
  <si>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</si>
  <si>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</si>
  <si>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</si>
  <si>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</si>
  <si>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</si>
  <si>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</si>
  <si>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</si>
  <si>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</si>
  <si>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</si>
  <si>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</si>
  <si>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</si>
  <si>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</si>
  <si>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Radial Lines (BOY/EOY Average Used for True-Up)</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</si>
  <si>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</si>
  <si>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</si>
  <si>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</si>
  <si>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</si>
  <si>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</si>
  <si>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</si>
  <si>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Depreciation Rate</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</si>
  <si>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</si>
  <si>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</si>
  <si>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</si>
  <si>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</si>
  <si>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</si>
  <si>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</si>
  <si>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</si>
  <si>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</si>
  <si>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</si>
  <si>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</si>
  <si>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</si>
  <si>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</si>
  <si>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</si>
  <si>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</si>
  <si>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</si>
  <si>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</si>
  <si>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</si>
  <si>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</si>
  <si>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</si>
  <si>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</si>
  <si>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</si>
  <si>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</si>
  <si>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</si>
  <si>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</si>
  <si>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</si>
  <si>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</si>
  <si>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</si>
  <si>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</si>
  <si>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</si>
  <si>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</si>
  <si>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WP18 - Depreciation Rates (1) (2)</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</si>
  <si>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</si>
  <si>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</si>
  <si>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</si>
  <si>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</si>
  <si>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</si>
  <si>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</si>
  <si>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</si>
  <si>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</si>
  <si>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</si>
  <si>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</si>
  <si>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</si>
  <si>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</si>
  <si>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</si>
  <si>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</si>
  <si>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</si>
  <si>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</si>
  <si>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</si>
  <si>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</si>
  <si>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</si>
  <si>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</si>
  <si>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</si>
  <si>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Accumulated Depreciation (1)</t>
  </si>
  <si>
    <t>WP02 - Cost Support</t>
  </si>
  <si>
    <t>WP04 - 13-Month Average Plant In Service &amp; Accumulated Depreciation Balances</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</si>
  <si>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</si>
  <si>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</si>
  <si>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</si>
  <si>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</si>
  <si>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</si>
  <si>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</si>
  <si>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</si>
  <si>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</si>
  <si>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</si>
  <si>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</si>
  <si>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</si>
  <si>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</si>
  <si>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</si>
  <si>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</si>
  <si>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</si>
  <si>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</si>
  <si>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</si>
  <si>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</si>
  <si>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</si>
  <si>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</si>
  <si>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</si>
  <si>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</si>
  <si>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</si>
  <si>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</si>
  <si>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</si>
  <si>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</si>
  <si>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</si>
  <si>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</si>
  <si>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</si>
  <si>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</si>
  <si>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</si>
  <si>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</si>
  <si>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</si>
  <si>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</si>
  <si>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</si>
  <si>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</si>
  <si>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</si>
  <si>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Use average of beginning-of-year and end-of-year balances for the True-Up column.  Use end-of-year balances for Projected column.</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</si>
  <si>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</si>
  <si>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</si>
  <si>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</si>
  <si>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The components of capitalization for the Projected Rate determined in the Annual Update shall be based on end-of-year values for the historical calendar year.  The True-Up for the same historical calendar year shall be based upon 13-month average balances.</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</si>
  <si>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</si>
  <si>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</si>
  <si>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</si>
  <si>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</si>
  <si>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</si>
  <si>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</si>
  <si>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</si>
  <si>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</si>
  <si>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</si>
  <si>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</si>
  <si>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</si>
  <si>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</si>
  <si>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</si>
  <si>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</si>
  <si>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</si>
  <si>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</si>
  <si>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</si>
  <si>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</si>
  <si>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</si>
  <si>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</si>
  <si>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</si>
  <si>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</si>
  <si>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</si>
  <si>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</si>
  <si>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</si>
  <si>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</si>
  <si>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</si>
  <si>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</si>
  <si>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Other Adjustments Depreciation Expense</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</si>
  <si>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</si>
  <si>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</si>
  <si>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</si>
  <si>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</si>
  <si>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</si>
  <si>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</si>
  <si>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</si>
  <si>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</si>
  <si>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</si>
  <si>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</si>
  <si>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</si>
  <si>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</si>
  <si>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</si>
  <si>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</si>
  <si>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</si>
  <si>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</si>
  <si>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</si>
  <si>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</si>
  <si>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</si>
  <si>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</si>
  <si>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</si>
  <si>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</si>
  <si>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</si>
  <si>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</si>
  <si>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</si>
  <si>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</si>
  <si>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</si>
  <si>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</si>
  <si>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</si>
  <si>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</si>
  <si>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 xml:space="preserve">FERC Energy Regulatory Commission Annual Charges (4) </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</si>
  <si>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</si>
  <si>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</si>
  <si>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</si>
  <si>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</si>
  <si>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</si>
  <si>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</si>
  <si>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</si>
  <si>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</si>
  <si>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</si>
  <si>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</si>
  <si>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</si>
  <si>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The depreciation and amortization rates to be used for all of the Entergy Operating Companies will be the current blended depreciation and amortization rates. Entergy Services commits to make a limited Section 205 filing(s) no later than November 1, 2015, proposing updated depreciation and amortization rates for all of the Entergy Operating Companies to become effective no later than January 1, 2016. Once approved by the Commission, the updated depreciation and amortization rates will be used in the Entergy Operating Companies’ MISO Attachment O formula rates.</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</si>
  <si>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</si>
  <si>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</si>
  <si>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</si>
  <si>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</si>
  <si>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</si>
  <si>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</si>
  <si>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</si>
  <si>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t>
  </si>
  <si>
    <t>2281LB</t>
  </si>
  <si>
    <t>Securitization proceeds</t>
  </si>
  <si>
    <t>Storm Damage Reserve Lock Box</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</si>
  <si>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</si>
  <si>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</si>
  <si>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</si>
  <si>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</si>
  <si>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</si>
  <si>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</si>
  <si>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</si>
  <si>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</si>
  <si>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</si>
  <si>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566000 - Transm Misc Expenses</t>
  </si>
  <si>
    <t>560000 - Transm Oper Super &amp; Engineering</t>
  </si>
  <si>
    <t>Total  Sum Line 1 Subparts</t>
  </si>
  <si>
    <t>500000 - Steam Oper Supervision &amp; Engineering</t>
  </si>
  <si>
    <t>506000 - Steam Misc Steam Power Expenses</t>
  </si>
  <si>
    <t>511000 - Steam Maintenance Of Structures Total</t>
  </si>
  <si>
    <t>514000 - Steam Maintenance of Misc Plant</t>
  </si>
  <si>
    <t>517000 - Nuclear Operation, Supervision &amp; Engr</t>
  </si>
  <si>
    <t>524000 - Nuclear Misc Power Expenses</t>
  </si>
  <si>
    <t>554000 - Other Maint Power Generation Plant</t>
  </si>
  <si>
    <t>549000 - Other Misc Pwr Generation Expenses</t>
  </si>
  <si>
    <t>561500 - Transm System Planning &amp; Standards</t>
  </si>
  <si>
    <t>568000 - Transm Maint Supervision &amp; Engineering</t>
  </si>
  <si>
    <t>569000 - Transm Maint Of Structures</t>
  </si>
  <si>
    <t>570000 - Transm Maint Of Station Equipment</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</si>
  <si>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</si>
  <si>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</si>
  <si>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</si>
  <si>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</si>
  <si>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</si>
  <si>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</si>
  <si>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</si>
  <si>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</si>
  <si>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</si>
  <si>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</si>
  <si>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</si>
  <si>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</si>
  <si>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</si>
  <si>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</si>
  <si>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</si>
  <si>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READ ME: Cell L6 is a toggle in the Excel workbook. It switches between the Projected Rate results and the True-Up results.</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</si>
  <si>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</si>
  <si>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</si>
  <si>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</si>
  <si>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</si>
  <si>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</si>
  <si>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</si>
  <si>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</si>
  <si>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</si>
  <si>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</si>
  <si>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Credit for Transmission Customer Network Service revenues is applied in the True-Up calculation and Projected calculation.</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</si>
  <si>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</si>
  <si>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</si>
  <si>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</si>
  <si>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</si>
  <si>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</si>
  <si>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</si>
  <si>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</si>
  <si>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</si>
  <si>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</si>
  <si>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</si>
  <si>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</si>
  <si>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</si>
  <si>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</si>
  <si>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</si>
  <si>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</si>
  <si>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</si>
  <si>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</si>
  <si>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</si>
  <si>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The currently effective income tax rate,  where FIT is the Federal income tax rate; SIT is the State income tax rate, and p = "the percentage of federal income tax deductible for state income taxes".  If the utility includes taxes in more than one state, it must provide the name of each state and explain in a work paper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</si>
  <si>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</si>
  <si>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</si>
  <si>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</si>
  <si>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</si>
  <si>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Non - Payroll</t>
  </si>
  <si>
    <t xml:space="preserve">D </t>
  </si>
  <si>
    <t>5612BA</t>
  </si>
  <si>
    <t>456010 - Misc Rec - Ouachita Upgrades</t>
  </si>
  <si>
    <t>4560MS - Third Party Sales of Inventory</t>
  </si>
  <si>
    <t>456147 - MISO Sch 47 Transition Cost Rec</t>
  </si>
  <si>
    <t>4561A9 - AECC MISO Sch 9 Network</t>
  </si>
  <si>
    <t>Payroll Loading</t>
  </si>
  <si>
    <t>Entergy Services, Inc. 408155 Franchise Tax-Misc  (Ln 4)</t>
  </si>
  <si>
    <t>A positive result when subtracted in Appendix A or MISO Cover will lower O&amp;M.  A negative result will increase O&amp;M.</t>
  </si>
  <si>
    <t>Pp Taxes-Regulatory Commis.</t>
  </si>
  <si>
    <t>Prepaid Insurance</t>
  </si>
  <si>
    <t>Prepaid Ins Directors&amp;Officers</t>
  </si>
  <si>
    <t>Prepaid Dues to EEI</t>
  </si>
  <si>
    <t>165603</t>
  </si>
  <si>
    <t>PPD IQNavigator, Inc</t>
  </si>
  <si>
    <t>Prepaid Rent Expense</t>
  </si>
  <si>
    <t>PrePaid Designated Servic-SAIC</t>
  </si>
  <si>
    <t>282907</t>
  </si>
  <si>
    <t>Unit of Property Ded-Trans-Fed</t>
  </si>
  <si>
    <t>Units of Property Deduction - transmission</t>
  </si>
  <si>
    <t>282908</t>
  </si>
  <si>
    <t>Unit of Property Ded-Trans-St</t>
  </si>
  <si>
    <t>283902</t>
  </si>
  <si>
    <t>263A Method Change - State</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</si>
  <si>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</si>
  <si>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</si>
  <si>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</si>
  <si>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</si>
  <si>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</si>
  <si>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</si>
  <si>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</si>
  <si>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</si>
  <si>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</si>
  <si>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</si>
  <si>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</si>
  <si>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</si>
  <si>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</si>
  <si>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</si>
  <si>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</si>
  <si>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163000</t>
  </si>
  <si>
    <t>184001</t>
  </si>
  <si>
    <t>417100</t>
  </si>
  <si>
    <t>561200</t>
  </si>
  <si>
    <t>568000</t>
  </si>
  <si>
    <t>580000</t>
  </si>
  <si>
    <t>586000</t>
  </si>
  <si>
    <t>588000</t>
  </si>
  <si>
    <t>592000</t>
  </si>
  <si>
    <t>903001</t>
  </si>
  <si>
    <t>907000</t>
  </si>
  <si>
    <t>Transmission O&amp;M Excluding Account 561 (Accounts 560 through 574)</t>
  </si>
  <si>
    <t>Production O&amp;M (Accounts 500 - 557)</t>
  </si>
  <si>
    <t>Entergy is not seeking recovery at FERC of the EGSL and ELL merger expenses that are reflected in FERC Form 1 amounts.</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</si>
  <si>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</si>
  <si>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</si>
  <si>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</si>
  <si>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</si>
  <si>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</si>
  <si>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</si>
  <si>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</si>
  <si>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</si>
  <si>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</si>
  <si>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</si>
  <si>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</si>
  <si>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</si>
  <si>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</si>
  <si>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</si>
  <si>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</si>
  <si>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</si>
  <si>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</si>
  <si>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</si>
  <si>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</si>
  <si>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</si>
  <si>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</si>
  <si>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</si>
  <si>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</si>
  <si>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</si>
  <si>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</si>
  <si>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</si>
  <si>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</si>
  <si>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</si>
  <si>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</si>
  <si>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</si>
  <si>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</si>
  <si>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</si>
  <si>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</si>
  <si>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</si>
  <si>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</si>
  <si>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</si>
  <si>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</si>
  <si>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</si>
  <si>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</si>
  <si>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</si>
  <si>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</si>
  <si>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</si>
  <si>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</si>
  <si>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</si>
  <si>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</si>
  <si>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</si>
  <si>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FF1 p321 Sum Lines 85 to 92 Column B</t>
  </si>
  <si>
    <t>Imputed True-Up Year Revenues</t>
  </si>
  <si>
    <t>Total Imputed True-Up Year Revenues</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</si>
  <si>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</si>
  <si>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Net RTO/MISO related Start-Up costs recorded in True-Up Year</t>
  </si>
  <si>
    <t>WP01 True-Up: Interest &amp; Amortization for Attachment O Transmission Revenue Requirement Over/Under Collection Balance (1)</t>
  </si>
  <si>
    <t>Plus Account 565 - Transmission Equalization Payments to Associated Companies</t>
  </si>
  <si>
    <t xml:space="preserve"> FF1 p332.h</t>
  </si>
  <si>
    <t>This highlighted area will NOT be included in the filed templates or off to the side for Excel docs that are provided.</t>
  </si>
  <si>
    <t>ADIT net of FASB 109 Allocated to Transmission</t>
  </si>
  <si>
    <t>Attachment O-ENOI</t>
  </si>
  <si>
    <t>WP AJ4 - EGSL &amp; ELL Merger Costs (1) (2)</t>
  </si>
  <si>
    <t>Gulf Outlet 69Kv Loop - TLA - ENOI - 0081</t>
  </si>
  <si>
    <t>NOP - 0081</t>
  </si>
  <si>
    <t>165005</t>
  </si>
  <si>
    <t>Pp Taxes - Corp Franch Tax</t>
  </si>
  <si>
    <t>165520</t>
  </si>
  <si>
    <t>Ad Valorem Taxes</t>
  </si>
  <si>
    <t>Intrst/Tax-Tax Deficienci-Fed</t>
  </si>
  <si>
    <t>Intrst/Tax-Tax Deficienci-St</t>
  </si>
  <si>
    <t>190165</t>
  </si>
  <si>
    <t>Syst Agrmt Equal Reg Liab-Fed</t>
  </si>
  <si>
    <t>190166</t>
  </si>
  <si>
    <t>Sys Agrmt Equal Reg Liab-State</t>
  </si>
  <si>
    <t>190181</t>
  </si>
  <si>
    <t>Contrib In Aid Of Constr-Fed</t>
  </si>
  <si>
    <t>190182</t>
  </si>
  <si>
    <t>Contrib In Aid Of Constr-St</t>
  </si>
  <si>
    <t>Customer Depsoits-State</t>
  </si>
  <si>
    <t>Fas 106 Other Retire Ben-Fed</t>
  </si>
  <si>
    <t>Fas 106 Other Retire Ben-State</t>
  </si>
  <si>
    <t>190341</t>
  </si>
  <si>
    <t>Accrued Dues &amp; Contrib-Fed</t>
  </si>
  <si>
    <t>190342</t>
  </si>
  <si>
    <t>Accrued Dues &amp; Contr-St</t>
  </si>
  <si>
    <t>190416</t>
  </si>
  <si>
    <t>Lease - Rental Expense - St</t>
  </si>
  <si>
    <t>190443</t>
  </si>
  <si>
    <t>Waste Site Clean Up Costs Fed</t>
  </si>
  <si>
    <t>190444</t>
  </si>
  <si>
    <t>Waste Site Clean Up Cost State</t>
  </si>
  <si>
    <t>190463</t>
  </si>
  <si>
    <t>Bldg S/L Tax Gain-Fed</t>
  </si>
  <si>
    <t>190464</t>
  </si>
  <si>
    <t>Bldg S/L Tax Gain-State</t>
  </si>
  <si>
    <t>Stock Options Excerised-St</t>
  </si>
  <si>
    <t>Deferred Director'S Fees-Fed</t>
  </si>
  <si>
    <t>Deferred Director'S Fees-St</t>
  </si>
  <si>
    <t>Sale Of Epa Allowances - Fed</t>
  </si>
  <si>
    <t>Sale Of Epa Allowances - St</t>
  </si>
  <si>
    <t>190613</t>
  </si>
  <si>
    <t>190614</t>
  </si>
  <si>
    <t>190984</t>
  </si>
  <si>
    <t>ADIT-NOL C/F-State-Non-current</t>
  </si>
  <si>
    <t xml:space="preserve">Accrued interest on tax deficiencies - FIN48 accrued interest. </t>
  </si>
  <si>
    <t>This represents the inclusion in taxable income of system agreement rough production cost equalization payments received.</t>
  </si>
  <si>
    <t>CIAC is related to plant.</t>
  </si>
  <si>
    <t>Timing difference for rent expense.</t>
  </si>
  <si>
    <t>This represents the elimination of book expenses for the future clean up of hazardous waste at various locations.  These costs are not deductible for tax purposes until actually incurred. (Account 242U95)</t>
  </si>
  <si>
    <t>Market Street Sale</t>
  </si>
  <si>
    <t>FERC account 229 - Accum provision for rate refund and 242010 Undistributed refunds not deducted for tax.</t>
  </si>
  <si>
    <t>Employee Benefit - account 232008</t>
  </si>
  <si>
    <t>Employee Benefit - account 232009</t>
  </si>
  <si>
    <t>Federal Net Operating Loss carryforward is related to all tax deductions including bonus tax depreciation</t>
  </si>
  <si>
    <t>State Net Operating Loss carryforward is related to all tax deductions including bonus tax depreciation</t>
  </si>
  <si>
    <t>Employee tax credit carryforwards.</t>
  </si>
  <si>
    <t>Alternative Minimum tax credit carryforwards caused by a preference on tax depreciation.</t>
  </si>
  <si>
    <t>Federal ADIT on state tax accruals is related to net operating loss carryforward.</t>
  </si>
  <si>
    <t>282123</t>
  </si>
  <si>
    <t>Insurance Federal</t>
  </si>
  <si>
    <t>282124</t>
  </si>
  <si>
    <t>Insurance State</t>
  </si>
  <si>
    <t>282171</t>
  </si>
  <si>
    <t>Interest Cap - Afdc - Fed</t>
  </si>
  <si>
    <t>282172</t>
  </si>
  <si>
    <t>Interest Cap - Afdc - State</t>
  </si>
  <si>
    <t>282469</t>
  </si>
  <si>
    <t>Comm Dev Block Grant-Federal</t>
  </si>
  <si>
    <t>282470</t>
  </si>
  <si>
    <t>Comm Dev Block Grant-State</t>
  </si>
  <si>
    <t>Units of Production Ded - State</t>
  </si>
  <si>
    <t>282905</t>
  </si>
  <si>
    <t>282906</t>
  </si>
  <si>
    <t>Deferred Storm Costs &amp; prefunded insurance reserve.</t>
  </si>
  <si>
    <t>ADIT on account 128312.</t>
  </si>
  <si>
    <t>Regulatory Asset</t>
  </si>
  <si>
    <t>283111</t>
  </si>
  <si>
    <t>Deferred Fuel/Gas - Fed</t>
  </si>
  <si>
    <t>283112</t>
  </si>
  <si>
    <t>Deferred Fuel/Gas - State</t>
  </si>
  <si>
    <t>283157</t>
  </si>
  <si>
    <t>283158</t>
  </si>
  <si>
    <t>283175</t>
  </si>
  <si>
    <t>Michoud Plant Outage-Fed</t>
  </si>
  <si>
    <t>283176</t>
  </si>
  <si>
    <t>Michoud Plant Outage-St</t>
  </si>
  <si>
    <t>283227</t>
  </si>
  <si>
    <t>Y2K Costs Deferral - Fed</t>
  </si>
  <si>
    <t>283228</t>
  </si>
  <si>
    <t>Y2K Costs Deferral - State</t>
  </si>
  <si>
    <t>283245</t>
  </si>
  <si>
    <t>Distribution Maintenance - Fed</t>
  </si>
  <si>
    <t>283246</t>
  </si>
  <si>
    <t>Distribution Maintenance - St</t>
  </si>
  <si>
    <t>283249</t>
  </si>
  <si>
    <t>Deferred Storm Costs - Federal</t>
  </si>
  <si>
    <t>283250</t>
  </si>
  <si>
    <t>Deferred Storm costs - State</t>
  </si>
  <si>
    <t>283347</t>
  </si>
  <si>
    <t>Insurance Escrow-Fed</t>
  </si>
  <si>
    <t>283348</t>
  </si>
  <si>
    <t>Insurance Escrow-State</t>
  </si>
  <si>
    <t>283349</t>
  </si>
  <si>
    <t>Reg Asset-Storm Costs-Fed</t>
  </si>
  <si>
    <t>283350</t>
  </si>
  <si>
    <t>Reg Asset-Storm Costs-State</t>
  </si>
  <si>
    <t>Deferred O&amp;M Storm Amortization</t>
  </si>
  <si>
    <t>p. 335.13.b</t>
  </si>
  <si>
    <t>p.219.25c</t>
  </si>
  <si>
    <t>p.207.58g</t>
  </si>
  <si>
    <t>Entergy New Orleans, Inc.</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</si>
  <si>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</si>
  <si>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5.  Deferred income taxes arise when items are included in taxable income in different periods than they are included in rates, therefore if the item giving rise to the ADIT is not included in the formula, the associated ADIT amount shall be excluded.</t>
  </si>
  <si>
    <t>WP AJ1 - RTO/MISO Start-up Costs (1) (4)</t>
  </si>
  <si>
    <t>MISO Cover</t>
  </si>
  <si>
    <t xml:space="preserve">Attachment O Revenues for True-up purposes are those Bundled Load Exemption, Network, and Long-Term Firm revenues whose demands are summed in the peak demand calculations and are the denominator in the Point-to-Point rate calculation. </t>
  </si>
  <si>
    <t>Total ADIT- 282 Less FASB 109 Above</t>
  </si>
  <si>
    <t>B=C+D+E+F</t>
  </si>
  <si>
    <t>F=G+H</t>
  </si>
  <si>
    <t>456142 - MISO Sch 42 Int/AFUDC Amort (6)</t>
  </si>
  <si>
    <t>Sum of (MISO Schedule 42a Revenue + MISO Schedule 42b Revenue) = Account 456142</t>
  </si>
  <si>
    <t>The combined Entergy Gulf States, L.L.C., Entergy Louisiana, LLC and Entergy New Orleans, Inc. loads will be reported in the Entergy Louisiana, LLC Attachment O.</t>
  </si>
  <si>
    <t>Added 2014</t>
  </si>
  <si>
    <t>Added 2013</t>
  </si>
  <si>
    <t>Gas Distribution</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</si>
  <si>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</si>
  <si>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</si>
  <si>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t>
    </r>
    <r>
      <rPr>
        <sz val="12"/>
        <rFont val="Arial"/>
        <family val="2"/>
      </rPr>
      <t xml:space="preserve"> facilities constructed or purchased by Entergy on or after March 15, 2000 (FERC Order 2003: Docket RM02-1-000, Issued July 24, 2003, page 154).</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</si>
  <si>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</si>
  <si>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</si>
  <si>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</si>
  <si>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</si>
  <si>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</si>
  <si>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</si>
  <si>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</si>
  <si>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F (6)</t>
  </si>
  <si>
    <t>G (7)</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</si>
  <si>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</si>
  <si>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</si>
  <si>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</si>
  <si>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</si>
  <si>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</si>
  <si>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</si>
  <si>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True-up with Interest</t>
  </si>
  <si>
    <t>Contiguous</t>
  </si>
  <si>
    <t>Appendix A True-up Column Line 193</t>
  </si>
  <si>
    <t>ROE of 12.38% is subject to change consistent with the outcome of Docket Nos. EL14-12 and EL15-45, a final order concerning the ROE issue raised in MDEA v. FERC, (D.C. Circuit Case No. 14-1030), and otherwise subject to change pursuant to a FPA section 205 or 206 proceeding, and may include the 50 basis point RTO adder, if applicable.</t>
  </si>
  <si>
    <t>A/C 2281 Storm Reserve Accrual Reclassification To Transm. O&amp;M</t>
  </si>
  <si>
    <t>A/C 2281 Storm Reserve Accrual Reclassification</t>
  </si>
  <si>
    <t>Total Transmission O&amp;M (Line 7 + Line 8)</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</si>
  <si>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</si>
  <si>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</si>
  <si>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</si>
  <si>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</si>
  <si>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t>EGSL/ELL Merger Expense Adjustment          (Enter as Negative)</t>
  </si>
  <si>
    <t>ITC Transaction Costs Not Charged to Customers   (Enter as Negative)</t>
  </si>
  <si>
    <t>EGSL/ELL Merger Expense Adjustment               (Enter as Negative)</t>
  </si>
  <si>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</si>
  <si>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</si>
  <si>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</si>
  <si>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AJ 3 - This Page Left Blank Intentionally</t>
  </si>
  <si>
    <t xml:space="preserve"> N/A</t>
  </si>
  <si>
    <t>DO NOT PRINT</t>
  </si>
  <si>
    <t>Agreement with Joint Customers and MISO to complete the Description of the Group on the Blank Template and to leave Col C highlighted because the Group could change</t>
  </si>
  <si>
    <t xml:space="preserve">Agreed to insert the reference in Col H of the Blank Template for A/Cs 930.2 &amp; 928 and to leave the cells highlighted because the reference could change </t>
  </si>
  <si>
    <t>For  the 12 Months Ended 12/31/2014</t>
  </si>
  <si>
    <t>Occupational License</t>
  </si>
  <si>
    <t>Corporate Franchise</t>
  </si>
  <si>
    <t>State Use Franchise</t>
  </si>
  <si>
    <t>263.04.i</t>
  </si>
  <si>
    <t>263.02.i</t>
  </si>
  <si>
    <t>263.03.i</t>
  </si>
  <si>
    <t>263.05.i</t>
  </si>
  <si>
    <t>263.12.i</t>
  </si>
  <si>
    <t>263.09.i</t>
  </si>
  <si>
    <t>263.15.i</t>
  </si>
  <si>
    <t>263.14.i</t>
  </si>
  <si>
    <t>263.19.i</t>
  </si>
  <si>
    <t>Note (7)</t>
  </si>
  <si>
    <t>263.29.i</t>
  </si>
  <si>
    <t>263.18.i</t>
  </si>
  <si>
    <t>263.10.i</t>
  </si>
  <si>
    <t>263.16.i</t>
  </si>
  <si>
    <t>263.26.i</t>
  </si>
  <si>
    <t>In compliance with the Offer of</t>
  </si>
  <si>
    <r>
      <t>Partial Settlement filed with</t>
    </r>
    <r>
      <rPr>
        <sz val="11"/>
        <color rgb="FF002060"/>
        <rFont val="Arial"/>
        <family val="2"/>
      </rPr>
      <t xml:space="preserve">  </t>
    </r>
  </si>
  <si>
    <r>
      <t>FERC on July 31, 2015 in Docket</t>
    </r>
    <r>
      <rPr>
        <sz val="11"/>
        <color rgb="FF002060"/>
        <rFont val="Arial"/>
        <family val="2"/>
      </rPr>
      <t xml:space="preserve">  </t>
    </r>
  </si>
  <si>
    <r>
      <t xml:space="preserve">No. 13-948, </t>
    </r>
    <r>
      <rPr>
        <i/>
        <sz val="11"/>
        <color rgb="FF002060"/>
        <rFont val="Arial"/>
        <family val="2"/>
      </rPr>
      <t>et.al.,</t>
    </r>
    <r>
      <rPr>
        <sz val="11"/>
        <color rgb="FF002060"/>
        <rFont val="Arial"/>
        <family val="2"/>
      </rPr>
      <t xml:space="preserve"> this workpaper  </t>
    </r>
  </si>
  <si>
    <t>is not being populated as the</t>
  </si>
  <si>
    <t xml:space="preserve">2014 refunds/surcharges will be </t>
  </si>
  <si>
    <t xml:space="preserve">calculated and billed by MISO for </t>
  </si>
  <si>
    <t>the period December 19, 2013 to</t>
  </si>
  <si>
    <t>December 31, 2014.  This</t>
  </si>
  <si>
    <t>workpaper will be populated for</t>
  </si>
  <si>
    <t>the 2015 Rate Year and</t>
  </si>
  <si>
    <t>succeeding rate years.</t>
  </si>
  <si>
    <t xml:space="preserve">Attachment O </t>
  </si>
  <si>
    <t>Explanatory Statements</t>
  </si>
  <si>
    <t>WP01 True-Up</t>
  </si>
  <si>
    <t>In compliance with the Offer of Partial Settlement filed with FERC on July 31, 2015 in Docket No. 13-948, et.al., this workpaper is not being populated as the 2014 refunds/surcharges will be calculated and billed by MISO for the period December 19, 2013 to December 31, 2014.  This workpaper will be populated for the 2015 Rate Year and succeeding rate years.</t>
  </si>
  <si>
    <t>WP04 Accumulated Depreciation Lines 23-37, Column H</t>
  </si>
  <si>
    <t>Accumulated Depreciation for Supplemental Upgrades is not used in the determination of the Attachment O Net Revenue Requirement.  This data is not readily available in the Company’s property accounting system.  In the process of preparing the Attachment O, this information was not requested for the 12 months ended 12/31/14.  In the future the Company will provide values for Supplemental Upgrades Accumulated Depreciation for informational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</si>
</sst>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0.0000000000000000000"/>
  </numFmts>
  <fonts count="15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b/>
      <sz val="10"/>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sz val="10"/>
      <name val="Arial"/>
      <family val="2"/>
    </font>
    <font>
      <b/>
      <strike/>
      <u val="singleAccounting"/>
      <sz val="10"/>
      <color theme="1"/>
      <name val="Arial"/>
      <family val="2"/>
    </font>
    <font>
      <b/>
      <strike/>
      <u val="singleAccounting"/>
      <sz val="10"/>
      <name val="Arial"/>
      <family val="2"/>
    </font>
    <font>
      <sz val="10.8"/>
      <name val="Arial"/>
      <family val="2"/>
    </font>
    <font>
      <strike/>
      <u val="singleAccounting"/>
      <sz val="10"/>
      <name val="Arial"/>
      <family val="2"/>
    </font>
    <font>
      <b/>
      <sz val="11"/>
      <color rgb="FF002060"/>
      <name val="Arial"/>
      <family val="2"/>
    </font>
    <font>
      <sz val="11"/>
      <color rgb="FF002060"/>
      <name val="Arial"/>
      <family val="2"/>
    </font>
    <font>
      <i/>
      <sz val="11"/>
      <color rgb="FF002060"/>
      <name val="Arial"/>
      <family val="2"/>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59999389629810485"/>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7701">
    <xf numFmtId="0" fontId="0" fillId="0" borderId="0"/>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66" fillId="14" borderId="0" applyNumberFormat="0" applyBorder="0" applyAlignment="0" applyProtection="0"/>
    <xf numFmtId="0" fontId="66" fillId="4" borderId="0" applyNumberFormat="0" applyBorder="0" applyAlignment="0" applyProtection="0"/>
    <xf numFmtId="0" fontId="66" fillId="11"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21" borderId="0" applyNumberFormat="0" applyBorder="0" applyAlignment="0" applyProtection="0"/>
    <xf numFmtId="0" fontId="67" fillId="5" borderId="0" applyNumberFormat="0" applyBorder="0" applyAlignment="0" applyProtection="0"/>
    <xf numFmtId="0" fontId="87" fillId="0" borderId="0" applyNumberFormat="0" applyFill="0" applyBorder="0" applyAlignment="0" applyProtection="0"/>
    <xf numFmtId="0" fontId="74" fillId="12" borderId="1" applyNumberFormat="0" applyAlignment="0" applyProtection="0"/>
    <xf numFmtId="0" fontId="68" fillId="22" borderId="2" applyNumberFormat="0" applyAlignment="0" applyProtection="0"/>
    <xf numFmtId="172" fontId="61" fillId="0" borderId="0">
      <alignment horizontal="center" wrapText="1"/>
    </xf>
    <xf numFmtId="43" fontId="35" fillId="0" borderId="0" applyFont="0" applyFill="0" applyBorder="0" applyAlignment="0" applyProtection="0"/>
    <xf numFmtId="178" fontId="88" fillId="0" borderId="0"/>
    <xf numFmtId="178" fontId="88" fillId="0" borderId="0"/>
    <xf numFmtId="178" fontId="88" fillId="0" borderId="0"/>
    <xf numFmtId="178" fontId="88" fillId="0" borderId="0"/>
    <xf numFmtId="178" fontId="88" fillId="0" borderId="0"/>
    <xf numFmtId="178" fontId="88" fillId="0" borderId="0"/>
    <xf numFmtId="178" fontId="88" fillId="0" borderId="0"/>
    <xf numFmtId="178" fontId="88" fillId="0" borderId="0"/>
    <xf numFmtId="41" fontId="55" fillId="0" borderId="0" applyFont="0" applyFill="0" applyBorder="0" applyAlignment="0" applyProtection="0"/>
    <xf numFmtId="41" fontId="5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96" fillId="0" borderId="0" applyFont="0" applyFill="0" applyBorder="0" applyAlignment="0" applyProtection="0"/>
    <xf numFmtId="43" fontId="4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3" fontId="35" fillId="23" borderId="0" applyFont="0" applyFill="0" applyBorder="0" applyAlignment="0" applyProtection="0"/>
    <xf numFmtId="0" fontId="89" fillId="0" borderId="0"/>
    <xf numFmtId="0" fontId="35" fillId="0" borderId="3"/>
    <xf numFmtId="173" fontId="39" fillId="0" borderId="0">
      <protection locked="0"/>
    </xf>
    <xf numFmtId="44" fontId="35" fillId="0" borderId="0" applyFont="0" applyFill="0" applyBorder="0" applyAlignment="0" applyProtection="0"/>
    <xf numFmtId="179" fontId="35" fillId="0" borderId="0" applyFont="0" applyFill="0" applyBorder="0" applyAlignment="0" applyProtection="0"/>
    <xf numFmtId="180" fontId="90" fillId="0" borderId="0" applyFont="0" applyFill="0" applyBorder="0" applyAlignment="0" applyProtection="0"/>
    <xf numFmtId="44" fontId="4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55" fillId="0" borderId="0" applyFont="0" applyFill="0" applyBorder="0" applyAlignment="0" applyProtection="0"/>
    <xf numFmtId="5" fontId="35" fillId="23" borderId="0" applyFont="0" applyFill="0" applyBorder="0" applyAlignment="0" applyProtection="0"/>
    <xf numFmtId="0" fontId="35" fillId="23" borderId="0" applyFont="0" applyFill="0" applyBorder="0" applyAlignment="0" applyProtection="0"/>
    <xf numFmtId="0" fontId="69" fillId="0" borderId="0" applyNumberFormat="0" applyFill="0" applyBorder="0" applyAlignment="0" applyProtection="0"/>
    <xf numFmtId="2" fontId="35" fillId="23" borderId="0" applyFont="0" applyFill="0" applyBorder="0" applyAlignment="0" applyProtection="0"/>
    <xf numFmtId="0" fontId="40" fillId="0" borderId="0">
      <alignment horizontal="left"/>
    </xf>
    <xf numFmtId="164" fontId="90" fillId="0" borderId="0" applyFont="0" applyFill="0" applyBorder="0" applyAlignment="0" applyProtection="0"/>
    <xf numFmtId="181" fontId="35" fillId="0" borderId="0" applyFont="0" applyFill="0" applyBorder="0" applyAlignment="0" applyProtection="0">
      <alignment horizontal="center"/>
    </xf>
    <xf numFmtId="164" fontId="90" fillId="0" borderId="0" applyFont="0" applyFill="0" applyBorder="0" applyAlignment="0" applyProtection="0"/>
    <xf numFmtId="0" fontId="75" fillId="7" borderId="0" applyNumberFormat="0" applyBorder="0" applyAlignment="0" applyProtection="0"/>
    <xf numFmtId="38" fontId="58" fillId="24" borderId="0" applyNumberFormat="0" applyBorder="0" applyAlignment="0" applyProtection="0"/>
    <xf numFmtId="0" fontId="91" fillId="0" borderId="4">
      <alignment horizontal="left"/>
    </xf>
    <xf numFmtId="0" fontId="37" fillId="0" borderId="5" applyNumberFormat="0" applyAlignment="0" applyProtection="0">
      <alignment horizontal="left" vertical="center"/>
    </xf>
    <xf numFmtId="0" fontId="37" fillId="0" borderId="6">
      <alignment horizontal="left" vertical="center"/>
    </xf>
    <xf numFmtId="14" fontId="36" fillId="25" borderId="7">
      <alignment horizontal="center" vertical="center" wrapText="1"/>
    </xf>
    <xf numFmtId="0" fontId="76" fillId="0" borderId="8" applyNumberFormat="0" applyFill="0" applyAlignment="0" applyProtection="0"/>
    <xf numFmtId="0" fontId="77" fillId="0" borderId="9" applyNumberFormat="0" applyFill="0" applyAlignment="0" applyProtection="0"/>
    <xf numFmtId="0" fontId="78" fillId="0" borderId="10"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10" fontId="58" fillId="26" borderId="11" applyNumberFormat="0" applyBorder="0" applyAlignment="0" applyProtection="0"/>
    <xf numFmtId="0" fontId="70" fillId="8" borderId="1" applyNumberFormat="0" applyAlignment="0" applyProtection="0"/>
    <xf numFmtId="174" fontId="39" fillId="0" borderId="0">
      <alignment horizontal="center"/>
      <protection locked="0"/>
    </xf>
    <xf numFmtId="0" fontId="80" fillId="0" borderId="12" applyNumberFormat="0" applyFill="0" applyAlignment="0" applyProtection="0"/>
    <xf numFmtId="0" fontId="81" fillId="27" borderId="0" applyNumberFormat="0" applyBorder="0" applyAlignment="0" applyProtection="0"/>
    <xf numFmtId="37" fontId="92" fillId="0" borderId="0"/>
    <xf numFmtId="182" fontId="93" fillId="0" borderId="0"/>
    <xf numFmtId="0" fontId="33" fillId="0" borderId="0"/>
    <xf numFmtId="0" fontId="35" fillId="0" borderId="0"/>
    <xf numFmtId="0" fontId="35" fillId="0" borderId="0"/>
    <xf numFmtId="0" fontId="35" fillId="0" borderId="0"/>
    <xf numFmtId="0" fontId="35" fillId="0" borderId="0"/>
    <xf numFmtId="0" fontId="33" fillId="0" borderId="0"/>
    <xf numFmtId="0" fontId="35" fillId="0" borderId="0"/>
    <xf numFmtId="0" fontId="32" fillId="0" borderId="0"/>
    <xf numFmtId="0" fontId="33" fillId="0" borderId="0"/>
    <xf numFmtId="0" fontId="32" fillId="0" borderId="0"/>
    <xf numFmtId="0" fontId="32" fillId="0" borderId="0"/>
    <xf numFmtId="0" fontId="35" fillId="0" borderId="0">
      <alignment vertical="top"/>
    </xf>
    <xf numFmtId="0" fontId="35" fillId="0" borderId="0"/>
    <xf numFmtId="0" fontId="35" fillId="0" borderId="0">
      <alignment vertical="top"/>
    </xf>
    <xf numFmtId="0" fontId="32" fillId="0" borderId="0"/>
    <xf numFmtId="0" fontId="33" fillId="0" borderId="0"/>
    <xf numFmtId="0" fontId="33" fillId="0" borderId="0"/>
    <xf numFmtId="176" fontId="35" fillId="0" borderId="0"/>
    <xf numFmtId="0" fontId="32" fillId="0" borderId="0"/>
    <xf numFmtId="176" fontId="35" fillId="0" borderId="0"/>
    <xf numFmtId="0" fontId="32" fillId="0" borderId="0"/>
    <xf numFmtId="0" fontId="82" fillId="0" borderId="0"/>
    <xf numFmtId="0" fontId="35" fillId="0" borderId="0"/>
    <xf numFmtId="0" fontId="99" fillId="0" borderId="0"/>
    <xf numFmtId="0" fontId="99" fillId="0" borderId="0"/>
    <xf numFmtId="0" fontId="35" fillId="0" borderId="0"/>
    <xf numFmtId="0" fontId="35" fillId="0" borderId="0"/>
    <xf numFmtId="0" fontId="99" fillId="0" borderId="0"/>
    <xf numFmtId="0" fontId="99" fillId="0" borderId="0"/>
    <xf numFmtId="0" fontId="45" fillId="0" borderId="0"/>
    <xf numFmtId="0" fontId="45" fillId="0" borderId="0"/>
    <xf numFmtId="0" fontId="35" fillId="0" borderId="0"/>
    <xf numFmtId="0" fontId="35" fillId="0" borderId="0"/>
    <xf numFmtId="176" fontId="35" fillId="0" borderId="0"/>
    <xf numFmtId="176" fontId="35" fillId="0" borderId="0"/>
    <xf numFmtId="0" fontId="35" fillId="0" borderId="0"/>
    <xf numFmtId="0" fontId="35" fillId="0" borderId="0"/>
    <xf numFmtId="0" fontId="35" fillId="0" borderId="0"/>
    <xf numFmtId="0" fontId="99" fillId="0" borderId="0"/>
    <xf numFmtId="169" fontId="46" fillId="0" borderId="0" applyProtection="0"/>
    <xf numFmtId="0" fontId="100" fillId="0" borderId="0"/>
    <xf numFmtId="0" fontId="101" fillId="0" borderId="0"/>
    <xf numFmtId="0" fontId="101" fillId="0" borderId="0"/>
    <xf numFmtId="0" fontId="10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0" fontId="35" fillId="0" borderId="0">
      <alignment vertical="top"/>
    </xf>
    <xf numFmtId="0" fontId="35" fillId="0" borderId="0"/>
    <xf numFmtId="0" fontId="99" fillId="0" borderId="0"/>
    <xf numFmtId="0" fontId="35" fillId="0" borderId="0"/>
    <xf numFmtId="0" fontId="35" fillId="0" borderId="0"/>
    <xf numFmtId="0" fontId="35" fillId="0" borderId="0"/>
    <xf numFmtId="0" fontId="32" fillId="0" borderId="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0" fontId="35" fillId="0" borderId="0"/>
    <xf numFmtId="0" fontId="35" fillId="0" borderId="0"/>
    <xf numFmtId="0" fontId="35" fillId="0" borderId="0"/>
    <xf numFmtId="165" fontId="4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2" fillId="0" borderId="0"/>
    <xf numFmtId="0" fontId="35" fillId="0" borderId="0"/>
    <xf numFmtId="0" fontId="35" fillId="0" borderId="0"/>
    <xf numFmtId="0" fontId="33" fillId="0" borderId="0"/>
    <xf numFmtId="0" fontId="33" fillId="0" borderId="0"/>
    <xf numFmtId="0" fontId="35" fillId="0" borderId="0"/>
    <xf numFmtId="0" fontId="32" fillId="0" borderId="0"/>
    <xf numFmtId="0" fontId="35" fillId="0" borderId="0"/>
    <xf numFmtId="0" fontId="35" fillId="0" borderId="0"/>
    <xf numFmtId="169" fontId="46" fillId="0" borderId="0" applyProtection="0"/>
    <xf numFmtId="0" fontId="35" fillId="0" borderId="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35"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183" fontId="94" fillId="28" borderId="0"/>
    <xf numFmtId="0" fontId="72" fillId="12" borderId="14" applyNumberFormat="0" applyAlignment="0" applyProtection="0"/>
    <xf numFmtId="0" fontId="89" fillId="0" borderId="0"/>
    <xf numFmtId="9" fontId="35" fillId="0" borderId="0" applyFont="0" applyFill="0" applyBorder="0" applyAlignment="0" applyProtection="0"/>
    <xf numFmtId="184" fontId="62" fillId="0" borderId="0" applyFont="0" applyFill="0" applyBorder="0" applyAlignment="0" applyProtection="0"/>
    <xf numFmtId="10" fontId="35" fillId="0" borderId="0" applyFont="0" applyFill="0" applyBorder="0" applyAlignment="0" applyProtection="0"/>
    <xf numFmtId="9"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15"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0" fontId="63" fillId="0" borderId="7">
      <alignment horizontal="center"/>
    </xf>
    <xf numFmtId="3" fontId="62" fillId="0" borderId="0" applyFont="0" applyFill="0" applyBorder="0" applyAlignment="0" applyProtection="0"/>
    <xf numFmtId="0" fontId="62" fillId="29" borderId="0" applyNumberFormat="0" applyFont="0" applyBorder="0" applyAlignment="0" applyProtection="0"/>
    <xf numFmtId="0" fontId="35" fillId="0" borderId="0" applyNumberFormat="0" applyFill="0" applyBorder="0" applyAlignment="0" applyProtection="0"/>
    <xf numFmtId="0" fontId="35" fillId="30" borderId="14" applyNumberFormat="0" applyProtection="0">
      <alignment horizontal="left" vertical="center" indent="1"/>
    </xf>
    <xf numFmtId="4" fontId="55" fillId="31" borderId="14" applyNumberFormat="0" applyProtection="0">
      <alignment horizontal="right" vertical="center"/>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48" fillId="32" borderId="0"/>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175" fontId="35" fillId="0" borderId="0">
      <alignment horizontal="left" wrapText="1"/>
    </xf>
    <xf numFmtId="0" fontId="35" fillId="24" borderId="3" applyNumberFormat="0" applyFont="0" applyAlignment="0"/>
    <xf numFmtId="0" fontId="44" fillId="0" borderId="0" applyFill="0" applyBorder="0" applyProtection="0">
      <alignment horizontal="left" vertical="top"/>
    </xf>
    <xf numFmtId="40" fontId="95" fillId="0" borderId="0"/>
    <xf numFmtId="0" fontId="83" fillId="0" borderId="0" applyNumberFormat="0" applyFill="0" applyBorder="0" applyAlignment="0" applyProtection="0"/>
    <xf numFmtId="0" fontId="73" fillId="0" borderId="15" applyNumberFormat="0" applyFill="0" applyAlignment="0" applyProtection="0"/>
    <xf numFmtId="0" fontId="71" fillId="0" borderId="0" applyNumberFormat="0" applyFill="0" applyBorder="0" applyAlignment="0" applyProtection="0"/>
    <xf numFmtId="43" fontId="29" fillId="0" borderId="0" applyFont="0" applyFill="0" applyBorder="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0" fontId="74" fillId="12" borderId="1" applyNumberFormat="0" applyAlignment="0" applyProtection="0"/>
    <xf numFmtId="41"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03" fillId="0" borderId="0" applyFont="0" applyFill="0" applyBorder="0" applyAlignment="0" applyProtection="0"/>
    <xf numFmtId="43" fontId="35"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10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86" fontId="105" fillId="0" borderId="0" applyFont="0" applyFill="0" applyBorder="0" applyProtection="0">
      <alignment horizontal="right"/>
    </xf>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187" fontId="57" fillId="0" borderId="0" applyNumberFormat="0" applyFill="0" applyBorder="0" applyAlignment="0" applyProtection="0"/>
    <xf numFmtId="37" fontId="106" fillId="0" borderId="0" applyNumberFormat="0" applyFill="0" applyBorder="0"/>
    <xf numFmtId="0" fontId="58" fillId="0" borderId="48" applyNumberFormat="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3" fillId="0" borderId="0"/>
    <xf numFmtId="0" fontId="10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62" fillId="0" borderId="0"/>
    <xf numFmtId="0" fontId="62" fillId="0" borderId="0"/>
    <xf numFmtId="165" fontId="39" fillId="0" borderId="0"/>
    <xf numFmtId="165"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35"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58" fillId="6" borderId="13" applyNumberFormat="0" applyFon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0" fontId="72" fillId="12" borderId="14" applyNumberFormat="0" applyAlignment="0" applyProtection="0"/>
    <xf numFmtId="12" fontId="37" fillId="38" borderId="7">
      <alignment horizontal="left"/>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3" fillId="0" borderId="7">
      <alignment horizontal="center"/>
    </xf>
    <xf numFmtId="4" fontId="65" fillId="27" borderId="49" applyNumberFormat="0" applyProtection="0">
      <alignment vertical="center"/>
    </xf>
    <xf numFmtId="4" fontId="107" fillId="34" borderId="49" applyNumberFormat="0" applyProtection="0">
      <alignment vertical="center"/>
    </xf>
    <xf numFmtId="4" fontId="65" fillId="34" borderId="49" applyNumberFormat="0" applyProtection="0">
      <alignment vertical="center"/>
    </xf>
    <xf numFmtId="4" fontId="65" fillId="34" borderId="49" applyNumberFormat="0" applyProtection="0">
      <alignment horizontal="left" vertical="center" indent="1"/>
    </xf>
    <xf numFmtId="4" fontId="65" fillId="34" borderId="49" applyNumberFormat="0" applyProtection="0">
      <alignment horizontal="left" vertical="center" indent="1"/>
    </xf>
    <xf numFmtId="4" fontId="65" fillId="34" borderId="49" applyNumberFormat="0" applyProtection="0">
      <alignment horizontal="left" vertical="center" indent="1"/>
    </xf>
    <xf numFmtId="4" fontId="65" fillId="34" borderId="49" applyNumberFormat="0" applyProtection="0">
      <alignment horizontal="left" vertical="center" indent="1"/>
    </xf>
    <xf numFmtId="4" fontId="65" fillId="34" borderId="49" applyNumberFormat="0" applyProtection="0">
      <alignment horizontal="left" vertical="center" indent="1"/>
    </xf>
    <xf numFmtId="4" fontId="65" fillId="34" borderId="49" applyNumberFormat="0" applyProtection="0">
      <alignment horizontal="left" vertical="center" indent="1"/>
    </xf>
    <xf numFmtId="0" fontId="65" fillId="34" borderId="49" applyNumberFormat="0" applyProtection="0">
      <alignment horizontal="left" vertical="top"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65" fillId="39" borderId="49" applyNumberFormat="0" applyProtection="0"/>
    <xf numFmtId="4" fontId="55" fillId="5" borderId="49" applyNumberFormat="0" applyProtection="0">
      <alignment horizontal="right" vertical="center"/>
    </xf>
    <xf numFmtId="4" fontId="55" fillId="4" borderId="49" applyNumberFormat="0" applyProtection="0">
      <alignment horizontal="right" vertical="center"/>
    </xf>
    <xf numFmtId="4" fontId="55" fillId="19" borderId="49" applyNumberFormat="0" applyProtection="0">
      <alignment horizontal="right" vertical="center"/>
    </xf>
    <xf numFmtId="4" fontId="55" fillId="13" borderId="49" applyNumberFormat="0" applyProtection="0">
      <alignment horizontal="right" vertical="center"/>
    </xf>
    <xf numFmtId="4" fontId="55" fillId="17" borderId="49" applyNumberFormat="0" applyProtection="0">
      <alignment horizontal="right" vertical="center"/>
    </xf>
    <xf numFmtId="4" fontId="55" fillId="21" borderId="49" applyNumberFormat="0" applyProtection="0">
      <alignment horizontal="right" vertical="center"/>
    </xf>
    <xf numFmtId="4" fontId="55" fillId="20" borderId="49" applyNumberFormat="0" applyProtection="0">
      <alignment horizontal="right" vertical="center"/>
    </xf>
    <xf numFmtId="4" fontId="55" fillId="40" borderId="49" applyNumberFormat="0" applyProtection="0">
      <alignment horizontal="right" vertical="center"/>
    </xf>
    <xf numFmtId="4" fontId="55" fillId="11" borderId="49" applyNumberFormat="0" applyProtection="0">
      <alignment horizontal="right" vertical="center"/>
    </xf>
    <xf numFmtId="4" fontId="65" fillId="41" borderId="50" applyNumberFormat="0" applyProtection="0">
      <alignment horizontal="left" vertical="center" indent="1"/>
    </xf>
    <xf numFmtId="4" fontId="55" fillId="42" borderId="0" applyNumberFormat="0" applyProtection="0">
      <alignment horizontal="left" vertical="center" indent="1"/>
    </xf>
    <xf numFmtId="4" fontId="55" fillId="42" borderId="0" applyNumberFormat="0" applyProtection="0">
      <alignment horizontal="left" indent="1"/>
    </xf>
    <xf numFmtId="4" fontId="55" fillId="42" borderId="0" applyNumberFormat="0" applyProtection="0">
      <alignment horizontal="left" indent="1"/>
    </xf>
    <xf numFmtId="4" fontId="55" fillId="42" borderId="0" applyNumberFormat="0" applyProtection="0">
      <alignment horizontal="left" indent="1"/>
    </xf>
    <xf numFmtId="4" fontId="55" fillId="42" borderId="0" applyNumberFormat="0" applyProtection="0">
      <alignment horizontal="left" indent="1"/>
    </xf>
    <xf numFmtId="4" fontId="55" fillId="42" borderId="0" applyNumberFormat="0" applyProtection="0">
      <alignment horizontal="left" indent="1"/>
    </xf>
    <xf numFmtId="4" fontId="55" fillId="42" borderId="0" applyNumberFormat="0" applyProtection="0">
      <alignment horizontal="left" indent="1"/>
    </xf>
    <xf numFmtId="4" fontId="108" fillId="43" borderId="0" applyNumberFormat="0" applyProtection="0">
      <alignment horizontal="left" vertical="center" indent="1"/>
    </xf>
    <xf numFmtId="4" fontId="108" fillId="43" borderId="0" applyNumberFormat="0" applyProtection="0">
      <alignment horizontal="left" vertical="center" indent="1"/>
    </xf>
    <xf numFmtId="4" fontId="108" fillId="43" borderId="0" applyNumberFormat="0" applyProtection="0">
      <alignment horizontal="left" vertical="center" indent="1"/>
    </xf>
    <xf numFmtId="4" fontId="108" fillId="43" borderId="0" applyNumberFormat="0" applyProtection="0">
      <alignment horizontal="left" vertical="center" indent="1"/>
    </xf>
    <xf numFmtId="4" fontId="108" fillId="43" borderId="0" applyNumberFormat="0" applyProtection="0">
      <alignment horizontal="left" vertical="center" indent="1"/>
    </xf>
    <xf numFmtId="4" fontId="55" fillId="44" borderId="49" applyNumberFormat="0" applyProtection="0">
      <alignment horizontal="right" vertical="center"/>
    </xf>
    <xf numFmtId="4" fontId="109" fillId="0" borderId="0" applyNumberFormat="0" applyProtection="0">
      <alignment horizontal="left" vertical="center" indent="1"/>
    </xf>
    <xf numFmtId="4" fontId="110" fillId="45" borderId="0" applyNumberFormat="0" applyProtection="0">
      <alignment horizontal="left" indent="1"/>
    </xf>
    <xf numFmtId="4" fontId="110" fillId="45" borderId="0" applyNumberFormat="0" applyProtection="0">
      <alignment horizontal="left" indent="1"/>
    </xf>
    <xf numFmtId="4" fontId="110" fillId="45" borderId="0" applyNumberFormat="0" applyProtection="0">
      <alignment horizontal="left" indent="1"/>
    </xf>
    <xf numFmtId="4" fontId="110" fillId="45" borderId="0" applyNumberFormat="0" applyProtection="0">
      <alignment horizontal="left" indent="1"/>
    </xf>
    <xf numFmtId="4" fontId="110" fillId="45" borderId="0" applyNumberFormat="0" applyProtection="0">
      <alignment horizontal="left" indent="1"/>
    </xf>
    <xf numFmtId="4" fontId="110" fillId="45" borderId="0" applyNumberFormat="0" applyProtection="0">
      <alignment horizontal="left" indent="1"/>
    </xf>
    <xf numFmtId="4" fontId="110" fillId="45" borderId="0" applyNumberFormat="0" applyProtection="0">
      <alignment horizontal="left" indent="1"/>
    </xf>
    <xf numFmtId="4" fontId="111" fillId="0" borderId="0" applyNumberFormat="0" applyProtection="0">
      <alignment horizontal="left" vertical="center" indent="1"/>
    </xf>
    <xf numFmtId="4" fontId="111" fillId="46" borderId="0" applyNumberFormat="0" applyProtection="0"/>
    <xf numFmtId="4" fontId="111" fillId="46" borderId="0" applyNumberFormat="0" applyProtection="0"/>
    <xf numFmtId="4" fontId="111" fillId="46" borderId="0" applyNumberFormat="0" applyProtection="0"/>
    <xf numFmtId="4" fontId="111" fillId="46" borderId="0" applyNumberFormat="0" applyProtection="0"/>
    <xf numFmtId="4" fontId="111" fillId="46" borderId="0" applyNumberFormat="0" applyProtection="0"/>
    <xf numFmtId="4" fontId="111" fillId="46" borderId="0" applyNumberFormat="0" applyProtection="0"/>
    <xf numFmtId="4" fontId="111" fillId="46" borderId="0" applyNumberFormat="0" applyProtection="0"/>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center"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43" borderId="49" applyNumberFormat="0" applyProtection="0">
      <alignment horizontal="left" vertical="top"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center"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9" borderId="49" applyNumberFormat="0" applyProtection="0">
      <alignment horizontal="left" vertical="top"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center"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36" borderId="49" applyNumberFormat="0" applyProtection="0">
      <alignment horizontal="left" vertical="top"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center"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0" fontId="35" fillId="47" borderId="49" applyNumberFormat="0" applyProtection="0">
      <alignment horizontal="left" vertical="top" indent="1"/>
    </xf>
    <xf numFmtId="4" fontId="55" fillId="26" borderId="49" applyNumberFormat="0" applyProtection="0">
      <alignment vertical="center"/>
    </xf>
    <xf numFmtId="4" fontId="112" fillId="26" borderId="49" applyNumberFormat="0" applyProtection="0">
      <alignment vertical="center"/>
    </xf>
    <xf numFmtId="4" fontId="55" fillId="26" borderId="49" applyNumberFormat="0" applyProtection="0">
      <alignment horizontal="left" vertical="center" indent="1"/>
    </xf>
    <xf numFmtId="0" fontId="55" fillId="26" borderId="49" applyNumberFormat="0" applyProtection="0">
      <alignment horizontal="left" vertical="top" indent="1"/>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31" borderId="14" applyNumberFormat="0" applyProtection="0">
      <alignment horizontal="right" vertical="center"/>
    </xf>
    <xf numFmtId="4" fontId="55" fillId="0" borderId="49" applyNumberFormat="0" applyProtection="0">
      <alignment horizontal="right" vertical="center"/>
    </xf>
    <xf numFmtId="4" fontId="112" fillId="42" borderId="49" applyNumberFormat="0" applyProtection="0">
      <alignment horizontal="right" vertical="center"/>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4" fontId="55" fillId="44" borderId="49"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4" fontId="55" fillId="0" borderId="49"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35" fillId="30" borderId="14" applyNumberFormat="0" applyProtection="0">
      <alignment horizontal="left" vertical="center" indent="1"/>
    </xf>
    <xf numFmtId="0" fontId="55" fillId="39" borderId="49" applyNumberFormat="0" applyProtection="0">
      <alignment horizontal="left" vertical="top"/>
    </xf>
    <xf numFmtId="4" fontId="51" fillId="0" borderId="0" applyNumberFormat="0" applyProtection="0">
      <alignment horizontal="left" vertical="center"/>
    </xf>
    <xf numFmtId="4" fontId="48" fillId="48" borderId="0" applyNumberFormat="0" applyProtection="0">
      <alignment horizontal="left"/>
    </xf>
    <xf numFmtId="4" fontId="48" fillId="48" borderId="0" applyNumberFormat="0" applyProtection="0">
      <alignment horizontal="left"/>
    </xf>
    <xf numFmtId="4" fontId="48" fillId="48" borderId="0" applyNumberFormat="0" applyProtection="0">
      <alignment horizontal="left"/>
    </xf>
    <xf numFmtId="4" fontId="48" fillId="48" borderId="0" applyNumberFormat="0" applyProtection="0">
      <alignment horizontal="left"/>
    </xf>
    <xf numFmtId="4" fontId="48" fillId="48" borderId="0" applyNumberFormat="0" applyProtection="0">
      <alignment horizontal="left"/>
    </xf>
    <xf numFmtId="4" fontId="48" fillId="48" borderId="0" applyNumberFormat="0" applyProtection="0">
      <alignment horizontal="left"/>
    </xf>
    <xf numFmtId="4" fontId="48" fillId="48" borderId="0" applyNumberFormat="0" applyProtection="0">
      <alignment horizontal="left"/>
    </xf>
    <xf numFmtId="4" fontId="38" fillId="42" borderId="49" applyNumberFormat="0" applyProtection="0">
      <alignment horizontal="right" vertical="center"/>
    </xf>
    <xf numFmtId="188" fontId="35" fillId="0" borderId="0" applyFill="0" applyBorder="0" applyAlignment="0" applyProtection="0">
      <alignment wrapText="1"/>
    </xf>
    <xf numFmtId="0" fontId="36" fillId="0" borderId="0" applyNumberFormat="0" applyFill="0" applyBorder="0">
      <alignment horizontal="center" wrapText="1"/>
    </xf>
    <xf numFmtId="0" fontId="36" fillId="0" borderId="0" applyNumberFormat="0" applyFill="0" applyBorder="0">
      <alignment horizontal="center" wrapText="1"/>
    </xf>
    <xf numFmtId="0" fontId="36" fillId="0" borderId="11">
      <alignment horizontal="center" vertical="center" wrapText="1"/>
    </xf>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37" fontId="58" fillId="34" borderId="0" applyNumberFormat="0" applyBorder="0" applyAlignment="0" applyProtection="0"/>
    <xf numFmtId="37" fontId="58" fillId="0" borderId="0"/>
    <xf numFmtId="3" fontId="113" fillId="49" borderId="51" applyProtection="0"/>
    <xf numFmtId="0" fontId="62" fillId="0" borderId="0"/>
    <xf numFmtId="0" fontId="30" fillId="0" borderId="0"/>
    <xf numFmtId="0" fontId="28" fillId="0" borderId="0"/>
    <xf numFmtId="0" fontId="28" fillId="0" borderId="0"/>
    <xf numFmtId="0" fontId="28" fillId="0" borderId="0"/>
    <xf numFmtId="0" fontId="35" fillId="0" borderId="0"/>
    <xf numFmtId="0" fontId="100" fillId="0" borderId="0"/>
    <xf numFmtId="0" fontId="35" fillId="0" borderId="0">
      <alignment vertical="top"/>
    </xf>
    <xf numFmtId="9" fontId="46" fillId="0" borderId="0" applyFont="0" applyFill="0" applyBorder="0" applyAlignment="0" applyProtection="0"/>
    <xf numFmtId="0" fontId="27" fillId="0" borderId="0"/>
    <xf numFmtId="0" fontId="30" fillId="0" borderId="0"/>
    <xf numFmtId="0" fontId="27" fillId="0" borderId="0"/>
    <xf numFmtId="0" fontId="27" fillId="0" borderId="0"/>
    <xf numFmtId="44" fontId="100" fillId="0" borderId="0" applyFont="0" applyFill="0" applyBorder="0" applyAlignment="0" applyProtection="0"/>
    <xf numFmtId="0" fontId="26" fillId="0" borderId="0"/>
    <xf numFmtId="43" fontId="26" fillId="0" borderId="0" applyFont="0" applyFill="0" applyBorder="0" applyAlignment="0" applyProtection="0"/>
    <xf numFmtId="43" fontId="119" fillId="0" borderId="0" applyFont="0" applyFill="0" applyBorder="0" applyAlignment="0" applyProtection="0"/>
    <xf numFmtId="9" fontId="119" fillId="0" borderId="0" applyFont="0" applyFill="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35" fillId="6" borderId="13" applyNumberFormat="0" applyFont="0" applyAlignment="0" applyProtection="0"/>
    <xf numFmtId="43" fontId="119" fillId="0" borderId="0" applyFont="0" applyFill="0" applyBorder="0" applyAlignment="0" applyProtection="0"/>
    <xf numFmtId="0" fontId="35" fillId="6" borderId="13" applyNumberFormat="0" applyFont="0" applyAlignment="0" applyProtection="0"/>
    <xf numFmtId="0" fontId="35" fillId="0" borderId="0"/>
    <xf numFmtId="0" fontId="70" fillId="8" borderId="1" applyNumberFormat="0" applyAlignment="0" applyProtection="0"/>
    <xf numFmtId="0" fontId="35" fillId="6" borderId="13" applyNumberFormat="0" applyFont="0" applyAlignment="0" applyProtection="0"/>
    <xf numFmtId="9" fontId="119" fillId="0" borderId="0" applyFont="0" applyFill="0" applyBorder="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70" fillId="8" borderId="1" applyNumberFormat="0" applyAlignment="0" applyProtection="0"/>
    <xf numFmtId="0" fontId="35" fillId="6" borderId="13" applyNumberFormat="0" applyFont="0" applyAlignment="0" applyProtection="0"/>
    <xf numFmtId="0" fontId="70" fillId="8" borderId="1" applyNumberFormat="0" applyAlignment="0" applyProtection="0"/>
    <xf numFmtId="0" fontId="35" fillId="6" borderId="13" applyNumberFormat="0" applyFont="0" applyAlignment="0" applyProtection="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6" borderId="13"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0" fontId="3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5" fillId="0" borderId="0"/>
    <xf numFmtId="0" fontId="25" fillId="0" borderId="0"/>
    <xf numFmtId="0" fontId="35" fillId="0" borderId="0"/>
    <xf numFmtId="0" fontId="25" fillId="0" borderId="0"/>
    <xf numFmtId="0" fontId="3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25" fillId="0" borderId="0"/>
    <xf numFmtId="0" fontId="3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120" fillId="0" borderId="0" applyFont="0" applyFill="0" applyBorder="0" applyAlignment="0" applyProtection="0"/>
    <xf numFmtId="9" fontId="120" fillId="0" borderId="0" applyFont="0" applyFill="0" applyBorder="0" applyAlignment="0" applyProtection="0"/>
    <xf numFmtId="43" fontId="120" fillId="0" borderId="0" applyFont="0" applyFill="0" applyBorder="0" applyAlignment="0" applyProtection="0"/>
    <xf numFmtId="9" fontId="120"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169" fontId="46" fillId="0" borderId="0" applyProtection="0"/>
    <xf numFmtId="0" fontId="35" fillId="0" borderId="0"/>
    <xf numFmtId="169" fontId="46" fillId="0" borderId="0" applyProtection="0"/>
    <xf numFmtId="169" fontId="46" fillId="0" borderId="0" applyProtection="0"/>
    <xf numFmtId="0" fontId="46" fillId="0" borderId="0" applyProtection="0"/>
    <xf numFmtId="0" fontId="5" fillId="0" borderId="0"/>
    <xf numFmtId="0" fontId="5" fillId="0" borderId="0"/>
  </cellStyleXfs>
  <cellXfs count="1734">
    <xf numFmtId="0" fontId="0" fillId="0" borderId="0" xfId="0"/>
    <xf numFmtId="0" fontId="37" fillId="0" borderId="0" xfId="0" applyFont="1"/>
    <xf numFmtId="0" fontId="39" fillId="0" borderId="0" xfId="0" applyFont="1" applyAlignment="1"/>
    <xf numFmtId="0" fontId="37" fillId="0" borderId="17" xfId="0" applyNumberFormat="1" applyFont="1" applyFill="1" applyBorder="1" applyAlignment="1"/>
    <xf numFmtId="0" fontId="37" fillId="0" borderId="17" xfId="0" applyFont="1" applyBorder="1"/>
    <xf numFmtId="0" fontId="37" fillId="0" borderId="0" xfId="0" applyNumberFormat="1" applyFont="1" applyFill="1" applyBorder="1" applyAlignment="1"/>
    <xf numFmtId="0" fontId="39" fillId="0" borderId="0" xfId="0" applyFont="1" applyBorder="1" applyAlignment="1"/>
    <xf numFmtId="0" fontId="39" fillId="0" borderId="0" xfId="0" applyNumberFormat="1" applyFont="1" applyBorder="1" applyAlignment="1">
      <alignment horizontal="center"/>
    </xf>
    <xf numFmtId="0" fontId="39" fillId="0" borderId="0" xfId="0" applyNumberFormat="1" applyFont="1" applyBorder="1" applyAlignment="1">
      <alignment horizontal="left"/>
    </xf>
    <xf numFmtId="0" fontId="39" fillId="0" borderId="0" xfId="0" applyFont="1" applyFill="1" applyBorder="1" applyAlignment="1"/>
    <xf numFmtId="0" fontId="39" fillId="0" borderId="0" xfId="0" applyFont="1" applyBorder="1"/>
    <xf numFmtId="0" fontId="37" fillId="0" borderId="0" xfId="0" applyNumberFormat="1" applyFont="1" applyBorder="1" applyAlignment="1"/>
    <xf numFmtId="0" fontId="39" fillId="0" borderId="18" xfId="0" applyFont="1" applyFill="1" applyBorder="1" applyAlignment="1">
      <alignment horizontal="left"/>
    </xf>
    <xf numFmtId="0" fontId="39" fillId="0" borderId="18" xfId="0" applyNumberFormat="1" applyFont="1" applyBorder="1" applyAlignment="1">
      <alignment horizontal="left"/>
    </xf>
    <xf numFmtId="0" fontId="39" fillId="0" borderId="0" xfId="0" applyFont="1" applyFill="1" applyBorder="1" applyAlignment="1">
      <alignment horizontal="left"/>
    </xf>
    <xf numFmtId="0" fontId="39" fillId="0" borderId="0" xfId="0" applyFont="1" applyFill="1" applyBorder="1"/>
    <xf numFmtId="0" fontId="37" fillId="0" borderId="17" xfId="0" applyFont="1" applyBorder="1" applyAlignment="1"/>
    <xf numFmtId="0" fontId="39" fillId="0" borderId="17" xfId="0" applyFont="1" applyBorder="1"/>
    <xf numFmtId="168" fontId="37" fillId="0" borderId="17" xfId="0" applyNumberFormat="1" applyFont="1" applyBorder="1" applyAlignment="1">
      <alignment horizontal="left"/>
    </xf>
    <xf numFmtId="0" fontId="39" fillId="0" borderId="17" xfId="0" applyFont="1" applyFill="1" applyBorder="1" applyAlignment="1"/>
    <xf numFmtId="0" fontId="50" fillId="0" borderId="0" xfId="0" applyFont="1" applyFill="1" applyBorder="1" applyAlignment="1"/>
    <xf numFmtId="0" fontId="37" fillId="0" borderId="0" xfId="0" applyFont="1" applyBorder="1" applyAlignment="1"/>
    <xf numFmtId="168" fontId="37" fillId="0" borderId="0" xfId="0" applyNumberFormat="1" applyFont="1" applyBorder="1" applyAlignment="1">
      <alignment horizontal="left"/>
    </xf>
    <xf numFmtId="0" fontId="39" fillId="33" borderId="0" xfId="0" applyNumberFormat="1" applyFont="1" applyFill="1" applyAlignment="1">
      <alignment horizontal="center"/>
    </xf>
    <xf numFmtId="0" fontId="50" fillId="33" borderId="0" xfId="0" applyNumberFormat="1" applyFont="1" applyFill="1" applyAlignment="1">
      <alignment horizontal="left"/>
    </xf>
    <xf numFmtId="0" fontId="39" fillId="0" borderId="18" xfId="0" applyNumberFormat="1" applyFont="1" applyFill="1" applyBorder="1" applyAlignment="1">
      <alignment horizontal="left"/>
    </xf>
    <xf numFmtId="0" fontId="37" fillId="0" borderId="0" xfId="0" applyNumberFormat="1" applyFont="1" applyBorder="1" applyAlignment="1">
      <alignment horizontal="left"/>
    </xf>
    <xf numFmtId="0" fontId="39" fillId="0" borderId="18" xfId="0" applyNumberFormat="1" applyFont="1" applyBorder="1" applyAlignment="1">
      <alignment horizontal="center"/>
    </xf>
    <xf numFmtId="0" fontId="39" fillId="0" borderId="0" xfId="0" applyFont="1" applyBorder="1" applyAlignment="1">
      <alignment horizontal="center"/>
    </xf>
    <xf numFmtId="0" fontId="37" fillId="0" borderId="17" xfId="0" applyFont="1" applyBorder="1" applyAlignment="1">
      <alignment horizontal="center"/>
    </xf>
    <xf numFmtId="0" fontId="39" fillId="0" borderId="18" xfId="0" applyNumberFormat="1" applyFont="1" applyFill="1" applyBorder="1" applyAlignment="1">
      <alignment horizontal="center"/>
    </xf>
    <xf numFmtId="0" fontId="39" fillId="0" borderId="18" xfId="0" applyFont="1" applyBorder="1" applyAlignment="1">
      <alignment horizontal="center"/>
    </xf>
    <xf numFmtId="0" fontId="37" fillId="0" borderId="0" xfId="0" applyFont="1" applyBorder="1" applyAlignment="1">
      <alignment horizontal="center"/>
    </xf>
    <xf numFmtId="0" fontId="39" fillId="0" borderId="0" xfId="0" applyNumberFormat="1" applyFont="1" applyFill="1" applyBorder="1" applyAlignment="1">
      <alignment horizontal="center"/>
    </xf>
    <xf numFmtId="0" fontId="41" fillId="0" borderId="0" xfId="0" applyFont="1" applyFill="1" applyBorder="1" applyAlignment="1">
      <alignment horizontal="center"/>
    </xf>
    <xf numFmtId="0" fontId="41" fillId="0" borderId="18" xfId="0" applyFont="1" applyFill="1" applyBorder="1" applyAlignment="1"/>
    <xf numFmtId="0" fontId="39" fillId="0" borderId="0" xfId="0" applyFont="1" applyFill="1" applyBorder="1" applyAlignment="1">
      <alignment horizontal="center"/>
    </xf>
    <xf numFmtId="0" fontId="37" fillId="0" borderId="0" xfId="0" applyFont="1" applyFill="1"/>
    <xf numFmtId="0" fontId="37" fillId="0" borderId="0" xfId="0" applyFont="1" applyFill="1" applyBorder="1"/>
    <xf numFmtId="0" fontId="44" fillId="0" borderId="0" xfId="0" applyFont="1"/>
    <xf numFmtId="0" fontId="36" fillId="0" borderId="0" xfId="0" applyFont="1" applyAlignment="1">
      <alignment horizontal="left"/>
    </xf>
    <xf numFmtId="0" fontId="37" fillId="0" borderId="0" xfId="0" applyNumberFormat="1" applyFont="1" applyFill="1" applyBorder="1" applyAlignment="1">
      <alignment horizontal="left"/>
    </xf>
    <xf numFmtId="0" fontId="36" fillId="0" borderId="0" xfId="0" applyFont="1" applyFill="1" applyAlignment="1">
      <alignment horizontal="center"/>
    </xf>
    <xf numFmtId="0" fontId="35" fillId="0" borderId="0" xfId="0" applyFont="1" applyFill="1"/>
    <xf numFmtId="0" fontId="35" fillId="0" borderId="0" xfId="0" applyFont="1"/>
    <xf numFmtId="0" fontId="35" fillId="0" borderId="0" xfId="0" applyFont="1" applyFill="1" applyBorder="1"/>
    <xf numFmtId="0" fontId="36" fillId="0" borderId="0" xfId="0" applyFont="1" applyFill="1" applyBorder="1" applyAlignment="1">
      <alignment horizontal="left"/>
    </xf>
    <xf numFmtId="37" fontId="37" fillId="0" borderId="0" xfId="0" applyNumberFormat="1" applyFont="1" applyBorder="1" applyAlignment="1">
      <alignment horizontal="right"/>
    </xf>
    <xf numFmtId="0" fontId="39" fillId="0" borderId="18" xfId="0" applyNumberFormat="1" applyFont="1" applyBorder="1" applyAlignment="1"/>
    <xf numFmtId="3" fontId="39" fillId="0" borderId="0" xfId="0" applyNumberFormat="1" applyFont="1" applyBorder="1" applyAlignment="1"/>
    <xf numFmtId="3" fontId="39" fillId="0" borderId="0" xfId="0" applyNumberFormat="1" applyFont="1" applyFill="1" applyBorder="1" applyAlignment="1"/>
    <xf numFmtId="0" fontId="37" fillId="0" borderId="0" xfId="0" applyFont="1" applyFill="1" applyBorder="1" applyAlignment="1"/>
    <xf numFmtId="0" fontId="37" fillId="0" borderId="0" xfId="0" applyNumberFormat="1" applyFont="1" applyFill="1" applyBorder="1" applyAlignment="1">
      <alignment horizontal="center"/>
    </xf>
    <xf numFmtId="3" fontId="39" fillId="0" borderId="17" xfId="0" applyNumberFormat="1" applyFont="1" applyFill="1" applyBorder="1" applyAlignment="1">
      <alignment horizontal="center"/>
    </xf>
    <xf numFmtId="0" fontId="39" fillId="0" borderId="0" xfId="0" applyNumberFormat="1" applyFont="1" applyBorder="1" applyAlignment="1"/>
    <xf numFmtId="3" fontId="39" fillId="0" borderId="0" xfId="0" applyNumberFormat="1" applyFont="1" applyBorder="1" applyAlignment="1">
      <alignment horizontal="center"/>
    </xf>
    <xf numFmtId="0" fontId="37" fillId="0" borderId="0" xfId="0" applyFont="1" applyBorder="1" applyAlignment="1">
      <alignment horizontal="left"/>
    </xf>
    <xf numFmtId="3" fontId="39" fillId="0" borderId="17" xfId="0" applyNumberFormat="1" applyFont="1" applyBorder="1" applyAlignment="1">
      <alignment horizontal="center"/>
    </xf>
    <xf numFmtId="0" fontId="39" fillId="0" borderId="0" xfId="0" applyNumberFormat="1" applyFont="1" applyFill="1" applyBorder="1" applyAlignment="1">
      <alignment horizontal="left"/>
    </xf>
    <xf numFmtId="0" fontId="37" fillId="0" borderId="17" xfId="0" applyNumberFormat="1" applyFont="1" applyBorder="1" applyAlignment="1">
      <alignment horizontal="left"/>
    </xf>
    <xf numFmtId="0" fontId="37" fillId="0" borderId="17" xfId="0" applyNumberFormat="1" applyFont="1" applyBorder="1" applyAlignment="1">
      <alignment horizontal="center"/>
    </xf>
    <xf numFmtId="0" fontId="39" fillId="0" borderId="0" xfId="0" applyNumberFormat="1" applyFont="1" applyFill="1" applyBorder="1" applyAlignment="1"/>
    <xf numFmtId="168" fontId="39" fillId="0" borderId="0" xfId="0" applyNumberFormat="1" applyFont="1" applyBorder="1" applyAlignment="1">
      <alignment horizontal="left"/>
    </xf>
    <xf numFmtId="0" fontId="39" fillId="0" borderId="18" xfId="0" applyNumberFormat="1" applyFont="1" applyFill="1" applyBorder="1" applyAlignment="1"/>
    <xf numFmtId="37" fontId="39" fillId="0" borderId="0" xfId="0" applyNumberFormat="1" applyFont="1" applyBorder="1" applyAlignment="1">
      <alignment horizontal="left"/>
    </xf>
    <xf numFmtId="0" fontId="37" fillId="0" borderId="0" xfId="0" applyNumberFormat="1" applyFont="1" applyBorder="1" applyAlignment="1">
      <alignment horizontal="center"/>
    </xf>
    <xf numFmtId="0" fontId="35" fillId="0" borderId="0" xfId="504" applyFont="1"/>
    <xf numFmtId="0" fontId="51" fillId="0" borderId="0" xfId="0" applyFont="1" applyAlignment="1">
      <alignment horizontal="left"/>
    </xf>
    <xf numFmtId="0" fontId="39" fillId="0" borderId="18" xfId="0" applyFont="1" applyFill="1" applyBorder="1" applyAlignment="1"/>
    <xf numFmtId="0" fontId="37" fillId="0" borderId="0" xfId="0" applyFont="1" applyBorder="1"/>
    <xf numFmtId="3" fontId="39" fillId="0" borderId="26" xfId="0" applyNumberFormat="1" applyFont="1" applyFill="1" applyBorder="1"/>
    <xf numFmtId="3" fontId="39" fillId="0" borderId="26" xfId="0" applyNumberFormat="1" applyFont="1" applyFill="1" applyBorder="1" applyAlignment="1"/>
    <xf numFmtId="3" fontId="37" fillId="0" borderId="27" xfId="0" applyNumberFormat="1" applyFont="1" applyFill="1" applyBorder="1" applyAlignment="1"/>
    <xf numFmtId="171" fontId="37" fillId="0" borderId="26" xfId="674" applyNumberFormat="1" applyFont="1" applyBorder="1" applyAlignment="1"/>
    <xf numFmtId="164" fontId="37" fillId="0" borderId="26" xfId="382" applyNumberFormat="1" applyFont="1" applyFill="1" applyBorder="1" applyAlignment="1"/>
    <xf numFmtId="0" fontId="36" fillId="0" borderId="0" xfId="0" applyFont="1" applyFill="1" applyBorder="1"/>
    <xf numFmtId="0" fontId="39" fillId="0" borderId="18" xfId="0" applyFont="1" applyFill="1" applyBorder="1" applyAlignment="1">
      <alignment horizontal="center"/>
    </xf>
    <xf numFmtId="0" fontId="39" fillId="0" borderId="22" xfId="0" applyNumberFormat="1" applyFont="1" applyFill="1" applyBorder="1" applyAlignment="1">
      <alignment horizontal="center"/>
    </xf>
    <xf numFmtId="0" fontId="42" fillId="0" borderId="0" xfId="0" applyFont="1" applyBorder="1" applyAlignment="1"/>
    <xf numFmtId="164" fontId="35" fillId="0" borderId="0" xfId="382" applyNumberFormat="1" applyFont="1" applyFill="1"/>
    <xf numFmtId="0" fontId="35" fillId="0" borderId="0" xfId="504" applyFont="1" applyFill="1"/>
    <xf numFmtId="0" fontId="35" fillId="0" borderId="0" xfId="504" applyFont="1" applyBorder="1"/>
    <xf numFmtId="171" fontId="39" fillId="0" borderId="30" xfId="674" applyNumberFormat="1" applyFont="1" applyFill="1" applyBorder="1" applyAlignment="1"/>
    <xf numFmtId="0" fontId="41" fillId="0" borderId="0" xfId="0" applyFont="1" applyFill="1" applyBorder="1" applyAlignment="1"/>
    <xf numFmtId="0" fontId="36" fillId="0" borderId="0" xfId="504" applyFont="1"/>
    <xf numFmtId="0" fontId="36" fillId="0" borderId="0" xfId="0" applyFont="1"/>
    <xf numFmtId="0" fontId="39" fillId="0" borderId="26" xfId="0" applyFont="1" applyBorder="1"/>
    <xf numFmtId="171" fontId="37" fillId="0" borderId="26" xfId="674" applyNumberFormat="1" applyFont="1" applyFill="1" applyBorder="1" applyAlignment="1"/>
    <xf numFmtId="0" fontId="39" fillId="0" borderId="26" xfId="0" applyFont="1" applyFill="1" applyBorder="1"/>
    <xf numFmtId="0" fontId="39" fillId="0" borderId="26" xfId="0" applyFont="1" applyFill="1" applyBorder="1" applyAlignment="1">
      <alignment horizontal="center" wrapText="1"/>
    </xf>
    <xf numFmtId="3" fontId="37" fillId="0" borderId="26" xfId="0" applyNumberFormat="1" applyFont="1" applyFill="1" applyBorder="1" applyAlignment="1"/>
    <xf numFmtId="3" fontId="39" fillId="0" borderId="26" xfId="0" applyNumberFormat="1" applyFont="1" applyFill="1" applyBorder="1" applyAlignment="1">
      <alignment horizontal="right"/>
    </xf>
    <xf numFmtId="171" fontId="39" fillId="0" borderId="26" xfId="0" applyNumberFormat="1" applyFont="1" applyFill="1" applyBorder="1" applyAlignment="1">
      <alignment horizontal="right"/>
    </xf>
    <xf numFmtId="171" fontId="39" fillId="0" borderId="30" xfId="0" applyNumberFormat="1" applyFont="1" applyFill="1" applyBorder="1" applyAlignment="1">
      <alignment horizontal="right"/>
    </xf>
    <xf numFmtId="10" fontId="39" fillId="0" borderId="26" xfId="674" applyNumberFormat="1" applyFont="1" applyFill="1" applyBorder="1" applyAlignment="1"/>
    <xf numFmtId="166" fontId="37" fillId="0" borderId="26" xfId="0" applyNumberFormat="1" applyFont="1" applyBorder="1" applyAlignment="1"/>
    <xf numFmtId="166" fontId="39" fillId="0" borderId="26" xfId="0" applyNumberFormat="1" applyFont="1" applyBorder="1" applyAlignment="1"/>
    <xf numFmtId="10" fontId="39" fillId="0" borderId="26" xfId="0" applyNumberFormat="1" applyFont="1" applyFill="1" applyBorder="1"/>
    <xf numFmtId="10" fontId="39" fillId="0" borderId="26" xfId="0" applyNumberFormat="1" applyFont="1" applyFill="1" applyBorder="1" applyAlignment="1">
      <alignment horizontal="right"/>
    </xf>
    <xf numFmtId="10" fontId="39" fillId="0" borderId="26" xfId="674" applyNumberFormat="1" applyFont="1" applyBorder="1" applyAlignment="1"/>
    <xf numFmtId="164" fontId="37" fillId="0" borderId="27" xfId="382" applyNumberFormat="1" applyFont="1" applyFill="1" applyBorder="1" applyAlignment="1">
      <alignment horizontal="right"/>
    </xf>
    <xf numFmtId="164" fontId="39" fillId="0" borderId="26" xfId="382" applyNumberFormat="1" applyFont="1" applyFill="1" applyBorder="1" applyAlignment="1"/>
    <xf numFmtId="0" fontId="39" fillId="0" borderId="25" xfId="0" applyFont="1" applyFill="1" applyBorder="1" applyAlignment="1">
      <alignment horizontal="left"/>
    </xf>
    <xf numFmtId="0" fontId="39" fillId="0" borderId="24" xfId="0" applyFont="1" applyFill="1" applyBorder="1" applyAlignment="1"/>
    <xf numFmtId="0" fontId="37" fillId="0" borderId="24" xfId="0" applyNumberFormat="1" applyFont="1" applyFill="1" applyBorder="1" applyAlignment="1">
      <alignment horizontal="center"/>
    </xf>
    <xf numFmtId="0" fontId="39" fillId="0" borderId="33" xfId="0" applyFont="1" applyFill="1" applyBorder="1" applyAlignment="1">
      <alignment horizontal="center" wrapText="1"/>
    </xf>
    <xf numFmtId="0" fontId="37" fillId="0" borderId="22" xfId="0" applyNumberFormat="1" applyFont="1" applyFill="1" applyBorder="1" applyAlignment="1">
      <alignment horizontal="center"/>
    </xf>
    <xf numFmtId="0" fontId="39" fillId="0" borderId="22" xfId="0" applyNumberFormat="1" applyFont="1" applyBorder="1" applyAlignment="1">
      <alignment horizontal="center"/>
    </xf>
    <xf numFmtId="0" fontId="41" fillId="0" borderId="0" xfId="0" applyFont="1" applyFill="1" applyBorder="1" applyAlignment="1">
      <alignment horizontal="left"/>
    </xf>
    <xf numFmtId="3" fontId="39" fillId="0" borderId="0" xfId="0" applyNumberFormat="1" applyFont="1" applyFill="1" applyBorder="1" applyAlignment="1">
      <alignment horizontal="center"/>
    </xf>
    <xf numFmtId="0" fontId="39" fillId="0" borderId="22" xfId="0" applyFont="1" applyBorder="1" applyAlignment="1">
      <alignment horizontal="center"/>
    </xf>
    <xf numFmtId="0" fontId="39" fillId="0" borderId="22" xfId="0" applyNumberFormat="1" applyFont="1" applyBorder="1" applyAlignment="1">
      <alignment horizontal="left"/>
    </xf>
    <xf numFmtId="0" fontId="49" fillId="0" borderId="22" xfId="0" applyFont="1" applyFill="1" applyBorder="1" applyAlignment="1">
      <alignment horizontal="center"/>
    </xf>
    <xf numFmtId="0" fontId="39" fillId="0" borderId="22" xfId="0" applyFont="1" applyFill="1" applyBorder="1" applyAlignment="1">
      <alignment horizontal="center"/>
    </xf>
    <xf numFmtId="0" fontId="52" fillId="0" borderId="22" xfId="0" applyFont="1" applyBorder="1" applyAlignment="1">
      <alignment horizontal="left"/>
    </xf>
    <xf numFmtId="0" fontId="52" fillId="0" borderId="0" xfId="0" applyFont="1" applyBorder="1"/>
    <xf numFmtId="0" fontId="39" fillId="0" borderId="0" xfId="0" applyNumberFormat="1" applyFont="1" applyFill="1" applyBorder="1" applyAlignment="1">
      <alignment horizontal="right"/>
    </xf>
    <xf numFmtId="0" fontId="37" fillId="0" borderId="0" xfId="0" applyNumberFormat="1" applyFont="1" applyFill="1" applyBorder="1" applyAlignment="1">
      <alignment horizontal="right"/>
    </xf>
    <xf numFmtId="0" fontId="37" fillId="0" borderId="22" xfId="0" applyFont="1" applyBorder="1"/>
    <xf numFmtId="0" fontId="39" fillId="0" borderId="22" xfId="0" applyFont="1" applyBorder="1" applyAlignment="1">
      <alignment horizontal="left"/>
    </xf>
    <xf numFmtId="0" fontId="39" fillId="0" borderId="22" xfId="0" applyFont="1" applyFill="1" applyBorder="1" applyAlignment="1"/>
    <xf numFmtId="43" fontId="39" fillId="0" borderId="0" xfId="382" applyFont="1" applyFill="1" applyBorder="1" applyAlignment="1"/>
    <xf numFmtId="0" fontId="37" fillId="0" borderId="22" xfId="0" applyNumberFormat="1" applyFont="1" applyFill="1" applyBorder="1" applyAlignment="1"/>
    <xf numFmtId="0" fontId="39" fillId="0" borderId="0" xfId="0" applyNumberFormat="1" applyFont="1" applyBorder="1" applyAlignment="1">
      <alignment horizontal="right"/>
    </xf>
    <xf numFmtId="0" fontId="43" fillId="0" borderId="0" xfId="0" applyNumberFormat="1" applyFont="1" applyFill="1" applyBorder="1" applyAlignment="1"/>
    <xf numFmtId="0" fontId="37" fillId="0" borderId="22" xfId="0" applyNumberFormat="1" applyFont="1" applyBorder="1" applyAlignment="1">
      <alignment horizontal="center"/>
    </xf>
    <xf numFmtId="0" fontId="39" fillId="0" borderId="22" xfId="0" applyNumberFormat="1" applyFont="1" applyFill="1" applyBorder="1" applyAlignment="1">
      <alignment horizontal="left"/>
    </xf>
    <xf numFmtId="0" fontId="39" fillId="0" borderId="0" xfId="0" applyNumberFormat="1" applyFont="1" applyFill="1" applyBorder="1"/>
    <xf numFmtId="169" fontId="39" fillId="0" borderId="0" xfId="0" applyNumberFormat="1" applyFont="1" applyBorder="1" applyAlignment="1"/>
    <xf numFmtId="168" fontId="39" fillId="0" borderId="0" xfId="0" applyNumberFormat="1" applyFont="1" applyBorder="1" applyAlignment="1">
      <alignment horizontal="center"/>
    </xf>
    <xf numFmtId="0" fontId="39" fillId="0" borderId="34" xfId="0" applyFont="1" applyFill="1" applyBorder="1"/>
    <xf numFmtId="3" fontId="39" fillId="0" borderId="35" xfId="0" applyNumberFormat="1" applyFont="1" applyBorder="1" applyAlignment="1"/>
    <xf numFmtId="0" fontId="39" fillId="0" borderId="35" xfId="0" applyFont="1" applyFill="1" applyBorder="1"/>
    <xf numFmtId="3" fontId="39" fillId="0" borderId="36" xfId="0" applyNumberFormat="1" applyFont="1" applyFill="1" applyBorder="1" applyAlignment="1"/>
    <xf numFmtId="0" fontId="39" fillId="0" borderId="35" xfId="0" applyFont="1" applyBorder="1" applyAlignment="1"/>
    <xf numFmtId="0" fontId="39" fillId="0" borderId="35" xfId="0" applyFont="1" applyBorder="1"/>
    <xf numFmtId="3" fontId="39" fillId="0" borderId="35" xfId="0" applyNumberFormat="1" applyFont="1" applyFill="1" applyBorder="1" applyAlignment="1"/>
    <xf numFmtId="3" fontId="39" fillId="0" borderId="37" xfId="0" applyNumberFormat="1" applyFont="1" applyFill="1" applyBorder="1" applyAlignment="1"/>
    <xf numFmtId="0" fontId="39" fillId="0" borderId="35" xfId="0" applyFont="1" applyFill="1" applyBorder="1" applyAlignment="1">
      <alignment horizontal="left"/>
    </xf>
    <xf numFmtId="3" fontId="39" fillId="0" borderId="37" xfId="0" applyNumberFormat="1" applyFont="1" applyBorder="1" applyAlignment="1"/>
    <xf numFmtId="3" fontId="37" fillId="0" borderId="36" xfId="0" applyNumberFormat="1" applyFont="1" applyBorder="1" applyAlignment="1"/>
    <xf numFmtId="3" fontId="39" fillId="0" borderId="35" xfId="0" applyNumberFormat="1" applyFont="1" applyFill="1" applyBorder="1" applyAlignment="1">
      <alignment horizontal="right"/>
    </xf>
    <xf numFmtId="3" fontId="41" fillId="0" borderId="35" xfId="0" applyNumberFormat="1" applyFont="1" applyFill="1" applyBorder="1" applyAlignment="1">
      <alignment horizontal="right"/>
    </xf>
    <xf numFmtId="0" fontId="39" fillId="0" borderId="35" xfId="0" applyFont="1" applyFill="1" applyBorder="1" applyAlignment="1"/>
    <xf numFmtId="0" fontId="39" fillId="0" borderId="35" xfId="0" applyNumberFormat="1" applyFont="1" applyFill="1" applyBorder="1" applyAlignment="1"/>
    <xf numFmtId="0" fontId="39" fillId="0" borderId="37" xfId="0" applyFont="1" applyFill="1" applyBorder="1" applyAlignment="1"/>
    <xf numFmtId="0" fontId="39" fillId="0" borderId="35" xfId="0" applyNumberFormat="1" applyFont="1" applyFill="1" applyBorder="1" applyAlignment="1">
      <alignment horizontal="left"/>
    </xf>
    <xf numFmtId="3" fontId="37" fillId="0" borderId="35" xfId="0" applyNumberFormat="1" applyFont="1" applyBorder="1" applyAlignment="1"/>
    <xf numFmtId="168" fontId="39" fillId="0" borderId="35" xfId="0" applyNumberFormat="1" applyFont="1" applyBorder="1" applyAlignment="1">
      <alignment horizontal="left"/>
    </xf>
    <xf numFmtId="3" fontId="43" fillId="0" borderId="35" xfId="0" applyNumberFormat="1" applyFont="1" applyBorder="1" applyAlignment="1"/>
    <xf numFmtId="0" fontId="37" fillId="0" borderId="5" xfId="0" applyFont="1" applyBorder="1"/>
    <xf numFmtId="0" fontId="39" fillId="0" borderId="23" xfId="0" applyFont="1" applyFill="1" applyBorder="1" applyAlignment="1">
      <alignment horizontal="center"/>
    </xf>
    <xf numFmtId="0" fontId="39" fillId="0" borderId="7" xfId="0" applyNumberFormat="1" applyFont="1" applyFill="1" applyBorder="1" applyAlignment="1">
      <alignment horizontal="center"/>
    </xf>
    <xf numFmtId="0" fontId="39" fillId="0" borderId="7" xfId="0" applyNumberFormat="1" applyFont="1" applyBorder="1" applyAlignment="1">
      <alignment horizontal="left"/>
    </xf>
    <xf numFmtId="0" fontId="39" fillId="0" borderId="7" xfId="0" applyFont="1" applyBorder="1" applyAlignment="1"/>
    <xf numFmtId="164" fontId="35" fillId="0" borderId="0" xfId="382" applyNumberFormat="1" applyFont="1" applyFill="1" applyBorder="1" applyAlignment="1"/>
    <xf numFmtId="37" fontId="39" fillId="0" borderId="35" xfId="0" applyNumberFormat="1" applyFont="1" applyFill="1" applyBorder="1"/>
    <xf numFmtId="37" fontId="39" fillId="0" borderId="0" xfId="0" applyNumberFormat="1" applyFont="1" applyFill="1" applyBorder="1"/>
    <xf numFmtId="37" fontId="39" fillId="0" borderId="26" xfId="0" applyNumberFormat="1" applyFont="1" applyFill="1" applyBorder="1"/>
    <xf numFmtId="3" fontId="39" fillId="0" borderId="0" xfId="0" applyNumberFormat="1" applyFont="1" applyFill="1" applyBorder="1" applyAlignment="1">
      <alignment horizontal="left"/>
    </xf>
    <xf numFmtId="0" fontId="39" fillId="0" borderId="35" xfId="0" applyFont="1" applyFill="1" applyBorder="1" applyAlignment="1">
      <alignment horizontal="right"/>
    </xf>
    <xf numFmtId="171" fontId="41" fillId="0" borderId="26" xfId="0" applyNumberFormat="1" applyFont="1" applyFill="1" applyBorder="1" applyAlignment="1">
      <alignment horizontal="right"/>
    </xf>
    <xf numFmtId="0" fontId="37" fillId="0" borderId="17" xfId="0" applyFont="1" applyFill="1" applyBorder="1"/>
    <xf numFmtId="0" fontId="37" fillId="0" borderId="17" xfId="0" applyFont="1" applyFill="1" applyBorder="1" applyAlignment="1">
      <alignment horizontal="center"/>
    </xf>
    <xf numFmtId="0" fontId="39" fillId="0" borderId="0" xfId="0" applyNumberFormat="1" applyFont="1" applyFill="1" applyBorder="1" applyAlignment="1">
      <alignment horizontal="center" vertical="top"/>
    </xf>
    <xf numFmtId="0" fontId="36" fillId="0" borderId="0" xfId="504" applyFont="1" applyFill="1" applyBorder="1" applyAlignment="1">
      <alignment horizontal="left"/>
    </xf>
    <xf numFmtId="0" fontId="35" fillId="0" borderId="0" xfId="504" applyFont="1" applyFill="1" applyBorder="1" applyAlignment="1">
      <alignment horizontal="left"/>
    </xf>
    <xf numFmtId="164" fontId="35" fillId="0" borderId="0" xfId="504" applyNumberFormat="1" applyFont="1"/>
    <xf numFmtId="164" fontId="35" fillId="0" borderId="0" xfId="382" applyNumberFormat="1" applyFont="1" applyFill="1" applyBorder="1" applyAlignment="1">
      <alignment horizontal="center"/>
    </xf>
    <xf numFmtId="0" fontId="35" fillId="0" borderId="0" xfId="530" applyFont="1" applyAlignment="1">
      <alignment horizontal="right" vertical="top"/>
    </xf>
    <xf numFmtId="0" fontId="35" fillId="0" borderId="0" xfId="484" applyFont="1" applyAlignment="1">
      <alignment vertical="top"/>
    </xf>
    <xf numFmtId="0" fontId="35" fillId="0" borderId="0" xfId="484" applyFont="1" applyFill="1" applyAlignment="1">
      <alignment vertical="top"/>
    </xf>
    <xf numFmtId="0" fontId="35" fillId="0" borderId="0" xfId="484" applyFont="1" applyFill="1" applyAlignment="1">
      <alignment horizontal="center" vertical="top"/>
    </xf>
    <xf numFmtId="0" fontId="35" fillId="0" borderId="0" xfId="474" applyFont="1" applyProtection="1">
      <protection locked="0"/>
    </xf>
    <xf numFmtId="0" fontId="35" fillId="0" borderId="0" xfId="474" quotePrefix="1" applyFont="1" applyAlignment="1" applyProtection="1">
      <alignment horizontal="left"/>
      <protection locked="0"/>
    </xf>
    <xf numFmtId="0" fontId="55" fillId="0" borderId="0" xfId="569" applyFont="1"/>
    <xf numFmtId="0" fontId="55" fillId="0" borderId="0" xfId="569" applyFont="1" applyAlignment="1">
      <alignment horizontal="left"/>
    </xf>
    <xf numFmtId="164" fontId="55" fillId="0" borderId="0" xfId="569" applyNumberFormat="1" applyFont="1" applyFill="1"/>
    <xf numFmtId="0" fontId="35" fillId="0" borderId="0" xfId="474"/>
    <xf numFmtId="0" fontId="35" fillId="0" borderId="0" xfId="474" applyFont="1" applyFill="1"/>
    <xf numFmtId="0" fontId="35" fillId="0" borderId="0" xfId="0" applyFont="1" applyFill="1" applyAlignment="1"/>
    <xf numFmtId="164" fontId="35" fillId="0" borderId="0" xfId="382" applyNumberFormat="1" applyFont="1" applyFill="1" applyAlignment="1"/>
    <xf numFmtId="0" fontId="35" fillId="0" borderId="0" xfId="0" applyFont="1" applyAlignment="1">
      <alignment vertical="top"/>
    </xf>
    <xf numFmtId="37" fontId="35" fillId="0" borderId="0" xfId="484" applyNumberFormat="1" applyFont="1" applyFill="1" applyAlignment="1">
      <alignment vertical="top"/>
    </xf>
    <xf numFmtId="0" fontId="98" fillId="0" borderId="0" xfId="0" applyFont="1"/>
    <xf numFmtId="0" fontId="98" fillId="0" borderId="0" xfId="0" applyFont="1" applyAlignment="1">
      <alignment horizontal="center"/>
    </xf>
    <xf numFmtId="164" fontId="35" fillId="0" borderId="0" xfId="504" applyNumberFormat="1" applyFont="1" applyFill="1" applyBorder="1"/>
    <xf numFmtId="0" fontId="39" fillId="0" borderId="0" xfId="0" applyNumberFormat="1" applyFont="1" applyFill="1" applyBorder="1" applyAlignment="1">
      <alignment horizontal="left" indent="1"/>
    </xf>
    <xf numFmtId="0" fontId="35" fillId="0" borderId="0" xfId="0" applyFont="1" applyAlignment="1"/>
    <xf numFmtId="0" fontId="35" fillId="0" borderId="0" xfId="0" applyFont="1" applyBorder="1"/>
    <xf numFmtId="0" fontId="35" fillId="0" borderId="0" xfId="0" applyFont="1" applyFill="1" applyBorder="1" applyAlignment="1"/>
    <xf numFmtId="0" fontId="35" fillId="37" borderId="0" xfId="0" applyFont="1" applyFill="1" applyAlignment="1"/>
    <xf numFmtId="3" fontId="37" fillId="0" borderId="17" xfId="0" applyNumberFormat="1" applyFont="1" applyBorder="1" applyAlignment="1">
      <alignment horizontal="right"/>
    </xf>
    <xf numFmtId="0" fontId="37" fillId="0" borderId="0" xfId="0" applyFont="1" applyFill="1" applyBorder="1" applyAlignment="1">
      <alignment horizontal="center"/>
    </xf>
    <xf numFmtId="0" fontId="37" fillId="0" borderId="7" xfId="0" applyFont="1" applyBorder="1" applyAlignment="1">
      <alignment horizontal="center"/>
    </xf>
    <xf numFmtId="164" fontId="35" fillId="37" borderId="0" xfId="382" applyNumberFormat="1" applyFont="1" applyFill="1" applyBorder="1"/>
    <xf numFmtId="0" fontId="35" fillId="0" borderId="0" xfId="0" applyNumberFormat="1" applyFont="1" applyFill="1" applyBorder="1" applyAlignment="1">
      <alignment horizontal="center"/>
    </xf>
    <xf numFmtId="0" fontId="44" fillId="0" borderId="0" xfId="0" applyFont="1" applyFill="1" applyBorder="1"/>
    <xf numFmtId="0" fontId="0" fillId="0" borderId="0" xfId="0" applyAlignment="1">
      <alignment horizontal="center"/>
    </xf>
    <xf numFmtId="164" fontId="36" fillId="0" borderId="0" xfId="504" applyNumberFormat="1" applyFont="1" applyFill="1" applyBorder="1" applyAlignment="1">
      <alignment horizontal="center"/>
    </xf>
    <xf numFmtId="164" fontId="35" fillId="0" borderId="0" xfId="504" applyNumberFormat="1" applyFont="1" applyFill="1" applyBorder="1" applyAlignment="1">
      <alignment horizontal="center"/>
    </xf>
    <xf numFmtId="164" fontId="35" fillId="0" borderId="0" xfId="403" applyNumberFormat="1" applyFont="1" applyFill="1" applyBorder="1" applyAlignment="1"/>
    <xf numFmtId="164" fontId="35" fillId="0" borderId="0" xfId="403" applyNumberFormat="1" applyFont="1" applyBorder="1"/>
    <xf numFmtId="164" fontId="35" fillId="0" borderId="0" xfId="504" applyNumberFormat="1" applyFont="1" applyBorder="1"/>
    <xf numFmtId="164" fontId="35" fillId="0" borderId="0" xfId="403" applyNumberFormat="1" applyFont="1" applyFill="1" applyBorder="1"/>
    <xf numFmtId="164" fontId="35" fillId="0" borderId="0" xfId="403" applyNumberFormat="1" applyFont="1" applyFill="1" applyAlignment="1"/>
    <xf numFmtId="164" fontId="35" fillId="0" borderId="0" xfId="403" applyNumberFormat="1" applyFont="1" applyFill="1" applyBorder="1" applyAlignment="1">
      <alignment horizontal="right"/>
    </xf>
    <xf numFmtId="0" fontId="35" fillId="0" borderId="0" xfId="0" applyFont="1" applyFill="1" applyAlignment="1">
      <alignment horizontal="left"/>
    </xf>
    <xf numFmtId="164" fontId="35" fillId="0" borderId="0" xfId="403" applyNumberFormat="1" applyFont="1"/>
    <xf numFmtId="164" fontId="35" fillId="37" borderId="0" xfId="382" applyNumberFormat="1" applyFont="1" applyFill="1"/>
    <xf numFmtId="0" fontId="39" fillId="0" borderId="0" xfId="0" applyFont="1" applyAlignment="1">
      <alignment horizontal="center"/>
    </xf>
    <xf numFmtId="10" fontId="39" fillId="37" borderId="26" xfId="674" applyNumberFormat="1" applyFont="1" applyFill="1" applyBorder="1" applyAlignment="1"/>
    <xf numFmtId="164" fontId="39" fillId="37" borderId="26" xfId="382" applyNumberFormat="1" applyFont="1" applyFill="1" applyBorder="1" applyAlignment="1"/>
    <xf numFmtId="0" fontId="36" fillId="0" borderId="0" xfId="564" quotePrefix="1" applyFont="1" applyFill="1" applyBorder="1" applyAlignment="1">
      <alignment vertical="top"/>
    </xf>
    <xf numFmtId="0" fontId="35" fillId="0" borderId="0" xfId="11272">
      <alignment vertical="top"/>
    </xf>
    <xf numFmtId="0" fontId="98" fillId="0" borderId="0" xfId="11272" applyFont="1" applyAlignment="1">
      <alignment horizontal="center"/>
    </xf>
    <xf numFmtId="0" fontId="103" fillId="0" borderId="0" xfId="496" applyFont="1"/>
    <xf numFmtId="0" fontId="86" fillId="0" borderId="0" xfId="569" applyFont="1"/>
    <xf numFmtId="0" fontId="114" fillId="0" borderId="0" xfId="496" applyFont="1"/>
    <xf numFmtId="0" fontId="35" fillId="0" borderId="0" xfId="11267" applyFont="1" applyFill="1" applyAlignment="1">
      <alignment horizontal="left"/>
    </xf>
    <xf numFmtId="0" fontId="103" fillId="0" borderId="0" xfId="496" applyFont="1" applyAlignment="1">
      <alignment horizontal="center"/>
    </xf>
    <xf numFmtId="0" fontId="36" fillId="0" borderId="0" xfId="0" applyFont="1" applyAlignment="1"/>
    <xf numFmtId="0" fontId="35" fillId="0" borderId="0" xfId="504" applyFont="1" applyFill="1" applyAlignment="1">
      <alignment horizontal="left"/>
    </xf>
    <xf numFmtId="0" fontId="35" fillId="0" borderId="0" xfId="504" applyFont="1" applyBorder="1" applyAlignment="1">
      <alignment horizontal="left"/>
    </xf>
    <xf numFmtId="0" fontId="35" fillId="0" borderId="0" xfId="504" applyFont="1" applyFill="1" applyBorder="1" applyAlignment="1">
      <alignment horizontal="center"/>
    </xf>
    <xf numFmtId="0" fontId="36" fillId="0" borderId="0" xfId="504" applyFont="1" applyFill="1" applyBorder="1"/>
    <xf numFmtId="164" fontId="36" fillId="0" borderId="0" xfId="403" applyNumberFormat="1" applyFont="1" applyFill="1" applyBorder="1" applyAlignment="1"/>
    <xf numFmtId="37" fontId="35" fillId="0" borderId="0" xfId="0" applyNumberFormat="1" applyFont="1" applyFill="1"/>
    <xf numFmtId="0" fontId="35" fillId="0" borderId="0" xfId="0" quotePrefix="1" applyFont="1" applyFill="1" applyAlignment="1">
      <alignment horizontal="center"/>
    </xf>
    <xf numFmtId="164" fontId="35" fillId="0" borderId="0" xfId="382" applyNumberFormat="1" applyFont="1" applyAlignment="1"/>
    <xf numFmtId="164" fontId="35" fillId="0" borderId="18" xfId="403" applyNumberFormat="1" applyFont="1" applyBorder="1"/>
    <xf numFmtId="0" fontId="35" fillId="0" borderId="0" xfId="504" applyFont="1" applyAlignment="1">
      <alignment horizontal="center"/>
    </xf>
    <xf numFmtId="0" fontId="35" fillId="0" borderId="0" xfId="504" applyFont="1" applyAlignment="1">
      <alignment wrapText="1"/>
    </xf>
    <xf numFmtId="0" fontId="35" fillId="0" borderId="0" xfId="591" applyFont="1" applyFill="1" applyBorder="1" applyAlignment="1">
      <alignment horizontal="center"/>
    </xf>
    <xf numFmtId="164" fontId="35" fillId="0" borderId="0" xfId="504" applyNumberFormat="1" applyFont="1" applyFill="1" applyBorder="1" applyAlignment="1">
      <alignment wrapText="1"/>
    </xf>
    <xf numFmtId="43" fontId="35" fillId="0" borderId="0" xfId="504" applyNumberFormat="1" applyFont="1"/>
    <xf numFmtId="167" fontId="35" fillId="0" borderId="0" xfId="504" applyNumberFormat="1" applyFont="1" applyFill="1" applyBorder="1"/>
    <xf numFmtId="164" fontId="35" fillId="0" borderId="0" xfId="404" applyNumberFormat="1" applyFont="1" applyFill="1" applyBorder="1"/>
    <xf numFmtId="0" fontId="44" fillId="0" borderId="0" xfId="504" applyFont="1" applyFill="1" applyBorder="1" applyAlignment="1">
      <alignment horizontal="left"/>
    </xf>
    <xf numFmtId="0" fontId="35" fillId="0" borderId="0" xfId="504" applyFont="1" applyBorder="1" applyAlignment="1">
      <alignment horizontal="center"/>
    </xf>
    <xf numFmtId="0" fontId="39" fillId="0" borderId="22" xfId="0" applyNumberFormat="1" applyFont="1" applyFill="1" applyBorder="1" applyAlignment="1">
      <alignment horizontal="center" vertical="top"/>
    </xf>
    <xf numFmtId="0" fontId="39" fillId="0" borderId="0" xfId="0" applyFont="1" applyFill="1" applyBorder="1" applyAlignment="1">
      <alignment vertical="top"/>
    </xf>
    <xf numFmtId="3" fontId="39" fillId="0" borderId="0" xfId="0" applyNumberFormat="1" applyFont="1" applyFill="1" applyBorder="1" applyAlignment="1">
      <alignment horizontal="left" vertical="top"/>
    </xf>
    <xf numFmtId="0" fontId="39" fillId="0" borderId="0" xfId="0" applyFont="1" applyFill="1" applyAlignment="1">
      <alignment vertical="top"/>
    </xf>
    <xf numFmtId="0" fontId="39" fillId="0" borderId="0" xfId="0" applyNumberFormat="1" applyFont="1" applyFill="1" applyAlignment="1">
      <alignment horizontal="center" vertical="top"/>
    </xf>
    <xf numFmtId="0" fontId="39" fillId="50" borderId="0" xfId="0" applyFont="1" applyFill="1" applyBorder="1" applyAlignment="1"/>
    <xf numFmtId="0" fontId="39" fillId="50" borderId="0" xfId="0" applyFont="1" applyFill="1" applyBorder="1"/>
    <xf numFmtId="0" fontId="37" fillId="50" borderId="0" xfId="0" applyFont="1" applyFill="1" applyBorder="1" applyAlignment="1"/>
    <xf numFmtId="0" fontId="39" fillId="50" borderId="11" xfId="0" applyFont="1" applyFill="1" applyBorder="1" applyAlignment="1">
      <alignment horizontal="center" wrapText="1"/>
    </xf>
    <xf numFmtId="0" fontId="37" fillId="50" borderId="6" xfId="0" applyFont="1" applyFill="1" applyBorder="1" applyAlignment="1"/>
    <xf numFmtId="0" fontId="39" fillId="50" borderId="6" xfId="0" applyFont="1" applyFill="1" applyBorder="1" applyAlignment="1"/>
    <xf numFmtId="0" fontId="37" fillId="50" borderId="6" xfId="0" applyNumberFormat="1" applyFont="1" applyFill="1" applyBorder="1" applyAlignment="1">
      <alignment horizontal="center"/>
    </xf>
    <xf numFmtId="0" fontId="39" fillId="50" borderId="6" xfId="0" applyFont="1" applyFill="1" applyBorder="1"/>
    <xf numFmtId="0" fontId="39" fillId="50" borderId="21" xfId="0" applyFont="1" applyFill="1" applyBorder="1" applyAlignment="1">
      <alignment horizontal="center" wrapText="1"/>
    </xf>
    <xf numFmtId="0" fontId="39" fillId="50" borderId="21" xfId="0" applyFont="1" applyFill="1" applyBorder="1"/>
    <xf numFmtId="3" fontId="39" fillId="0" borderId="35" xfId="0" applyNumberFormat="1" applyFont="1" applyFill="1" applyBorder="1" applyAlignment="1">
      <alignment vertical="top"/>
    </xf>
    <xf numFmtId="164" fontId="35" fillId="0" borderId="0" xfId="382" applyNumberFormat="1" applyFont="1"/>
    <xf numFmtId="171" fontId="39" fillId="0" borderId="30" xfId="674" applyNumberFormat="1" applyFont="1" applyFill="1" applyBorder="1"/>
    <xf numFmtId="168" fontId="39" fillId="0" borderId="0" xfId="0" applyNumberFormat="1" applyFont="1" applyFill="1" applyBorder="1" applyAlignment="1">
      <alignment horizontal="left"/>
    </xf>
    <xf numFmtId="10" fontId="39" fillId="0" borderId="30" xfId="674" applyNumberFormat="1" applyFont="1" applyFill="1" applyBorder="1" applyAlignment="1"/>
    <xf numFmtId="10" fontId="37" fillId="0" borderId="26" xfId="674" applyNumberFormat="1" applyFont="1" applyFill="1" applyBorder="1" applyAlignment="1"/>
    <xf numFmtId="3" fontId="39" fillId="0" borderId="35" xfId="0" applyNumberFormat="1" applyFont="1" applyFill="1" applyBorder="1" applyAlignment="1">
      <alignment horizontal="left"/>
    </xf>
    <xf numFmtId="0" fontId="39" fillId="0" borderId="0" xfId="0" applyFont="1" applyAlignment="1">
      <alignment vertical="center"/>
    </xf>
    <xf numFmtId="0" fontId="39" fillId="0" borderId="0" xfId="0" applyFont="1" applyFill="1" applyAlignment="1">
      <alignment vertical="center"/>
    </xf>
    <xf numFmtId="164" fontId="35" fillId="37" borderId="18" xfId="382" applyNumberFormat="1" applyFont="1" applyFill="1" applyBorder="1"/>
    <xf numFmtId="0" fontId="39" fillId="0" borderId="37" xfId="0" applyFont="1" applyFill="1" applyBorder="1"/>
    <xf numFmtId="0" fontId="39" fillId="0" borderId="0" xfId="0" applyFont="1"/>
    <xf numFmtId="0" fontId="39" fillId="0" borderId="0" xfId="0" applyFont="1" applyFill="1"/>
    <xf numFmtId="0" fontId="35" fillId="0" borderId="0" xfId="504" applyFont="1" applyFill="1" applyBorder="1"/>
    <xf numFmtId="164" fontId="35" fillId="0" borderId="0" xfId="382" applyNumberFormat="1" applyFont="1" applyFill="1" applyBorder="1"/>
    <xf numFmtId="0" fontId="36" fillId="0" borderId="0" xfId="504" applyNumberFormat="1" applyFont="1" applyFill="1" applyBorder="1" applyAlignment="1"/>
    <xf numFmtId="3" fontId="36" fillId="0" borderId="0" xfId="504" applyNumberFormat="1" applyFont="1" applyFill="1" applyBorder="1" applyAlignment="1">
      <alignment horizontal="center"/>
    </xf>
    <xf numFmtId="0" fontId="36" fillId="0" borderId="0" xfId="504" applyNumberFormat="1" applyFont="1" applyFill="1" applyBorder="1" applyAlignment="1">
      <alignment horizontal="left"/>
    </xf>
    <xf numFmtId="0" fontId="35" fillId="0" borderId="0" xfId="504" applyNumberFormat="1" applyFont="1" applyFill="1" applyBorder="1" applyAlignment="1">
      <alignment horizontal="left"/>
    </xf>
    <xf numFmtId="0" fontId="35" fillId="0" borderId="0" xfId="504" applyNumberFormat="1" applyFont="1" applyFill="1" applyBorder="1" applyAlignment="1">
      <alignment horizontal="center"/>
    </xf>
    <xf numFmtId="0" fontId="36" fillId="0" borderId="0" xfId="504" applyFont="1" applyFill="1" applyBorder="1" applyAlignment="1"/>
    <xf numFmtId="3" fontId="36" fillId="0" borderId="0" xfId="504" applyNumberFormat="1" applyFont="1" applyFill="1" applyBorder="1" applyAlignment="1"/>
    <xf numFmtId="164" fontId="36" fillId="0" borderId="0" xfId="13644" applyNumberFormat="1" applyFont="1"/>
    <xf numFmtId="10" fontId="39" fillId="0" borderId="26" xfId="0" applyNumberFormat="1" applyFont="1" applyFill="1" applyBorder="1" applyAlignment="1"/>
    <xf numFmtId="169" fontId="39" fillId="0" borderId="0" xfId="0" applyNumberFormat="1" applyFont="1" applyFill="1" applyBorder="1" applyAlignment="1"/>
    <xf numFmtId="164" fontId="35" fillId="0" borderId="0" xfId="504" applyNumberFormat="1" applyFont="1" applyFill="1"/>
    <xf numFmtId="167" fontId="35" fillId="0" borderId="0" xfId="434" applyNumberFormat="1" applyFont="1" applyFill="1" applyBorder="1" applyAlignment="1">
      <alignment horizontal="center" wrapText="1"/>
    </xf>
    <xf numFmtId="164" fontId="55" fillId="37" borderId="0" xfId="382" applyNumberFormat="1" applyFont="1" applyFill="1" applyAlignment="1">
      <alignment horizontal="left"/>
    </xf>
    <xf numFmtId="41" fontId="35" fillId="0" borderId="0" xfId="484" applyNumberFormat="1" applyFont="1" applyFill="1" applyBorder="1" applyAlignment="1">
      <alignment vertical="top"/>
    </xf>
    <xf numFmtId="0" fontId="35" fillId="0" borderId="0" xfId="0" applyFont="1" applyAlignment="1">
      <alignment horizontal="left" indent="1"/>
    </xf>
    <xf numFmtId="0" fontId="55" fillId="0" borderId="0" xfId="11275" applyFont="1"/>
    <xf numFmtId="0" fontId="39" fillId="0" borderId="47" xfId="0" applyNumberFormat="1" applyFont="1" applyFill="1" applyBorder="1" applyAlignment="1"/>
    <xf numFmtId="3" fontId="39" fillId="0" borderId="47" xfId="0" applyNumberFormat="1" applyFont="1" applyFill="1" applyBorder="1" applyAlignment="1"/>
    <xf numFmtId="3" fontId="39" fillId="0" borderId="47" xfId="0" applyNumberFormat="1" applyFont="1" applyFill="1" applyBorder="1" applyAlignment="1">
      <alignment horizontal="center"/>
    </xf>
    <xf numFmtId="0" fontId="39" fillId="0" borderId="47" xfId="0" applyFont="1" applyFill="1" applyBorder="1" applyAlignment="1"/>
    <xf numFmtId="0" fontId="39" fillId="0" borderId="47" xfId="0" applyFont="1" applyFill="1" applyBorder="1" applyAlignment="1">
      <alignment horizontal="center"/>
    </xf>
    <xf numFmtId="0" fontId="37" fillId="0" borderId="47" xfId="0" applyNumberFormat="1" applyFont="1" applyFill="1" applyBorder="1" applyAlignment="1"/>
    <xf numFmtId="0" fontId="39" fillId="0" borderId="47" xfId="0" applyFont="1" applyFill="1" applyBorder="1"/>
    <xf numFmtId="0" fontId="37" fillId="0" borderId="47" xfId="0" applyFont="1" applyFill="1" applyBorder="1"/>
    <xf numFmtId="0" fontId="37" fillId="0" borderId="47" xfId="0" applyFont="1" applyFill="1" applyBorder="1" applyAlignment="1"/>
    <xf numFmtId="0" fontId="37" fillId="0" borderId="47" xfId="0" applyNumberFormat="1" applyFont="1" applyFill="1" applyBorder="1" applyAlignment="1">
      <alignment horizontal="center"/>
    </xf>
    <xf numFmtId="43" fontId="39" fillId="0" borderId="47" xfId="0" applyNumberFormat="1" applyFont="1" applyFill="1" applyBorder="1" applyAlignment="1"/>
    <xf numFmtId="3" fontId="37" fillId="0" borderId="38" xfId="0" applyNumberFormat="1" applyFont="1" applyFill="1" applyBorder="1" applyAlignment="1"/>
    <xf numFmtId="169" fontId="104" fillId="0" borderId="0" xfId="37694" applyFont="1" applyAlignment="1"/>
    <xf numFmtId="164" fontId="104" fillId="0" borderId="0" xfId="382" applyNumberFormat="1" applyFont="1" applyAlignment="1"/>
    <xf numFmtId="0" fontId="104" fillId="0" borderId="0" xfId="37695" applyFont="1"/>
    <xf numFmtId="0" fontId="104" fillId="0" borderId="0" xfId="37695" applyFont="1" applyAlignment="1">
      <alignment horizontal="right"/>
    </xf>
    <xf numFmtId="169" fontId="104" fillId="0" borderId="0" xfId="37696" applyFont="1" applyAlignment="1"/>
    <xf numFmtId="0" fontId="104" fillId="0" borderId="0" xfId="37696" applyNumberFormat="1" applyFont="1" applyAlignment="1" applyProtection="1">
      <protection locked="0"/>
    </xf>
    <xf numFmtId="0" fontId="104" fillId="0" borderId="0" xfId="37696" applyNumberFormat="1" applyFont="1" applyAlignment="1" applyProtection="1">
      <alignment horizontal="center"/>
      <protection locked="0"/>
    </xf>
    <xf numFmtId="0" fontId="104" fillId="0" borderId="0" xfId="37696" applyNumberFormat="1" applyFont="1" applyFill="1" applyAlignment="1" applyProtection="1">
      <protection locked="0"/>
    </xf>
    <xf numFmtId="0" fontId="104" fillId="0" borderId="0" xfId="37696" applyNumberFormat="1" applyFont="1" applyFill="1" applyProtection="1">
      <protection locked="0"/>
    </xf>
    <xf numFmtId="3" fontId="104" fillId="0" borderId="0" xfId="37696" applyNumberFormat="1" applyFont="1" applyAlignment="1">
      <alignment horizontal="center"/>
    </xf>
    <xf numFmtId="3" fontId="104" fillId="0" borderId="0" xfId="37696" applyNumberFormat="1" applyFont="1" applyAlignment="1"/>
    <xf numFmtId="0" fontId="104" fillId="0" borderId="0" xfId="37696" applyNumberFormat="1" applyFont="1" applyProtection="1">
      <protection locked="0"/>
    </xf>
    <xf numFmtId="0" fontId="104" fillId="0" borderId="0" xfId="37696" applyNumberFormat="1" applyFont="1"/>
    <xf numFmtId="0" fontId="124" fillId="0" borderId="0" xfId="37696" applyNumberFormat="1" applyFont="1"/>
    <xf numFmtId="0" fontId="104" fillId="0" borderId="0" xfId="37696" applyNumberFormat="1" applyFont="1" applyFill="1"/>
    <xf numFmtId="49" fontId="104" fillId="0" borderId="0" xfId="37696" applyNumberFormat="1" applyFont="1" applyAlignment="1"/>
    <xf numFmtId="49" fontId="104" fillId="0" borderId="0" xfId="37696" applyNumberFormat="1" applyFont="1" applyAlignment="1">
      <alignment horizontal="center"/>
    </xf>
    <xf numFmtId="164" fontId="104" fillId="0" borderId="0" xfId="382" applyNumberFormat="1" applyFont="1" applyAlignment="1">
      <alignment horizontal="left"/>
    </xf>
    <xf numFmtId="0" fontId="104" fillId="0" borderId="0" xfId="37696" applyNumberFormat="1" applyFont="1" applyAlignment="1">
      <alignment horizontal="center"/>
    </xf>
    <xf numFmtId="49" fontId="104" fillId="0" borderId="0" xfId="37696" applyNumberFormat="1" applyFont="1"/>
    <xf numFmtId="0" fontId="104" fillId="0" borderId="7" xfId="37696" applyNumberFormat="1" applyFont="1" applyBorder="1" applyAlignment="1" applyProtection="1">
      <alignment horizontal="center"/>
      <protection locked="0"/>
    </xf>
    <xf numFmtId="3" fontId="104" fillId="0" borderId="0" xfId="37696" applyNumberFormat="1" applyFont="1"/>
    <xf numFmtId="164" fontId="104" fillId="0" borderId="0" xfId="382" applyNumberFormat="1" applyFont="1" applyFill="1" applyAlignment="1"/>
    <xf numFmtId="0" fontId="104" fillId="0" borderId="0" xfId="37696" applyNumberFormat="1" applyFont="1" applyFill="1" applyAlignment="1"/>
    <xf numFmtId="3" fontId="104" fillId="0" borderId="0" xfId="37696" applyNumberFormat="1" applyFont="1" applyFill="1" applyAlignment="1"/>
    <xf numFmtId="0" fontId="104" fillId="0" borderId="7" xfId="37696" applyNumberFormat="1" applyFont="1" applyFill="1" applyBorder="1" applyAlignment="1" applyProtection="1">
      <alignment horizontal="center"/>
      <protection locked="0"/>
    </xf>
    <xf numFmtId="0" fontId="104" fillId="0" borderId="7" xfId="37696" applyNumberFormat="1" applyFont="1" applyFill="1" applyBorder="1" applyAlignment="1" applyProtection="1">
      <alignment horizontal="centerContinuous"/>
      <protection locked="0"/>
    </xf>
    <xf numFmtId="3" fontId="104" fillId="0" borderId="0" xfId="37696" applyNumberFormat="1" applyFont="1" applyFill="1"/>
    <xf numFmtId="170" fontId="104" fillId="0" borderId="0" xfId="382" applyNumberFormat="1" applyFont="1" applyFill="1" applyAlignment="1"/>
    <xf numFmtId="3" fontId="104" fillId="0" borderId="0" xfId="37695" applyNumberFormat="1" applyFont="1" applyFill="1" applyAlignment="1"/>
    <xf numFmtId="43" fontId="104" fillId="0" borderId="0" xfId="382" applyFont="1" applyFill="1" applyAlignment="1"/>
    <xf numFmtId="3" fontId="104" fillId="0" borderId="0" xfId="37696" applyNumberFormat="1" applyFont="1" applyFill="1" applyAlignment="1">
      <alignment horizontal="left"/>
    </xf>
    <xf numFmtId="43" fontId="104" fillId="0" borderId="7" xfId="382" applyFont="1" applyFill="1" applyBorder="1" applyAlignment="1"/>
    <xf numFmtId="43" fontId="104" fillId="0" borderId="0" xfId="382" applyFont="1" applyFill="1" applyAlignment="1">
      <alignment horizontal="fill"/>
    </xf>
    <xf numFmtId="189" fontId="104" fillId="0" borderId="0" xfId="37695" applyNumberFormat="1" applyFont="1" applyFill="1" applyAlignment="1"/>
    <xf numFmtId="169" fontId="104" fillId="0" borderId="0" xfId="37696" applyFont="1" applyFill="1" applyAlignment="1"/>
    <xf numFmtId="189" fontId="104" fillId="0" borderId="0" xfId="37696" applyNumberFormat="1" applyFont="1" applyFill="1" applyAlignment="1"/>
    <xf numFmtId="0" fontId="104" fillId="0" borderId="0" xfId="37698" applyNumberFormat="1" applyFont="1" applyFill="1" applyAlignment="1"/>
    <xf numFmtId="0" fontId="104" fillId="0" borderId="0" xfId="37698" applyNumberFormat="1" applyFont="1" applyFill="1"/>
    <xf numFmtId="0" fontId="104" fillId="0" borderId="0" xfId="37698" applyNumberFormat="1" applyFont="1" applyFill="1" applyBorder="1" applyAlignment="1"/>
    <xf numFmtId="189" fontId="104" fillId="0" borderId="0" xfId="37698" applyNumberFormat="1" applyFont="1" applyFill="1" applyAlignment="1"/>
    <xf numFmtId="169" fontId="104" fillId="0" borderId="0" xfId="37694" applyFont="1" applyFill="1" applyAlignment="1"/>
    <xf numFmtId="0" fontId="104" fillId="0" borderId="0" xfId="37696" applyNumberFormat="1" applyFont="1" applyFill="1" applyBorder="1"/>
    <xf numFmtId="0" fontId="104" fillId="0" borderId="0" xfId="37698" applyFont="1" applyFill="1" applyAlignment="1"/>
    <xf numFmtId="3" fontId="104" fillId="0" borderId="0" xfId="37698" applyNumberFormat="1" applyFont="1" applyFill="1" applyAlignment="1"/>
    <xf numFmtId="0" fontId="104" fillId="0" borderId="0" xfId="37696" applyNumberFormat="1" applyFont="1" applyFill="1" applyBorder="1" applyAlignment="1" applyProtection="1">
      <alignment horizontal="center"/>
      <protection locked="0"/>
    </xf>
    <xf numFmtId="3" fontId="104" fillId="0" borderId="0" xfId="37696" applyNumberFormat="1" applyFont="1" applyFill="1" applyBorder="1"/>
    <xf numFmtId="169" fontId="104" fillId="0" borderId="0" xfId="37696" applyFont="1" applyFill="1" applyBorder="1" applyAlignment="1"/>
    <xf numFmtId="0" fontId="104" fillId="0" borderId="0" xfId="37696" applyNumberFormat="1" applyFont="1" applyFill="1" applyBorder="1" applyProtection="1">
      <protection locked="0"/>
    </xf>
    <xf numFmtId="0" fontId="104" fillId="0" borderId="0" xfId="37696" applyNumberFormat="1" applyFont="1" applyFill="1" applyBorder="1" applyAlignment="1"/>
    <xf numFmtId="0" fontId="104" fillId="0" borderId="0" xfId="37694" applyNumberFormat="1" applyFont="1" applyFill="1" applyAlignment="1"/>
    <xf numFmtId="0" fontId="104" fillId="0" borderId="0" xfId="37694" applyNumberFormat="1" applyFont="1" applyFill="1"/>
    <xf numFmtId="3" fontId="104" fillId="0" borderId="0" xfId="37694" applyNumberFormat="1" applyFont="1" applyFill="1"/>
    <xf numFmtId="43" fontId="104" fillId="0" borderId="0" xfId="382" applyFont="1" applyFill="1"/>
    <xf numFmtId="0" fontId="104" fillId="0" borderId="0" xfId="37694" applyNumberFormat="1" applyFont="1" applyFill="1" applyProtection="1">
      <protection locked="0"/>
    </xf>
    <xf numFmtId="164" fontId="104" fillId="0" borderId="0" xfId="382" applyNumberFormat="1" applyFont="1" applyFill="1"/>
    <xf numFmtId="3" fontId="104" fillId="0" borderId="0" xfId="37694" applyNumberFormat="1" applyFont="1" applyFill="1" applyAlignment="1"/>
    <xf numFmtId="43" fontId="104" fillId="0" borderId="0" xfId="382" applyFont="1" applyFill="1" applyBorder="1"/>
    <xf numFmtId="43" fontId="104" fillId="0" borderId="7" xfId="382" applyFont="1" applyFill="1" applyBorder="1"/>
    <xf numFmtId="0" fontId="104" fillId="0" borderId="0" xfId="37694" applyNumberFormat="1" applyFont="1" applyFill="1" applyAlignment="1" applyProtection="1">
      <protection locked="0"/>
    </xf>
    <xf numFmtId="43" fontId="104" fillId="0" borderId="0" xfId="382" applyFont="1" applyFill="1" applyAlignment="1">
      <alignment horizontal="center"/>
    </xf>
    <xf numFmtId="0" fontId="104" fillId="0" borderId="0" xfId="37694" applyNumberFormat="1" applyFont="1" applyFill="1" applyAlignment="1">
      <alignment horizontal="left"/>
    </xf>
    <xf numFmtId="0" fontId="104" fillId="0" borderId="0" xfId="37694" applyNumberFormat="1" applyFont="1" applyAlignment="1"/>
    <xf numFmtId="43" fontId="104" fillId="0" borderId="0" xfId="382" applyFont="1" applyProtection="1">
      <protection locked="0"/>
    </xf>
    <xf numFmtId="190" fontId="104" fillId="0" borderId="0" xfId="37694" applyNumberFormat="1" applyFont="1" applyProtection="1">
      <protection locked="0"/>
    </xf>
    <xf numFmtId="0" fontId="104" fillId="0" borderId="0" xfId="37694" applyNumberFormat="1" applyFont="1" applyFill="1" applyAlignment="1" applyProtection="1">
      <alignment horizontal="center"/>
      <protection locked="0"/>
    </xf>
    <xf numFmtId="190" fontId="104" fillId="0" borderId="0" xfId="37694" applyNumberFormat="1" applyFont="1" applyFill="1" applyProtection="1">
      <protection locked="0"/>
    </xf>
    <xf numFmtId="0" fontId="104" fillId="0" borderId="0" xfId="37696" applyNumberFormat="1" applyFont="1" applyAlignment="1"/>
    <xf numFmtId="190" fontId="104" fillId="0" borderId="0" xfId="37696" applyNumberFormat="1" applyFont="1" applyFill="1" applyProtection="1">
      <protection locked="0"/>
    </xf>
    <xf numFmtId="190" fontId="104" fillId="0" borderId="0" xfId="37696" applyNumberFormat="1" applyFont="1" applyProtection="1">
      <protection locked="0"/>
    </xf>
    <xf numFmtId="0" fontId="104" fillId="0" borderId="0" xfId="37695" applyFont="1" applyFill="1" applyAlignment="1">
      <alignment horizontal="right"/>
    </xf>
    <xf numFmtId="166" fontId="104" fillId="0" borderId="0" xfId="37696" applyNumberFormat="1" applyFont="1"/>
    <xf numFmtId="0" fontId="104" fillId="0" borderId="0" xfId="37696" applyNumberFormat="1" applyFont="1" applyAlignment="1">
      <alignment horizontal="right"/>
    </xf>
    <xf numFmtId="0" fontId="127" fillId="0" borderId="0" xfId="37696" applyNumberFormat="1" applyFont="1" applyAlignment="1"/>
    <xf numFmtId="0" fontId="91" fillId="0" borderId="0" xfId="37696" applyNumberFormat="1" applyFont="1" applyAlignment="1" applyProtection="1">
      <alignment horizontal="center"/>
      <protection locked="0"/>
    </xf>
    <xf numFmtId="3" fontId="91" fillId="0" borderId="0" xfId="37696" applyNumberFormat="1" applyFont="1" applyAlignment="1"/>
    <xf numFmtId="0" fontId="91" fillId="0" borderId="0" xfId="37696" applyNumberFormat="1" applyFont="1" applyAlignment="1"/>
    <xf numFmtId="0" fontId="104" fillId="0" borderId="0" xfId="37696" applyNumberFormat="1" applyFont="1" applyFill="1" applyAlignment="1" applyProtection="1">
      <alignment horizontal="center"/>
      <protection locked="0"/>
    </xf>
    <xf numFmtId="191" fontId="104" fillId="0" borderId="0" xfId="37696" applyNumberFormat="1" applyFont="1" applyFill="1" applyAlignment="1"/>
    <xf numFmtId="10" fontId="104" fillId="0" borderId="0" xfId="674" applyNumberFormat="1" applyFont="1" applyAlignment="1"/>
    <xf numFmtId="164" fontId="104" fillId="0" borderId="7" xfId="382" applyNumberFormat="1" applyFont="1" applyFill="1" applyBorder="1" applyAlignment="1"/>
    <xf numFmtId="170" fontId="104" fillId="0" borderId="0" xfId="382" applyNumberFormat="1" applyFont="1" applyFill="1" applyAlignment="1">
      <alignment horizontal="center"/>
    </xf>
    <xf numFmtId="170" fontId="104" fillId="0" borderId="0" xfId="37696" applyNumberFormat="1" applyFont="1" applyFill="1" applyAlignment="1">
      <alignment horizontal="center"/>
    </xf>
    <xf numFmtId="170" fontId="104" fillId="0" borderId="0" xfId="37696" applyNumberFormat="1" applyFont="1" applyFill="1" applyAlignment="1"/>
    <xf numFmtId="3" fontId="104" fillId="0" borderId="0" xfId="37698" applyNumberFormat="1" applyFont="1" applyFill="1" applyBorder="1" applyAlignment="1"/>
    <xf numFmtId="164" fontId="104" fillId="0" borderId="0" xfId="382" applyNumberFormat="1" applyFont="1" applyFill="1" applyBorder="1" applyAlignment="1"/>
    <xf numFmtId="3" fontId="127" fillId="0" borderId="0" xfId="37696" applyNumberFormat="1" applyFont="1" applyFill="1" applyAlignment="1"/>
    <xf numFmtId="169" fontId="127" fillId="0" borderId="0" xfId="37694" applyFont="1" applyFill="1" applyAlignment="1"/>
    <xf numFmtId="169" fontId="127" fillId="0" borderId="0" xfId="37694" applyFont="1" applyAlignment="1"/>
    <xf numFmtId="191" fontId="104" fillId="0" borderId="0" xfId="37695" applyNumberFormat="1" applyFont="1" applyFill="1" applyAlignment="1">
      <alignment horizontal="right"/>
    </xf>
    <xf numFmtId="168" fontId="104" fillId="0" borderId="0" xfId="37696" applyNumberFormat="1" applyFont="1" applyFill="1" applyAlignment="1">
      <alignment horizontal="center"/>
    </xf>
    <xf numFmtId="170" fontId="104" fillId="0" borderId="0" xfId="382" applyNumberFormat="1" applyFont="1" applyFill="1" applyAlignment="1">
      <alignment horizontal="right"/>
    </xf>
    <xf numFmtId="0" fontId="104" fillId="0" borderId="0" xfId="37695" applyNumberFormat="1" applyFont="1" applyFill="1"/>
    <xf numFmtId="164" fontId="104" fillId="0" borderId="40" xfId="382" applyNumberFormat="1" applyFont="1" applyFill="1" applyBorder="1" applyAlignment="1"/>
    <xf numFmtId="168" fontId="104" fillId="0" borderId="0" xfId="37695" applyNumberFormat="1" applyFont="1" applyFill="1" applyAlignment="1">
      <alignment horizontal="center"/>
    </xf>
    <xf numFmtId="3" fontId="104" fillId="0" borderId="0" xfId="37695" applyNumberFormat="1" applyFont="1" applyFill="1" applyBorder="1" applyAlignment="1"/>
    <xf numFmtId="3" fontId="104" fillId="0" borderId="0" xfId="37696" applyNumberFormat="1" applyFont="1" applyFill="1" applyAlignment="1">
      <alignment horizontal="right"/>
    </xf>
    <xf numFmtId="3" fontId="104" fillId="0" borderId="0" xfId="37696" applyNumberFormat="1" applyFont="1" applyFill="1" applyAlignment="1">
      <alignment horizontal="center"/>
    </xf>
    <xf numFmtId="0" fontId="104" fillId="0" borderId="0" xfId="37695" applyFont="1" applyFill="1"/>
    <xf numFmtId="0" fontId="104" fillId="0" borderId="0" xfId="37696" applyNumberFormat="1" applyFont="1" applyFill="1" applyAlignment="1">
      <alignment horizontal="center"/>
    </xf>
    <xf numFmtId="49" fontId="104" fillId="0" borderId="0" xfId="37696" applyNumberFormat="1" applyFont="1" applyFill="1" applyAlignment="1">
      <alignment horizontal="center"/>
    </xf>
    <xf numFmtId="3" fontId="91" fillId="0" borderId="0" xfId="37696" applyNumberFormat="1" applyFont="1" applyFill="1" applyAlignment="1">
      <alignment horizontal="center"/>
    </xf>
    <xf numFmtId="0" fontId="91" fillId="0" borderId="0" xfId="37696" applyNumberFormat="1" applyFont="1" applyFill="1" applyAlignment="1" applyProtection="1">
      <alignment horizontal="center"/>
      <protection locked="0"/>
    </xf>
    <xf numFmtId="169" fontId="91" fillId="0" borderId="0" xfId="37696" applyFont="1" applyFill="1" applyAlignment="1">
      <alignment horizontal="center"/>
    </xf>
    <xf numFmtId="3" fontId="91" fillId="0" borderId="0" xfId="37696" applyNumberFormat="1" applyFont="1" applyFill="1" applyAlignment="1"/>
    <xf numFmtId="193" fontId="104" fillId="0" borderId="0" xfId="37694" applyNumberFormat="1" applyFont="1" applyAlignment="1"/>
    <xf numFmtId="0" fontId="104" fillId="0" borderId="0" xfId="37696" quotePrefix="1" applyNumberFormat="1" applyFont="1" applyFill="1"/>
    <xf numFmtId="0" fontId="104" fillId="0" borderId="0" xfId="37698" applyNumberFormat="1" applyFont="1" applyFill="1" applyAlignment="1" applyProtection="1">
      <alignment horizontal="center"/>
      <protection locked="0"/>
    </xf>
    <xf numFmtId="169" fontId="104" fillId="0" borderId="0" xfId="37694" quotePrefix="1" applyFont="1" applyFill="1" applyAlignment="1"/>
    <xf numFmtId="10" fontId="104" fillId="0" borderId="0" xfId="674" applyNumberFormat="1" applyFont="1" applyFill="1" applyAlignment="1"/>
    <xf numFmtId="3" fontId="128" fillId="0" borderId="0" xfId="37695" applyNumberFormat="1" applyFont="1" applyFill="1" applyAlignment="1"/>
    <xf numFmtId="3" fontId="128" fillId="0" borderId="0" xfId="37696" applyNumberFormat="1" applyFont="1" applyFill="1" applyAlignment="1"/>
    <xf numFmtId="169" fontId="128" fillId="0" borderId="0" xfId="37694" applyFont="1" applyFill="1" applyAlignment="1"/>
    <xf numFmtId="164" fontId="128" fillId="0" borderId="0" xfId="382" applyNumberFormat="1" applyFont="1" applyAlignment="1"/>
    <xf numFmtId="169" fontId="128" fillId="0" borderId="0" xfId="37694" applyFont="1" applyAlignment="1"/>
    <xf numFmtId="189" fontId="104" fillId="0" borderId="0" xfId="37696" applyNumberFormat="1" applyFont="1" applyFill="1" applyAlignment="1">
      <alignment horizontal="center"/>
    </xf>
    <xf numFmtId="194" fontId="104" fillId="0" borderId="0" xfId="37696" applyNumberFormat="1" applyFont="1" applyFill="1" applyAlignment="1"/>
    <xf numFmtId="189" fontId="104" fillId="0" borderId="0" xfId="37695" applyNumberFormat="1" applyFont="1" applyFill="1" applyAlignment="1">
      <alignment horizontal="center"/>
    </xf>
    <xf numFmtId="164" fontId="104" fillId="0" borderId="17" xfId="382" applyNumberFormat="1" applyFont="1" applyFill="1" applyBorder="1" applyAlignment="1"/>
    <xf numFmtId="164" fontId="104" fillId="0" borderId="53" xfId="382" applyNumberFormat="1" applyFont="1" applyFill="1" applyBorder="1" applyAlignment="1"/>
    <xf numFmtId="0" fontId="104" fillId="0" borderId="0" xfId="37695" applyNumberFormat="1" applyFont="1" applyFill="1" applyAlignment="1"/>
    <xf numFmtId="169" fontId="104" fillId="0" borderId="0" xfId="37696" applyFont="1" applyFill="1" applyAlignment="1">
      <alignment horizontal="center"/>
    </xf>
    <xf numFmtId="169" fontId="104" fillId="0" borderId="0" xfId="37696" applyFont="1" applyFill="1" applyAlignment="1">
      <alignment horizontal="right"/>
    </xf>
    <xf numFmtId="0" fontId="128" fillId="0" borderId="0" xfId="37696" applyNumberFormat="1" applyFont="1" applyFill="1" applyAlignment="1" applyProtection="1">
      <alignment horizontal="center"/>
      <protection locked="0"/>
    </xf>
    <xf numFmtId="0" fontId="91" fillId="0" borderId="0" xfId="37696" applyNumberFormat="1" applyFont="1" applyFill="1" applyAlignment="1"/>
    <xf numFmtId="0" fontId="104" fillId="0" borderId="7" xfId="37696" applyNumberFormat="1" applyFont="1" applyFill="1" applyBorder="1"/>
    <xf numFmtId="49" fontId="104" fillId="0" borderId="0" xfId="37696" applyNumberFormat="1" applyFont="1" applyFill="1" applyAlignment="1"/>
    <xf numFmtId="3" fontId="104" fillId="0" borderId="7" xfId="37696" applyNumberFormat="1" applyFont="1" applyFill="1" applyBorder="1" applyAlignment="1"/>
    <xf numFmtId="3" fontId="104" fillId="0" borderId="7" xfId="37696" applyNumberFormat="1" applyFont="1" applyFill="1" applyBorder="1" applyAlignment="1">
      <alignment horizontal="center"/>
    </xf>
    <xf numFmtId="43" fontId="104" fillId="0" borderId="0" xfId="382" applyNumberFormat="1" applyFont="1" applyFill="1" applyAlignment="1"/>
    <xf numFmtId="3" fontId="104" fillId="0" borderId="0" xfId="37695" applyNumberFormat="1" applyFont="1" applyFill="1" applyBorder="1" applyAlignment="1">
      <alignment horizontal="center"/>
    </xf>
    <xf numFmtId="0" fontId="104" fillId="0" borderId="7" xfId="37695" applyNumberFormat="1" applyFont="1" applyFill="1" applyBorder="1" applyAlignment="1">
      <alignment horizontal="center"/>
    </xf>
    <xf numFmtId="0" fontId="104" fillId="0" borderId="0" xfId="37695" applyNumberFormat="1" applyFont="1" applyFill="1" applyAlignment="1">
      <alignment horizontal="center"/>
    </xf>
    <xf numFmtId="192" fontId="104" fillId="0" borderId="0" xfId="382" applyNumberFormat="1" applyFont="1" applyFill="1" applyAlignment="1"/>
    <xf numFmtId="189" fontId="104" fillId="0" borderId="0" xfId="37696" applyNumberFormat="1" applyFont="1" applyFill="1" applyAlignment="1" applyProtection="1">
      <alignment horizontal="center"/>
      <protection locked="0"/>
    </xf>
    <xf numFmtId="0" fontId="104" fillId="0" borderId="0" xfId="37696" applyNumberFormat="1" applyFont="1" applyFill="1" applyAlignment="1">
      <alignment horizontal="left"/>
    </xf>
    <xf numFmtId="192" fontId="104" fillId="0" borderId="0" xfId="382" applyNumberFormat="1" applyFont="1" applyFill="1" applyAlignment="1">
      <alignment horizontal="center"/>
    </xf>
    <xf numFmtId="168" fontId="104" fillId="0" borderId="0" xfId="674" applyNumberFormat="1" applyFont="1" applyFill="1" applyAlignment="1"/>
    <xf numFmtId="3" fontId="104" fillId="0" borderId="0" xfId="37696" quotePrefix="1" applyNumberFormat="1" applyFont="1" applyFill="1" applyAlignment="1"/>
    <xf numFmtId="168" fontId="104" fillId="0" borderId="7" xfId="674" applyNumberFormat="1" applyFont="1" applyFill="1" applyBorder="1" applyAlignment="1"/>
    <xf numFmtId="164" fontId="104" fillId="0" borderId="0" xfId="382" applyNumberFormat="1" applyFont="1" applyFill="1" applyAlignment="1">
      <alignment horizontal="center"/>
    </xf>
    <xf numFmtId="0" fontId="129" fillId="0" borderId="0" xfId="37696" applyNumberFormat="1" applyFont="1" applyFill="1" applyProtection="1">
      <protection locked="0"/>
    </xf>
    <xf numFmtId="169" fontId="129" fillId="0" borderId="0" xfId="37696" applyFont="1" applyFill="1" applyAlignment="1"/>
    <xf numFmtId="169" fontId="104" fillId="0" borderId="0" xfId="37696" applyFont="1" applyFill="1" applyAlignment="1" applyProtection="1"/>
    <xf numFmtId="195" fontId="104" fillId="0" borderId="0" xfId="382" applyNumberFormat="1" applyFont="1" applyFill="1" applyBorder="1" applyProtection="1">
      <protection locked="0"/>
    </xf>
    <xf numFmtId="38" fontId="104" fillId="0" borderId="0" xfId="37696" applyNumberFormat="1" applyFont="1" applyFill="1" applyAlignment="1" applyProtection="1"/>
    <xf numFmtId="195" fontId="104" fillId="0" borderId="7" xfId="382" applyNumberFormat="1" applyFont="1" applyFill="1" applyBorder="1" applyProtection="1">
      <protection locked="0"/>
    </xf>
    <xf numFmtId="38" fontId="104" fillId="0" borderId="0" xfId="37696" applyNumberFormat="1" applyFont="1" applyFill="1" applyAlignment="1"/>
    <xf numFmtId="193" fontId="104" fillId="0" borderId="0" xfId="37696" applyNumberFormat="1" applyFont="1" applyFill="1" applyBorder="1" applyProtection="1"/>
    <xf numFmtId="196" fontId="104" fillId="0" borderId="0" xfId="37696" applyNumberFormat="1" applyFont="1" applyFill="1" applyProtection="1">
      <protection locked="0"/>
    </xf>
    <xf numFmtId="1" fontId="104" fillId="0" borderId="0" xfId="37696" applyNumberFormat="1" applyFont="1" applyFill="1" applyProtection="1"/>
    <xf numFmtId="1" fontId="104" fillId="0" borderId="0" xfId="37696" applyNumberFormat="1" applyFont="1" applyFill="1" applyAlignment="1" applyProtection="1"/>
    <xf numFmtId="3" fontId="104" fillId="0" borderId="0" xfId="37696" applyNumberFormat="1" applyFont="1" applyFill="1" applyAlignment="1" applyProtection="1"/>
    <xf numFmtId="164" fontId="104" fillId="0" borderId="0" xfId="382" applyNumberFormat="1" applyFont="1" applyFill="1" applyBorder="1" applyAlignment="1" applyProtection="1"/>
    <xf numFmtId="193" fontId="104" fillId="0" borderId="0" xfId="37696" applyNumberFormat="1" applyFont="1" applyFill="1" applyBorder="1" applyAlignment="1" applyProtection="1"/>
    <xf numFmtId="0" fontId="126" fillId="0" borderId="0" xfId="37698" applyNumberFormat="1" applyFont="1" applyFill="1" applyAlignment="1" applyProtection="1">
      <alignment vertical="top" wrapText="1"/>
      <protection locked="0"/>
    </xf>
    <xf numFmtId="0" fontId="130" fillId="0" borderId="0" xfId="37698" applyNumberFormat="1" applyFont="1" applyFill="1" applyAlignment="1" applyProtection="1">
      <alignment vertical="top" wrapText="1"/>
      <protection locked="0"/>
    </xf>
    <xf numFmtId="164" fontId="130" fillId="0" borderId="0" xfId="382" applyNumberFormat="1" applyFont="1" applyFill="1" applyAlignment="1" applyProtection="1">
      <alignment vertical="top" wrapText="1"/>
      <protection locked="0"/>
    </xf>
    <xf numFmtId="164" fontId="126" fillId="0" borderId="0" xfId="382" applyNumberFormat="1" applyFont="1" applyFill="1" applyAlignment="1" applyProtection="1">
      <alignment vertical="top" wrapText="1"/>
      <protection locked="0"/>
    </xf>
    <xf numFmtId="164" fontId="39" fillId="0" borderId="0" xfId="382" applyNumberFormat="1" applyFont="1"/>
    <xf numFmtId="0" fontId="37" fillId="0" borderId="0" xfId="0" applyFont="1" applyAlignment="1">
      <alignment horizontal="center"/>
    </xf>
    <xf numFmtId="3" fontId="39" fillId="0" borderId="0" xfId="0" applyNumberFormat="1" applyFont="1" applyFill="1" applyBorder="1"/>
    <xf numFmtId="0" fontId="39" fillId="0" borderId="17" xfId="0" applyFont="1" applyFill="1" applyBorder="1"/>
    <xf numFmtId="0" fontId="39" fillId="0" borderId="17" xfId="0" applyFont="1" applyFill="1" applyBorder="1" applyAlignment="1">
      <alignment horizontal="center"/>
    </xf>
    <xf numFmtId="3" fontId="37" fillId="0" borderId="36" xfId="0" applyNumberFormat="1" applyFont="1" applyFill="1" applyBorder="1" applyAlignment="1"/>
    <xf numFmtId="164" fontId="39" fillId="0" borderId="30" xfId="382" applyNumberFormat="1" applyFont="1" applyFill="1" applyBorder="1"/>
    <xf numFmtId="0" fontId="39" fillId="0" borderId="0" xfId="0" quotePrefix="1" applyFont="1" applyFill="1" applyBorder="1" applyAlignment="1">
      <alignment horizontal="center" wrapText="1"/>
    </xf>
    <xf numFmtId="0" fontId="39" fillId="0" borderId="18" xfId="0" applyFont="1" applyFill="1" applyBorder="1"/>
    <xf numFmtId="0" fontId="39" fillId="0" borderId="0" xfId="0" applyFont="1" applyFill="1" applyAlignment="1">
      <alignment horizontal="right"/>
    </xf>
    <xf numFmtId="0" fontId="37" fillId="0" borderId="17" xfId="0" applyFont="1" applyFill="1" applyBorder="1" applyAlignment="1"/>
    <xf numFmtId="3" fontId="37" fillId="0" borderId="47" xfId="0" applyNumberFormat="1" applyFont="1" applyFill="1" applyBorder="1" applyAlignment="1">
      <alignment horizontal="center"/>
    </xf>
    <xf numFmtId="0" fontId="37" fillId="0" borderId="6" xfId="0" applyNumberFormat="1" applyFont="1" applyFill="1" applyBorder="1" applyAlignment="1">
      <alignment horizontal="center"/>
    </xf>
    <xf numFmtId="0" fontId="37" fillId="0" borderId="6" xfId="0" applyFont="1" applyFill="1" applyBorder="1" applyAlignment="1">
      <alignment horizontal="center" wrapText="1"/>
    </xf>
    <xf numFmtId="0" fontId="103" fillId="0" borderId="0" xfId="11279" applyFont="1"/>
    <xf numFmtId="0" fontId="37" fillId="0" borderId="6" xfId="0" applyFont="1" applyFill="1" applyBorder="1" applyAlignment="1">
      <alignment horizontal="center"/>
    </xf>
    <xf numFmtId="43" fontId="37" fillId="0" borderId="0" xfId="382" applyFont="1" applyBorder="1"/>
    <xf numFmtId="0" fontId="37" fillId="35" borderId="46" xfId="0" applyFont="1" applyFill="1" applyBorder="1" applyAlignment="1">
      <alignment horizontal="center" wrapText="1"/>
    </xf>
    <xf numFmtId="0" fontId="39" fillId="50" borderId="32" xfId="0" applyFont="1" applyFill="1" applyBorder="1" applyAlignment="1">
      <alignment horizontal="center" wrapText="1"/>
    </xf>
    <xf numFmtId="0" fontId="39" fillId="50" borderId="42" xfId="0" applyFont="1" applyFill="1" applyBorder="1" applyAlignment="1">
      <alignment horizontal="center" wrapText="1"/>
    </xf>
    <xf numFmtId="0" fontId="51" fillId="35" borderId="31" xfId="0" applyFont="1" applyFill="1" applyBorder="1" applyAlignment="1">
      <alignment horizontal="left"/>
    </xf>
    <xf numFmtId="0" fontId="37" fillId="35" borderId="46" xfId="0" applyFont="1" applyFill="1" applyBorder="1" applyAlignment="1"/>
    <xf numFmtId="0" fontId="37" fillId="35" borderId="46" xfId="0" applyNumberFormat="1" applyFont="1" applyFill="1" applyBorder="1" applyAlignment="1">
      <alignment horizontal="center"/>
    </xf>
    <xf numFmtId="0" fontId="37" fillId="35" borderId="46" xfId="0" applyNumberFormat="1" applyFont="1" applyFill="1" applyBorder="1" applyAlignment="1">
      <alignment horizontal="center" wrapText="1"/>
    </xf>
    <xf numFmtId="3" fontId="39" fillId="0" borderId="41" xfId="0" applyNumberFormat="1" applyFont="1" applyBorder="1" applyAlignment="1"/>
    <xf numFmtId="43" fontId="37" fillId="0" borderId="35" xfId="382" applyFont="1" applyBorder="1"/>
    <xf numFmtId="43" fontId="37" fillId="0" borderId="41" xfId="382" applyFont="1" applyBorder="1"/>
    <xf numFmtId="164" fontId="115" fillId="0" borderId="0" xfId="382" applyNumberFormat="1" applyFont="1" applyFill="1"/>
    <xf numFmtId="164" fontId="115" fillId="0" borderId="0" xfId="382" applyNumberFormat="1" applyFont="1" applyFill="1" applyBorder="1"/>
    <xf numFmtId="0" fontId="118" fillId="0" borderId="0" xfId="0" applyFont="1"/>
    <xf numFmtId="0" fontId="35" fillId="0" borderId="0" xfId="0" applyFont="1" applyFill="1" applyBorder="1" applyAlignment="1">
      <alignment horizontal="center"/>
    </xf>
    <xf numFmtId="164" fontId="115" fillId="0" borderId="0" xfId="382" applyNumberFormat="1" applyFont="1" applyFill="1" applyAlignment="1">
      <alignment horizontal="center"/>
    </xf>
    <xf numFmtId="17" fontId="35" fillId="0" borderId="0" xfId="0" applyNumberFormat="1" applyFont="1" applyFill="1" applyBorder="1"/>
    <xf numFmtId="166" fontId="35" fillId="0" borderId="0" xfId="678" applyNumberFormat="1" applyFont="1" applyBorder="1"/>
    <xf numFmtId="43" fontId="35" fillId="0" borderId="0" xfId="0" applyNumberFormat="1" applyFont="1" applyFill="1"/>
    <xf numFmtId="43" fontId="35" fillId="0" borderId="0" xfId="0" applyNumberFormat="1" applyFont="1" applyFill="1" applyBorder="1"/>
    <xf numFmtId="0" fontId="131" fillId="0" borderId="0" xfId="0" applyFont="1" applyAlignment="1">
      <alignment horizontal="center"/>
    </xf>
    <xf numFmtId="43" fontId="123" fillId="0" borderId="0" xfId="382" applyFont="1" applyAlignment="1">
      <alignment horizontal="center"/>
    </xf>
    <xf numFmtId="10" fontId="35" fillId="0" borderId="0" xfId="678" applyNumberFormat="1" applyFont="1" applyFill="1" applyBorder="1"/>
    <xf numFmtId="164" fontId="123" fillId="0" borderId="0" xfId="382" applyNumberFormat="1" applyFont="1"/>
    <xf numFmtId="0" fontId="36" fillId="0" borderId="0" xfId="0" applyFont="1" applyBorder="1"/>
    <xf numFmtId="39" fontId="35" fillId="0" borderId="0" xfId="403" applyNumberFormat="1" applyFont="1" applyFill="1"/>
    <xf numFmtId="10" fontId="35" fillId="0" borderId="0" xfId="674" applyNumberFormat="1" applyFont="1" applyFill="1"/>
    <xf numFmtId="10" fontId="35" fillId="0" borderId="0" xfId="678" applyNumberFormat="1" applyFont="1" applyBorder="1"/>
    <xf numFmtId="43" fontId="35" fillId="0" borderId="0" xfId="0" applyNumberFormat="1" applyFont="1"/>
    <xf numFmtId="43" fontId="35" fillId="0" borderId="0" xfId="0" quotePrefix="1" applyNumberFormat="1" applyFont="1" applyFill="1"/>
    <xf numFmtId="164" fontId="55" fillId="0" borderId="0" xfId="382" applyNumberFormat="1" applyFont="1" applyFill="1"/>
    <xf numFmtId="0" fontId="55" fillId="0" borderId="0" xfId="0" applyFont="1" applyAlignment="1">
      <alignment horizontal="center"/>
    </xf>
    <xf numFmtId="164" fontId="55" fillId="0" borderId="0" xfId="382" applyNumberFormat="1" applyFont="1" applyAlignment="1">
      <alignment horizontal="center"/>
    </xf>
    <xf numFmtId="0" fontId="35" fillId="0" borderId="0" xfId="0" applyFont="1" applyAlignment="1">
      <alignment horizontal="center" wrapText="1"/>
    </xf>
    <xf numFmtId="0" fontId="55" fillId="0" borderId="0" xfId="0" quotePrefix="1" applyFont="1" applyAlignment="1">
      <alignment horizontal="center" wrapText="1"/>
    </xf>
    <xf numFmtId="0" fontId="55" fillId="0" borderId="0" xfId="0" applyFont="1" applyAlignment="1">
      <alignment horizontal="left"/>
    </xf>
    <xf numFmtId="37" fontId="55" fillId="0" borderId="0" xfId="0" applyNumberFormat="1" applyFont="1" applyAlignment="1">
      <alignment horizontal="center"/>
    </xf>
    <xf numFmtId="164" fontId="55" fillId="37" borderId="0" xfId="382" applyNumberFormat="1" applyFont="1" applyFill="1" applyAlignment="1"/>
    <xf numFmtId="37" fontId="55" fillId="0" borderId="0" xfId="0" applyNumberFormat="1" applyFont="1" applyBorder="1" applyAlignment="1">
      <alignment horizontal="center"/>
    </xf>
    <xf numFmtId="0" fontId="117" fillId="0" borderId="0" xfId="0" quotePrefix="1" applyFont="1" applyAlignment="1">
      <alignment horizontal="left" wrapText="1"/>
    </xf>
    <xf numFmtId="0" fontId="84" fillId="0" borderId="0" xfId="0" applyFont="1" applyFill="1" applyBorder="1"/>
    <xf numFmtId="0" fontId="55" fillId="0" borderId="0" xfId="474" quotePrefix="1" applyFont="1" applyAlignment="1"/>
    <xf numFmtId="0" fontId="55" fillId="0" borderId="0" xfId="11272" applyFont="1" applyAlignment="1"/>
    <xf numFmtId="43" fontId="115" fillId="0" borderId="0" xfId="0" applyNumberFormat="1" applyFont="1" applyFill="1"/>
    <xf numFmtId="17" fontId="35" fillId="0" borderId="0" xfId="0" applyNumberFormat="1" applyFont="1" applyFill="1" applyBorder="1" applyAlignment="1">
      <alignment horizontal="left" vertical="top"/>
    </xf>
    <xf numFmtId="10" fontId="35" fillId="0" borderId="0" xfId="678" applyNumberFormat="1" applyFont="1" applyBorder="1" applyAlignment="1">
      <alignment horizontal="left" vertical="top"/>
    </xf>
    <xf numFmtId="166" fontId="35" fillId="0" borderId="0" xfId="678" applyNumberFormat="1" applyFont="1" applyBorder="1" applyAlignment="1">
      <alignment horizontal="left" vertical="top"/>
    </xf>
    <xf numFmtId="43" fontId="35" fillId="0" borderId="0" xfId="403" applyNumberFormat="1" applyFont="1" applyFill="1"/>
    <xf numFmtId="0" fontId="35" fillId="0" borderId="0" xfId="564" quotePrefix="1" applyFont="1" applyFill="1" applyBorder="1" applyAlignment="1">
      <alignment horizontal="center" vertical="top"/>
    </xf>
    <xf numFmtId="164" fontId="55" fillId="0" borderId="0" xfId="382" applyNumberFormat="1" applyFont="1" applyFill="1" applyBorder="1" applyAlignment="1">
      <alignment horizontal="left"/>
    </xf>
    <xf numFmtId="164" fontId="103" fillId="0" borderId="0" xfId="382" applyNumberFormat="1" applyFont="1"/>
    <xf numFmtId="0" fontId="55" fillId="0" borderId="0" xfId="569" applyFont="1" applyAlignment="1">
      <alignment horizontal="center"/>
    </xf>
    <xf numFmtId="164" fontId="132" fillId="0" borderId="0" xfId="382" applyNumberFormat="1" applyFont="1"/>
    <xf numFmtId="0" fontId="35" fillId="0" borderId="0" xfId="474" applyFont="1"/>
    <xf numFmtId="0" fontId="35" fillId="0" borderId="0" xfId="11267" applyFont="1" applyFill="1" applyAlignment="1">
      <alignment horizontal="left" indent="1"/>
    </xf>
    <xf numFmtId="49" fontId="35" fillId="0" borderId="0" xfId="0" applyNumberFormat="1" applyFont="1"/>
    <xf numFmtId="43" fontId="123" fillId="0" borderId="0" xfId="382" applyFont="1"/>
    <xf numFmtId="0" fontId="35" fillId="0" borderId="0" xfId="474" applyFont="1" applyBorder="1"/>
    <xf numFmtId="164" fontId="35" fillId="0" borderId="0" xfId="382" applyNumberFormat="1" applyFont="1" applyBorder="1"/>
    <xf numFmtId="164" fontId="35" fillId="0" borderId="0" xfId="474" applyNumberFormat="1" applyFont="1" applyBorder="1"/>
    <xf numFmtId="0" fontId="35" fillId="0" borderId="0" xfId="517" applyNumberFormat="1" applyFont="1" applyFill="1" applyBorder="1" applyAlignment="1">
      <alignment horizontal="center"/>
    </xf>
    <xf numFmtId="0" fontId="35" fillId="0" borderId="0" xfId="474" applyFont="1" applyBorder="1" applyAlignment="1">
      <alignment horizontal="center"/>
    </xf>
    <xf numFmtId="164" fontId="35" fillId="0" borderId="0" xfId="474" applyNumberFormat="1" applyFont="1"/>
    <xf numFmtId="0" fontId="36" fillId="0" borderId="0" xfId="474" applyFont="1" applyAlignment="1"/>
    <xf numFmtId="17" fontId="35" fillId="0" borderId="0" xfId="517" applyNumberFormat="1" applyFont="1" applyBorder="1"/>
    <xf numFmtId="0" fontId="36" fillId="0" borderId="0" xfId="474" applyFont="1"/>
    <xf numFmtId="0" fontId="35" fillId="0" borderId="0" xfId="517" applyNumberFormat="1" applyFont="1" applyFill="1" applyBorder="1" applyAlignment="1">
      <alignment horizontal="right"/>
    </xf>
    <xf numFmtId="17" fontId="35" fillId="0" borderId="0" xfId="517" applyNumberFormat="1" applyFont="1" applyBorder="1" applyAlignment="1">
      <alignment horizontal="center"/>
    </xf>
    <xf numFmtId="43" fontId="35" fillId="0" borderId="0" xfId="382" applyFont="1" applyAlignment="1">
      <alignment wrapText="1"/>
    </xf>
    <xf numFmtId="43" fontId="35" fillId="0" borderId="0" xfId="382" applyFont="1" applyAlignment="1">
      <alignment horizontal="left"/>
    </xf>
    <xf numFmtId="43" fontId="37" fillId="0" borderId="26" xfId="382" applyFont="1" applyFill="1" applyBorder="1" applyAlignment="1">
      <alignment horizontal="center"/>
    </xf>
    <xf numFmtId="49" fontId="35" fillId="0" borderId="0" xfId="0" applyNumberFormat="1" applyFont="1" applyBorder="1"/>
    <xf numFmtId="164" fontId="35" fillId="0" borderId="0" xfId="382" applyNumberFormat="1" applyFont="1" applyFill="1" applyBorder="1" applyAlignment="1">
      <alignment horizontal="left"/>
    </xf>
    <xf numFmtId="43" fontId="115" fillId="0" borderId="0" xfId="382" applyFont="1" applyFill="1" applyBorder="1" applyAlignment="1">
      <alignment horizontal="center"/>
    </xf>
    <xf numFmtId="0" fontId="35" fillId="0" borderId="0" xfId="474" applyFont="1" applyBorder="1" applyProtection="1">
      <protection locked="0"/>
    </xf>
    <xf numFmtId="164" fontId="35" fillId="0" borderId="0" xfId="382" applyNumberFormat="1" applyFont="1" applyBorder="1" applyProtection="1">
      <protection locked="0"/>
    </xf>
    <xf numFmtId="43" fontId="55" fillId="0" borderId="0" xfId="382" applyFont="1" applyAlignment="1">
      <alignment horizontal="center"/>
    </xf>
    <xf numFmtId="0" fontId="35" fillId="0" borderId="0" xfId="504" applyFont="1" applyFill="1" applyBorder="1" applyAlignment="1">
      <alignment horizontal="center" wrapText="1"/>
    </xf>
    <xf numFmtId="0" fontId="36" fillId="0" borderId="0" xfId="569" applyFont="1" applyFill="1" applyBorder="1" applyAlignment="1">
      <alignment horizontal="center" vertical="top"/>
    </xf>
    <xf numFmtId="164" fontId="35" fillId="0" borderId="0" xfId="569" applyNumberFormat="1" applyFont="1" applyFill="1" applyBorder="1" applyAlignment="1">
      <alignment horizontal="center" vertical="top"/>
    </xf>
    <xf numFmtId="0" fontId="35" fillId="0" borderId="0" xfId="569" quotePrefix="1" applyFont="1" applyFill="1" applyBorder="1" applyAlignment="1">
      <alignment horizontal="left" vertical="top"/>
    </xf>
    <xf numFmtId="0" fontId="35" fillId="0" borderId="0" xfId="530" applyFont="1" applyAlignment="1"/>
    <xf numFmtId="0" fontId="35" fillId="0" borderId="0" xfId="530" applyFont="1" applyBorder="1" applyAlignment="1"/>
    <xf numFmtId="0" fontId="55" fillId="0" borderId="0" xfId="530" applyFont="1" applyBorder="1" applyAlignment="1"/>
    <xf numFmtId="0" fontId="55" fillId="0" borderId="18" xfId="530" applyFont="1" applyBorder="1" applyAlignment="1"/>
    <xf numFmtId="0" fontId="115" fillId="0" borderId="18" xfId="0" applyFont="1" applyBorder="1"/>
    <xf numFmtId="0" fontId="35" fillId="0" borderId="18" xfId="0" applyFont="1" applyBorder="1"/>
    <xf numFmtId="0" fontId="55" fillId="0" borderId="18" xfId="530" applyFont="1" applyBorder="1" applyAlignment="1">
      <alignment horizontal="center"/>
    </xf>
    <xf numFmtId="164" fontId="35" fillId="0" borderId="18" xfId="0" applyNumberFormat="1" applyFont="1" applyBorder="1"/>
    <xf numFmtId="164" fontId="55" fillId="37" borderId="54" xfId="382" applyNumberFormat="1" applyFont="1" applyFill="1" applyBorder="1" applyAlignment="1">
      <alignment horizontal="left"/>
    </xf>
    <xf numFmtId="164" fontId="55" fillId="37" borderId="45" xfId="382" applyNumberFormat="1" applyFont="1" applyFill="1" applyBorder="1" applyAlignment="1">
      <alignment horizontal="left"/>
    </xf>
    <xf numFmtId="0" fontId="55" fillId="0" borderId="45" xfId="530" applyFont="1" applyBorder="1" applyAlignment="1">
      <alignment horizontal="center"/>
    </xf>
    <xf numFmtId="0" fontId="35" fillId="0" borderId="0" xfId="533" applyFont="1"/>
    <xf numFmtId="0" fontId="35" fillId="0" borderId="0" xfId="0" applyFont="1" applyFill="1" applyBorder="1" applyAlignment="1">
      <alignment horizontal="center" wrapText="1"/>
    </xf>
    <xf numFmtId="0" fontId="35" fillId="0" borderId="0" xfId="0" applyFont="1" applyFill="1" applyAlignment="1">
      <alignment horizontal="center" vertical="top"/>
    </xf>
    <xf numFmtId="0" fontId="35" fillId="0" borderId="0" xfId="0" applyFont="1" applyFill="1" applyAlignment="1">
      <alignment vertical="top"/>
    </xf>
    <xf numFmtId="164" fontId="35" fillId="0" borderId="18" xfId="382" applyNumberFormat="1" applyFont="1" applyFill="1" applyBorder="1"/>
    <xf numFmtId="164" fontId="35" fillId="0" borderId="18" xfId="382" applyNumberFormat="1" applyFont="1" applyBorder="1"/>
    <xf numFmtId="164" fontId="47" fillId="0" borderId="0" xfId="382" applyNumberFormat="1" applyFont="1" applyFill="1" applyBorder="1" applyAlignment="1">
      <alignment horizontal="center"/>
    </xf>
    <xf numFmtId="164" fontId="36" fillId="0" borderId="0" xfId="403" applyNumberFormat="1" applyFont="1" applyFill="1" applyAlignment="1"/>
    <xf numFmtId="164" fontId="36" fillId="0" borderId="0" xfId="504" applyNumberFormat="1" applyFont="1"/>
    <xf numFmtId="0" fontId="36" fillId="0" borderId="0" xfId="504" applyFont="1" applyBorder="1"/>
    <xf numFmtId="0" fontId="59" fillId="0" borderId="0" xfId="0" applyFont="1" applyFill="1" applyBorder="1"/>
    <xf numFmtId="0" fontId="19" fillId="0" borderId="0" xfId="496" applyFont="1"/>
    <xf numFmtId="0" fontId="35" fillId="0" borderId="0" xfId="504" applyFont="1" applyAlignment="1">
      <alignment vertical="center"/>
    </xf>
    <xf numFmtId="0" fontId="35" fillId="0" borderId="0" xfId="504" applyFont="1" applyAlignment="1">
      <alignment horizontal="center" vertical="center"/>
    </xf>
    <xf numFmtId="0" fontId="35" fillId="0" borderId="0" xfId="0" applyFont="1" applyFill="1" applyAlignment="1">
      <alignment horizontal="left" indent="1"/>
    </xf>
    <xf numFmtId="164" fontId="35" fillId="0" borderId="6" xfId="403" applyNumberFormat="1" applyFont="1" applyFill="1" applyBorder="1" applyAlignment="1"/>
    <xf numFmtId="0" fontId="19" fillId="0" borderId="0" xfId="496" applyFont="1" applyAlignment="1">
      <alignment horizontal="center"/>
    </xf>
    <xf numFmtId="43" fontId="35" fillId="0" borderId="18" xfId="382" applyFont="1" applyFill="1" applyBorder="1" applyAlignment="1">
      <alignment horizontal="center" wrapText="1"/>
    </xf>
    <xf numFmtId="0" fontId="37" fillId="0" borderId="19" xfId="0" applyNumberFormat="1" applyFont="1" applyBorder="1" applyAlignment="1">
      <alignment horizontal="center"/>
    </xf>
    <xf numFmtId="0" fontId="39" fillId="0" borderId="5" xfId="0" applyNumberFormat="1" applyFont="1" applyBorder="1" applyAlignment="1">
      <alignment horizontal="center"/>
    </xf>
    <xf numFmtId="0" fontId="37" fillId="0" borderId="5" xfId="0" applyNumberFormat="1" applyFont="1" applyFill="1" applyBorder="1" applyAlignment="1"/>
    <xf numFmtId="0" fontId="37" fillId="0" borderId="5" xfId="0" applyFont="1" applyFill="1" applyBorder="1" applyAlignment="1"/>
    <xf numFmtId="0" fontId="37" fillId="0" borderId="18" xfId="0" applyFont="1" applyFill="1" applyBorder="1" applyAlignment="1"/>
    <xf numFmtId="3" fontId="37" fillId="0" borderId="0" xfId="0" applyNumberFormat="1" applyFont="1" applyFill="1" applyBorder="1" applyAlignment="1">
      <alignment horizontal="center"/>
    </xf>
    <xf numFmtId="0" fontId="37" fillId="0" borderId="5" xfId="0" applyNumberFormat="1" applyFont="1" applyBorder="1" applyAlignment="1">
      <alignment horizontal="left"/>
    </xf>
    <xf numFmtId="0" fontId="37" fillId="0" borderId="5" xfId="0" applyFont="1" applyFill="1" applyBorder="1"/>
    <xf numFmtId="0" fontId="37" fillId="0" borderId="5" xfId="0" applyFont="1" applyBorder="1" applyAlignment="1">
      <alignment horizontal="center"/>
    </xf>
    <xf numFmtId="0" fontId="42" fillId="0" borderId="0" xfId="0" applyFont="1" applyFill="1" applyBorder="1" applyAlignment="1"/>
    <xf numFmtId="164" fontId="39" fillId="0" borderId="0" xfId="382" applyNumberFormat="1" applyFont="1" applyFill="1"/>
    <xf numFmtId="10" fontId="39" fillId="0" borderId="0" xfId="674" applyNumberFormat="1" applyFont="1" applyFill="1"/>
    <xf numFmtId="164" fontId="36" fillId="0" borderId="0" xfId="382" applyNumberFormat="1" applyFont="1" applyFill="1" applyAlignment="1">
      <alignment horizontal="center"/>
    </xf>
    <xf numFmtId="164" fontId="35" fillId="0" borderId="0" xfId="382" applyNumberFormat="1" applyFont="1" applyFill="1" applyAlignment="1">
      <alignment horizontal="right" wrapText="1"/>
    </xf>
    <xf numFmtId="164" fontId="35" fillId="0" borderId="0" xfId="382" quotePrefix="1" applyNumberFormat="1" applyFont="1" applyFill="1" applyBorder="1" applyAlignment="1">
      <alignment horizontal="center" vertical="top"/>
    </xf>
    <xf numFmtId="164" fontId="36" fillId="0" borderId="0" xfId="382" applyNumberFormat="1" applyFont="1" applyFill="1" applyBorder="1" applyAlignment="1">
      <alignment horizontal="center" vertical="top"/>
    </xf>
    <xf numFmtId="164" fontId="37" fillId="0" borderId="27" xfId="382" applyNumberFormat="1" applyFont="1" applyFill="1" applyBorder="1"/>
    <xf numFmtId="164" fontId="19" fillId="0" borderId="0" xfId="382" applyNumberFormat="1" applyFont="1" applyAlignment="1">
      <alignment horizontal="center"/>
    </xf>
    <xf numFmtId="0" fontId="35" fillId="0" borderId="0" xfId="0" applyFont="1" applyFill="1" applyAlignment="1">
      <alignment horizontal="center" vertical="center"/>
    </xf>
    <xf numFmtId="166" fontId="35" fillId="0" borderId="0" xfId="0" applyNumberFormat="1" applyFont="1" applyAlignment="1">
      <alignment horizontal="center" vertical="center"/>
    </xf>
    <xf numFmtId="39" fontId="35" fillId="0" borderId="0" xfId="403" applyNumberFormat="1" applyFont="1" applyAlignment="1">
      <alignment horizontal="center" vertical="center"/>
    </xf>
    <xf numFmtId="0" fontId="118" fillId="0" borderId="0" xfId="0" applyFont="1" applyAlignment="1"/>
    <xf numFmtId="0" fontId="118" fillId="0" borderId="0" xfId="504" applyFont="1" applyAlignment="1">
      <alignment horizontal="left"/>
    </xf>
    <xf numFmtId="0" fontId="35" fillId="0" borderId="0" xfId="504" applyFont="1" applyFill="1" applyBorder="1" applyAlignment="1"/>
    <xf numFmtId="185" fontId="35" fillId="0" borderId="0" xfId="474" applyNumberFormat="1" applyFont="1" applyAlignment="1" applyProtection="1">
      <alignment horizontal="center"/>
      <protection locked="0"/>
    </xf>
    <xf numFmtId="164" fontId="55" fillId="0" borderId="18" xfId="382" applyNumberFormat="1" applyFont="1" applyFill="1" applyBorder="1"/>
    <xf numFmtId="0" fontId="55" fillId="0" borderId="0" xfId="569" applyFont="1" applyBorder="1"/>
    <xf numFmtId="164" fontId="35" fillId="0" borderId="4" xfId="382" applyNumberFormat="1" applyFont="1" applyFill="1" applyBorder="1" applyAlignment="1">
      <alignment horizontal="center"/>
    </xf>
    <xf numFmtId="43" fontId="55" fillId="0" borderId="21" xfId="382" applyFont="1" applyFill="1" applyBorder="1" applyAlignment="1">
      <alignment horizontal="center"/>
    </xf>
    <xf numFmtId="164" fontId="55" fillId="0" borderId="54" xfId="382" applyNumberFormat="1" applyFont="1" applyFill="1" applyBorder="1" applyAlignment="1">
      <alignment horizontal="left"/>
    </xf>
    <xf numFmtId="164" fontId="55" fillId="0" borderId="35" xfId="382" applyNumberFormat="1" applyFont="1" applyFill="1" applyBorder="1" applyAlignment="1">
      <alignment horizontal="left"/>
    </xf>
    <xf numFmtId="0" fontId="35" fillId="0" borderId="0" xfId="0" applyFont="1" applyAlignment="1">
      <alignment vertical="center" wrapText="1"/>
    </xf>
    <xf numFmtId="0" fontId="36" fillId="0" borderId="0" xfId="569" applyFont="1" applyFill="1" applyBorder="1" applyAlignment="1">
      <alignment vertical="top"/>
    </xf>
    <xf numFmtId="0" fontId="35" fillId="0" borderId="0" xfId="504" applyFont="1" applyBorder="1" applyAlignment="1">
      <alignment horizontal="center" wrapText="1"/>
    </xf>
    <xf numFmtId="0" fontId="35" fillId="0" borderId="0" xfId="504" applyFont="1" applyAlignment="1">
      <alignment horizontal="center" wrapText="1"/>
    </xf>
    <xf numFmtId="0" fontId="55" fillId="0" borderId="0" xfId="511" applyFont="1"/>
    <xf numFmtId="0" fontId="55" fillId="0" borderId="0" xfId="511" applyFont="1" applyAlignment="1">
      <alignment horizontal="center"/>
    </xf>
    <xf numFmtId="0" fontId="55" fillId="0" borderId="0" xfId="0" applyFont="1" applyFill="1" applyAlignment="1"/>
    <xf numFmtId="0" fontId="35" fillId="0" borderId="0" xfId="484" applyFont="1" applyFill="1" applyAlignment="1">
      <alignment horizontal="left" vertical="top" indent="2"/>
    </xf>
    <xf numFmtId="0" fontId="35" fillId="0" borderId="0" xfId="484" applyFont="1" applyFill="1" applyBorder="1" applyAlignment="1">
      <alignment vertical="top"/>
    </xf>
    <xf numFmtId="41" fontId="35" fillId="0" borderId="0" xfId="484" applyNumberFormat="1" applyFont="1" applyBorder="1" applyAlignment="1">
      <alignment vertical="top"/>
    </xf>
    <xf numFmtId="0" fontId="35" fillId="0" borderId="0" xfId="484" applyFont="1" applyFill="1" applyBorder="1" applyAlignment="1">
      <alignment horizontal="center" vertical="top"/>
    </xf>
    <xf numFmtId="0" fontId="35" fillId="0" borderId="0" xfId="504" applyFont="1" applyBorder="1" applyAlignment="1">
      <alignment horizontal="left" indent="1"/>
    </xf>
    <xf numFmtId="0" fontId="35" fillId="0" borderId="0" xfId="504" applyNumberFormat="1" applyFont="1" applyFill="1" applyBorder="1" applyAlignment="1">
      <alignment horizontal="left" indent="1"/>
    </xf>
    <xf numFmtId="0" fontId="36" fillId="0" borderId="0" xfId="0" applyFont="1" applyAlignment="1">
      <alignment horizontal="center"/>
    </xf>
    <xf numFmtId="0" fontId="36" fillId="0" borderId="0" xfId="0" applyNumberFormat="1" applyFont="1" applyFill="1" applyBorder="1" applyAlignment="1"/>
    <xf numFmtId="43" fontId="35" fillId="0" borderId="0" xfId="382" applyFont="1" applyFill="1" applyBorder="1" applyAlignment="1">
      <alignment horizontal="center" wrapText="1"/>
    </xf>
    <xf numFmtId="43" fontId="55" fillId="0" borderId="0" xfId="425" applyFont="1"/>
    <xf numFmtId="0" fontId="36" fillId="50" borderId="6" xfId="0" applyFont="1" applyFill="1" applyBorder="1" applyAlignment="1"/>
    <xf numFmtId="0" fontId="35" fillId="50" borderId="6" xfId="0" applyFont="1" applyFill="1" applyBorder="1" applyAlignment="1"/>
    <xf numFmtId="0" fontId="36" fillId="50" borderId="6" xfId="0" applyNumberFormat="1" applyFont="1" applyFill="1" applyBorder="1" applyAlignment="1">
      <alignment horizontal="center"/>
    </xf>
    <xf numFmtId="0" fontId="36" fillId="50" borderId="4" xfId="0" applyFont="1" applyFill="1" applyBorder="1" applyAlignment="1">
      <alignment horizontal="left"/>
    </xf>
    <xf numFmtId="0" fontId="35" fillId="50" borderId="6" xfId="0" applyFont="1" applyFill="1" applyBorder="1"/>
    <xf numFmtId="0" fontId="35" fillId="50" borderId="6" xfId="0" applyFont="1" applyFill="1" applyBorder="1" applyAlignment="1">
      <alignment horizontal="center" wrapText="1"/>
    </xf>
    <xf numFmtId="0" fontId="35" fillId="0" borderId="0" xfId="504" applyFont="1" applyFill="1" applyAlignment="1">
      <alignment horizontal="left" indent="1"/>
    </xf>
    <xf numFmtId="0" fontId="35" fillId="0" borderId="0" xfId="504" applyNumberFormat="1" applyFont="1" applyFill="1" applyBorder="1" applyAlignment="1">
      <alignment horizontal="left" indent="2"/>
    </xf>
    <xf numFmtId="0" fontId="39" fillId="0" borderId="16" xfId="0" applyNumberFormat="1" applyFont="1" applyFill="1" applyBorder="1" applyAlignment="1">
      <alignment horizontal="left"/>
    </xf>
    <xf numFmtId="164" fontId="39" fillId="0" borderId="26" xfId="382" applyNumberFormat="1" applyFont="1" applyFill="1" applyBorder="1" applyAlignment="1">
      <alignment horizontal="right"/>
    </xf>
    <xf numFmtId="0" fontId="55" fillId="0" borderId="4" xfId="530" applyFont="1" applyBorder="1" applyAlignment="1">
      <alignment horizontal="center"/>
    </xf>
    <xf numFmtId="164" fontId="55" fillId="37" borderId="43" xfId="382" applyNumberFormat="1" applyFont="1" applyFill="1" applyBorder="1" applyAlignment="1">
      <alignment horizontal="left"/>
    </xf>
    <xf numFmtId="0" fontId="115" fillId="0" borderId="45" xfId="0" applyFont="1" applyBorder="1"/>
    <xf numFmtId="0" fontId="55" fillId="0" borderId="6" xfId="530" applyFont="1" applyBorder="1" applyAlignment="1">
      <alignment horizontal="center"/>
    </xf>
    <xf numFmtId="0" fontId="55" fillId="0" borderId="21" xfId="530" applyFont="1" applyBorder="1" applyAlignment="1">
      <alignment horizontal="center"/>
    </xf>
    <xf numFmtId="43" fontId="35" fillId="0" borderId="0" xfId="382" applyFont="1" applyBorder="1" applyAlignment="1">
      <alignment horizontal="center" wrapText="1"/>
    </xf>
    <xf numFmtId="43" fontId="35" fillId="0" borderId="0" xfId="382" applyFont="1" applyAlignment="1">
      <alignment horizontal="center" wrapText="1"/>
    </xf>
    <xf numFmtId="0" fontId="84" fillId="0" borderId="0" xfId="0" applyFont="1" applyAlignment="1">
      <alignment horizontal="left"/>
    </xf>
    <xf numFmtId="43" fontId="35" fillId="0" borderId="0" xfId="382" applyFont="1" applyFill="1" applyBorder="1" applyAlignment="1">
      <alignment horizontal="left"/>
    </xf>
    <xf numFmtId="43" fontId="35" fillId="0" borderId="0" xfId="382" applyFont="1" applyBorder="1" applyAlignment="1">
      <alignment horizontal="left"/>
    </xf>
    <xf numFmtId="0" fontId="35" fillId="0" borderId="0" xfId="474" applyFont="1" applyFill="1" applyBorder="1" applyAlignment="1">
      <alignment horizontal="center"/>
    </xf>
    <xf numFmtId="0" fontId="35" fillId="0" borderId="0" xfId="533" applyFont="1" applyAlignment="1">
      <alignment horizontal="center"/>
    </xf>
    <xf numFmtId="0" fontId="35" fillId="0" borderId="0" xfId="484" applyFont="1" applyFill="1" applyAlignment="1">
      <alignment horizontal="left" vertical="top"/>
    </xf>
    <xf numFmtId="41" fontId="35" fillId="0" borderId="17" xfId="484" applyNumberFormat="1" applyFont="1" applyFill="1" applyBorder="1" applyAlignment="1">
      <alignment vertical="top"/>
    </xf>
    <xf numFmtId="0" fontId="55" fillId="0" borderId="0" xfId="0" quotePrefix="1" applyFont="1" applyAlignment="1">
      <alignment horizontal="center"/>
    </xf>
    <xf numFmtId="0" fontId="36" fillId="0" borderId="0" xfId="0" applyFont="1" applyFill="1" applyBorder="1" applyAlignment="1"/>
    <xf numFmtId="0" fontId="36" fillId="0" borderId="0" xfId="0" applyNumberFormat="1" applyFont="1" applyFill="1" applyBorder="1" applyAlignment="1">
      <alignment horizontal="center"/>
    </xf>
    <xf numFmtId="164" fontId="19" fillId="0" borderId="17" xfId="382" applyNumberFormat="1" applyFont="1" applyBorder="1"/>
    <xf numFmtId="0" fontId="55" fillId="0" borderId="18" xfId="0" applyFont="1" applyBorder="1" applyAlignment="1">
      <alignment horizontal="left"/>
    </xf>
    <xf numFmtId="164" fontId="55" fillId="37" borderId="18" xfId="382" applyNumberFormat="1" applyFont="1" applyFill="1" applyBorder="1" applyAlignment="1"/>
    <xf numFmtId="164" fontId="39" fillId="0" borderId="26" xfId="382" applyNumberFormat="1" applyFont="1" applyFill="1" applyBorder="1"/>
    <xf numFmtId="164" fontId="39" fillId="0" borderId="30" xfId="382" applyNumberFormat="1" applyFont="1" applyFill="1" applyBorder="1" applyAlignment="1">
      <alignment horizontal="right"/>
    </xf>
    <xf numFmtId="164" fontId="37" fillId="0" borderId="26" xfId="382" applyNumberFormat="1" applyFont="1" applyFill="1" applyBorder="1"/>
    <xf numFmtId="164" fontId="37" fillId="0" borderId="26" xfId="382" applyNumberFormat="1" applyFont="1" applyFill="1" applyBorder="1" applyAlignment="1">
      <alignment horizontal="right"/>
    </xf>
    <xf numFmtId="164" fontId="39" fillId="0" borderId="26" xfId="382" applyNumberFormat="1" applyFont="1" applyBorder="1"/>
    <xf numFmtId="164" fontId="37" fillId="0" borderId="27" xfId="382" applyNumberFormat="1" applyFont="1" applyBorder="1"/>
    <xf numFmtId="164" fontId="39" fillId="50" borderId="21" xfId="382" applyNumberFormat="1" applyFont="1" applyFill="1" applyBorder="1" applyAlignment="1">
      <alignment horizontal="center" wrapText="1"/>
    </xf>
    <xf numFmtId="164" fontId="39" fillId="0" borderId="26" xfId="382" applyNumberFormat="1" applyFont="1" applyFill="1" applyBorder="1" applyAlignment="1">
      <alignment horizontal="center" wrapText="1"/>
    </xf>
    <xf numFmtId="164" fontId="39" fillId="0" borderId="26" xfId="382" applyNumberFormat="1" applyFont="1" applyBorder="1" applyAlignment="1"/>
    <xf numFmtId="164" fontId="39" fillId="0" borderId="30" xfId="382" applyNumberFormat="1" applyFont="1" applyFill="1" applyBorder="1" applyAlignment="1"/>
    <xf numFmtId="164" fontId="41" fillId="0" borderId="26" xfId="382" applyNumberFormat="1" applyFont="1" applyFill="1" applyBorder="1" applyAlignment="1">
      <alignment horizontal="right"/>
    </xf>
    <xf numFmtId="164" fontId="37" fillId="0" borderId="27" xfId="382" applyNumberFormat="1" applyFont="1" applyFill="1" applyBorder="1" applyAlignment="1"/>
    <xf numFmtId="164" fontId="39" fillId="37" borderId="30" xfId="382" applyNumberFormat="1" applyFont="1" applyFill="1" applyBorder="1" applyAlignment="1">
      <alignment horizontal="right"/>
    </xf>
    <xf numFmtId="164" fontId="39" fillId="37" borderId="26" xfId="382" applyNumberFormat="1" applyFont="1" applyFill="1" applyBorder="1" applyAlignment="1">
      <alignment horizontal="right"/>
    </xf>
    <xf numFmtId="164" fontId="37" fillId="0" borderId="26" xfId="382" applyNumberFormat="1" applyFont="1" applyBorder="1" applyAlignment="1"/>
    <xf numFmtId="164" fontId="39" fillId="0" borderId="28" xfId="382" applyNumberFormat="1" applyFont="1" applyFill="1" applyBorder="1" applyAlignment="1">
      <alignment horizontal="right"/>
    </xf>
    <xf numFmtId="164" fontId="39" fillId="0" borderId="26" xfId="382" applyNumberFormat="1" applyFont="1" applyBorder="1" applyAlignment="1">
      <alignment horizontal="right"/>
    </xf>
    <xf numFmtId="164" fontId="37" fillId="0" borderId="28" xfId="382" applyNumberFormat="1" applyFont="1" applyBorder="1"/>
    <xf numFmtId="164" fontId="37" fillId="0" borderId="26" xfId="382" applyNumberFormat="1" applyFont="1" applyBorder="1"/>
    <xf numFmtId="164" fontId="37" fillId="0" borderId="29" xfId="382" applyNumberFormat="1" applyFont="1" applyFill="1" applyBorder="1"/>
    <xf numFmtId="164" fontId="37" fillId="0" borderId="33" xfId="382" applyNumberFormat="1" applyFont="1" applyBorder="1" applyAlignment="1"/>
    <xf numFmtId="164" fontId="39" fillId="0" borderId="35" xfId="382" applyNumberFormat="1" applyFont="1" applyBorder="1"/>
    <xf numFmtId="164" fontId="37" fillId="0" borderId="35" xfId="382" applyNumberFormat="1" applyFont="1" applyBorder="1"/>
    <xf numFmtId="0" fontId="39" fillId="0" borderId="47" xfId="0" applyNumberFormat="1" applyFont="1" applyBorder="1" applyAlignment="1">
      <alignment horizontal="left"/>
    </xf>
    <xf numFmtId="0" fontId="35" fillId="0" borderId="0" xfId="504" quotePrefix="1" applyFont="1" applyFill="1" applyBorder="1"/>
    <xf numFmtId="164" fontId="123" fillId="0" borderId="0" xfId="382" applyNumberFormat="1" applyFont="1" applyFill="1"/>
    <xf numFmtId="3" fontId="39" fillId="0" borderId="37" xfId="0" quotePrefix="1" applyNumberFormat="1" applyFont="1" applyFill="1" applyBorder="1" applyAlignment="1">
      <alignment horizontal="left"/>
    </xf>
    <xf numFmtId="171" fontId="39" fillId="0" borderId="30" xfId="674" applyNumberFormat="1" applyFont="1" applyFill="1" applyBorder="1" applyAlignment="1">
      <alignment horizontal="right"/>
    </xf>
    <xf numFmtId="0" fontId="65" fillId="0" borderId="0" xfId="11272" applyFont="1" applyAlignment="1">
      <alignment horizontal="center"/>
    </xf>
    <xf numFmtId="0" fontId="35" fillId="0" borderId="0" xfId="11272" applyAlignment="1">
      <alignment horizontal="center" vertical="top"/>
    </xf>
    <xf numFmtId="0" fontId="0" fillId="0" borderId="0" xfId="0" applyAlignment="1">
      <alignment vertical="top"/>
    </xf>
    <xf numFmtId="164" fontId="60" fillId="0" borderId="26" xfId="382" applyNumberFormat="1" applyFont="1" applyFill="1" applyBorder="1"/>
    <xf numFmtId="3" fontId="133" fillId="0" borderId="0" xfId="11265" quotePrefix="1" applyNumberFormat="1" applyFont="1" applyFill="1" applyAlignment="1">
      <alignment horizontal="left"/>
    </xf>
    <xf numFmtId="177" fontId="35" fillId="0" borderId="0" xfId="0" applyNumberFormat="1" applyFont="1" applyBorder="1" applyAlignment="1">
      <alignment horizontal="center" wrapText="1"/>
    </xf>
    <xf numFmtId="0" fontId="35" fillId="0" borderId="0" xfId="0" applyNumberFormat="1" applyFont="1" applyBorder="1"/>
    <xf numFmtId="0" fontId="35" fillId="0" borderId="0" xfId="0" applyFont="1" applyBorder="1" applyAlignment="1">
      <alignment horizontal="center"/>
    </xf>
    <xf numFmtId="0" fontId="35" fillId="0" borderId="0" xfId="0" applyFont="1" applyBorder="1" applyAlignment="1">
      <alignment vertical="top"/>
    </xf>
    <xf numFmtId="0" fontId="39" fillId="0" borderId="0" xfId="0" applyNumberFormat="1" applyFont="1" applyFill="1" applyBorder="1" applyAlignment="1">
      <alignment wrapText="1"/>
    </xf>
    <xf numFmtId="0" fontId="35" fillId="0" borderId="0" xfId="0" applyFont="1" applyAlignment="1">
      <alignment horizontal="center" vertical="top"/>
    </xf>
    <xf numFmtId="0" fontId="36" fillId="0" borderId="0" xfId="564" quotePrefix="1" applyFont="1" applyFill="1" applyBorder="1" applyAlignment="1">
      <alignment horizontal="center" vertical="top"/>
    </xf>
    <xf numFmtId="0" fontId="35" fillId="0" borderId="0" xfId="504" applyFont="1" applyAlignment="1">
      <alignment horizontal="left"/>
    </xf>
    <xf numFmtId="0" fontId="35" fillId="50" borderId="21" xfId="0" applyFont="1" applyFill="1" applyBorder="1" applyAlignment="1">
      <alignment horizontal="left" wrapText="1"/>
    </xf>
    <xf numFmtId="0" fontId="35" fillId="0" borderId="18" xfId="504" applyFont="1" applyBorder="1" applyAlignment="1">
      <alignment horizontal="left"/>
    </xf>
    <xf numFmtId="0" fontId="36" fillId="0" borderId="0" xfId="504" applyFont="1" applyAlignment="1">
      <alignment horizontal="left"/>
    </xf>
    <xf numFmtId="0" fontId="44" fillId="0" borderId="0" xfId="0" applyFont="1" applyBorder="1" applyAlignment="1">
      <alignment horizontal="left"/>
    </xf>
    <xf numFmtId="0" fontId="35" fillId="0" borderId="0" xfId="504" applyFont="1" applyBorder="1" applyAlignment="1">
      <alignment horizontal="left" wrapText="1"/>
    </xf>
    <xf numFmtId="0" fontId="35" fillId="50" borderId="6" xfId="0" applyFont="1" applyFill="1" applyBorder="1" applyAlignment="1">
      <alignment horizontal="left" wrapText="1"/>
    </xf>
    <xf numFmtId="0" fontId="35" fillId="0" borderId="0" xfId="0" applyFont="1" applyAlignment="1">
      <alignment horizontal="left"/>
    </xf>
    <xf numFmtId="0" fontId="35" fillId="0" borderId="0" xfId="0" applyFont="1" applyFill="1" applyBorder="1" applyAlignment="1">
      <alignment horizontal="left" wrapText="1"/>
    </xf>
    <xf numFmtId="3" fontId="35" fillId="0" borderId="0" xfId="0" applyNumberFormat="1" applyFont="1" applyFill="1" applyBorder="1" applyAlignment="1">
      <alignment horizontal="left" indent="1"/>
    </xf>
    <xf numFmtId="0" fontId="35" fillId="0" borderId="0" xfId="504" applyFont="1" applyFill="1" applyBorder="1" applyAlignment="1">
      <alignment horizontal="center" vertical="top"/>
    </xf>
    <xf numFmtId="164" fontId="35" fillId="0" borderId="0" xfId="13644" applyNumberFormat="1" applyFont="1"/>
    <xf numFmtId="164" fontId="35" fillId="0" borderId="17" xfId="382" applyNumberFormat="1" applyFont="1" applyBorder="1"/>
    <xf numFmtId="43" fontId="35" fillId="0" borderId="0" xfId="382" applyFont="1" applyFill="1" applyAlignment="1">
      <alignment horizontal="center" wrapText="1"/>
    </xf>
    <xf numFmtId="164" fontId="133" fillId="0" borderId="0" xfId="382" applyNumberFormat="1" applyFont="1" applyFill="1" applyBorder="1" applyAlignment="1">
      <alignment vertical="top"/>
    </xf>
    <xf numFmtId="43" fontId="35" fillId="0" borderId="0" xfId="382" applyFont="1" applyFill="1" applyBorder="1" applyAlignment="1">
      <alignment horizontal="center"/>
    </xf>
    <xf numFmtId="10" fontId="39" fillId="37" borderId="26" xfId="0" applyNumberFormat="1" applyFont="1" applyFill="1" applyBorder="1" applyAlignment="1"/>
    <xf numFmtId="0" fontId="35" fillId="0" borderId="0" xfId="504" quotePrefix="1" applyFont="1" applyAlignment="1">
      <alignment horizontal="center"/>
    </xf>
    <xf numFmtId="176" fontId="35" fillId="0" borderId="18" xfId="0" applyNumberFormat="1" applyFont="1" applyBorder="1" applyAlignment="1">
      <alignment horizontal="center" wrapText="1"/>
    </xf>
    <xf numFmtId="0" fontId="118" fillId="0" borderId="0" xfId="504" applyFont="1"/>
    <xf numFmtId="164" fontId="35" fillId="37" borderId="0" xfId="404" applyNumberFormat="1" applyFont="1" applyFill="1" applyBorder="1"/>
    <xf numFmtId="164" fontId="35" fillId="37" borderId="0" xfId="382" applyNumberFormat="1" applyFont="1" applyFill="1" applyBorder="1" applyAlignment="1">
      <alignment horizontal="right"/>
    </xf>
    <xf numFmtId="164" fontId="39" fillId="37" borderId="30" xfId="382" applyNumberFormat="1" applyFont="1" applyFill="1" applyBorder="1" applyAlignment="1"/>
    <xf numFmtId="0" fontId="36" fillId="0" borderId="0" xfId="504" applyFont="1" applyBorder="1" applyAlignment="1">
      <alignment horizontal="left" indent="2"/>
    </xf>
    <xf numFmtId="0" fontId="36" fillId="0" borderId="0" xfId="0" applyNumberFormat="1" applyFont="1" applyFill="1" applyBorder="1" applyAlignment="1">
      <alignment horizontal="left"/>
    </xf>
    <xf numFmtId="0" fontId="35" fillId="0" borderId="0" xfId="517" applyFont="1" applyBorder="1" applyAlignment="1">
      <alignment horizontal="center" vertical="center"/>
    </xf>
    <xf numFmtId="0" fontId="35" fillId="0" borderId="0" xfId="474" applyFont="1" applyAlignment="1">
      <alignment vertical="center"/>
    </xf>
    <xf numFmtId="0" fontId="39" fillId="51" borderId="0" xfId="0" applyFont="1" applyFill="1"/>
    <xf numFmtId="0" fontId="103" fillId="0" borderId="0" xfId="35689" applyFont="1" applyFill="1"/>
    <xf numFmtId="0" fontId="103" fillId="0" borderId="0" xfId="496" applyFont="1" applyFill="1"/>
    <xf numFmtId="0" fontId="35" fillId="0" borderId="0" xfId="530" applyFont="1" applyAlignment="1">
      <alignment horizontal="left"/>
    </xf>
    <xf numFmtId="0" fontId="55" fillId="0" borderId="0" xfId="11275" applyFont="1" applyAlignment="1">
      <alignment horizontal="left"/>
    </xf>
    <xf numFmtId="43" fontId="55" fillId="0" borderId="0" xfId="0" applyNumberFormat="1" applyFont="1" applyFill="1" applyAlignment="1">
      <alignment horizontal="left"/>
    </xf>
    <xf numFmtId="43" fontId="55" fillId="0" borderId="0" xfId="511" applyNumberFormat="1" applyFont="1" applyAlignment="1">
      <alignment horizontal="left"/>
    </xf>
    <xf numFmtId="43" fontId="35" fillId="0" borderId="0" xfId="484" applyNumberFormat="1" applyFont="1" applyAlignment="1">
      <alignment horizontal="left" vertical="top"/>
    </xf>
    <xf numFmtId="43" fontId="55" fillId="0" borderId="0" xfId="425" applyNumberFormat="1" applyFont="1" applyAlignment="1">
      <alignment horizontal="left"/>
    </xf>
    <xf numFmtId="43" fontId="55" fillId="0" borderId="0" xfId="511" quotePrefix="1" applyNumberFormat="1" applyFont="1" applyAlignment="1">
      <alignment horizontal="left" vertical="top"/>
    </xf>
    <xf numFmtId="164" fontId="39" fillId="0" borderId="37" xfId="382" applyNumberFormat="1" applyFont="1" applyFill="1" applyBorder="1"/>
    <xf numFmtId="164" fontId="39" fillId="0" borderId="35" xfId="382" applyNumberFormat="1" applyFont="1" applyFill="1" applyBorder="1" applyAlignment="1"/>
    <xf numFmtId="0" fontId="136" fillId="0" borderId="0" xfId="0" applyFont="1"/>
    <xf numFmtId="0" fontId="36" fillId="0" borderId="16" xfId="0" applyFont="1" applyBorder="1" applyAlignment="1">
      <alignment horizontal="left" indent="1"/>
    </xf>
    <xf numFmtId="0" fontId="122" fillId="0" borderId="0" xfId="0" applyFont="1" applyAlignment="1">
      <alignment horizontal="left"/>
    </xf>
    <xf numFmtId="0" fontId="122" fillId="0" borderId="0" xfId="0" applyFont="1"/>
    <xf numFmtId="164" fontId="122" fillId="0" borderId="0" xfId="382" applyNumberFormat="1" applyFont="1"/>
    <xf numFmtId="164" fontId="122" fillId="0" borderId="0" xfId="382" applyNumberFormat="1" applyFont="1" applyFill="1"/>
    <xf numFmtId="0" fontId="35" fillId="0" borderId="0" xfId="0" applyFont="1" applyAlignment="1">
      <alignment horizontal="left" vertical="top"/>
    </xf>
    <xf numFmtId="164" fontId="35" fillId="37" borderId="0" xfId="382" applyNumberFormat="1" applyFont="1" applyFill="1" applyAlignment="1">
      <alignment vertical="top"/>
    </xf>
    <xf numFmtId="0" fontId="35" fillId="0" borderId="0" xfId="0" applyFont="1" applyAlignment="1">
      <alignment vertical="top" wrapText="1"/>
    </xf>
    <xf numFmtId="164" fontId="55" fillId="0" borderId="0" xfId="401" applyNumberFormat="1" applyFont="1" applyFill="1" applyBorder="1"/>
    <xf numFmtId="164" fontId="104" fillId="0" borderId="0" xfId="382" applyNumberFormat="1" applyFont="1" applyFill="1" applyBorder="1" applyAlignment="1">
      <alignment vertical="top"/>
    </xf>
    <xf numFmtId="164" fontId="104" fillId="0" borderId="0" xfId="382" applyNumberFormat="1" applyFont="1" applyFill="1" applyAlignment="1">
      <alignment vertical="top"/>
    </xf>
    <xf numFmtId="0" fontId="104" fillId="0" borderId="0" xfId="37694" applyNumberFormat="1" applyFont="1" applyFill="1" applyAlignment="1">
      <alignment vertical="top" wrapText="1"/>
    </xf>
    <xf numFmtId="3" fontId="104" fillId="0" borderId="0" xfId="37694" applyNumberFormat="1" applyFont="1" applyFill="1" applyAlignment="1">
      <alignment vertical="top" wrapText="1"/>
    </xf>
    <xf numFmtId="164" fontId="104" fillId="0" borderId="0" xfId="382" applyNumberFormat="1" applyFont="1" applyFill="1" applyBorder="1" applyAlignment="1">
      <alignment vertical="top" wrapText="1"/>
    </xf>
    <xf numFmtId="164" fontId="104" fillId="0" borderId="0" xfId="382" applyNumberFormat="1" applyFont="1" applyFill="1" applyAlignment="1">
      <alignment vertical="top" wrapText="1"/>
    </xf>
    <xf numFmtId="169" fontId="104" fillId="0" borderId="0" xfId="37694" applyFont="1" applyFill="1" applyAlignment="1">
      <alignment vertical="top"/>
    </xf>
    <xf numFmtId="164" fontId="104" fillId="0" borderId="0" xfId="382" applyNumberFormat="1" applyFont="1" applyAlignment="1">
      <alignment vertical="top"/>
    </xf>
    <xf numFmtId="169" fontId="104" fillId="0" borderId="0" xfId="37694" applyFont="1" applyAlignment="1">
      <alignment vertical="top"/>
    </xf>
    <xf numFmtId="0" fontId="104" fillId="0" borderId="0" xfId="37696" applyNumberFormat="1" applyFont="1" applyFill="1" applyAlignment="1" applyProtection="1">
      <alignment horizontal="left" indent="1"/>
      <protection locked="0"/>
    </xf>
    <xf numFmtId="0" fontId="104" fillId="0" borderId="0" xfId="37696" applyNumberFormat="1" applyFont="1" applyFill="1" applyAlignment="1">
      <alignment horizontal="left" indent="1"/>
    </xf>
    <xf numFmtId="168" fontId="104" fillId="0" borderId="0" xfId="37696" applyNumberFormat="1" applyFont="1" applyFill="1" applyAlignment="1" applyProtection="1">
      <alignment horizontal="left" indent="1"/>
      <protection locked="0"/>
    </xf>
    <xf numFmtId="0" fontId="104" fillId="0" borderId="0" xfId="37696" quotePrefix="1" applyNumberFormat="1" applyFont="1" applyFill="1" applyAlignment="1">
      <alignment horizontal="left" indent="1"/>
    </xf>
    <xf numFmtId="0" fontId="104" fillId="0" borderId="0" xfId="37694" applyNumberFormat="1" applyFont="1" applyFill="1" applyAlignment="1">
      <alignment horizontal="left" indent="1"/>
    </xf>
    <xf numFmtId="0" fontId="104" fillId="0" borderId="7" xfId="37696" applyNumberFormat="1" applyFont="1" applyFill="1" applyBorder="1" applyAlignment="1">
      <alignment horizontal="left" indent="1"/>
    </xf>
    <xf numFmtId="0" fontId="126" fillId="0" borderId="0" xfId="37698" applyNumberFormat="1" applyFont="1" applyFill="1" applyAlignment="1" applyProtection="1">
      <alignment horizontal="left" vertical="top" wrapText="1" indent="1"/>
      <protection locked="0"/>
    </xf>
    <xf numFmtId="0" fontId="104" fillId="0" borderId="0" xfId="474" applyFont="1" applyFill="1" applyBorder="1" applyAlignment="1">
      <alignment horizontal="left" indent="1"/>
    </xf>
    <xf numFmtId="0" fontId="36" fillId="0" borderId="0" xfId="0" applyFont="1" applyAlignment="1">
      <alignment horizontal="center"/>
    </xf>
    <xf numFmtId="0" fontId="35" fillId="0" borderId="0" xfId="0" applyFont="1" applyFill="1" applyAlignment="1">
      <alignment horizontal="center"/>
    </xf>
    <xf numFmtId="0" fontId="35" fillId="0" borderId="0" xfId="0" applyFont="1" applyAlignment="1">
      <alignment horizontal="center" vertical="top"/>
    </xf>
    <xf numFmtId="0" fontId="55" fillId="0" borderId="0" xfId="11272" applyFont="1" applyAlignment="1">
      <alignment horizontal="center"/>
    </xf>
    <xf numFmtId="0" fontId="35" fillId="0" borderId="0" xfId="0" applyFont="1" applyAlignment="1">
      <alignment horizontal="center"/>
    </xf>
    <xf numFmtId="3" fontId="35" fillId="0" borderId="0" xfId="11265" quotePrefix="1" applyNumberFormat="1" applyFont="1" applyFill="1" applyAlignment="1">
      <alignment horizontal="center"/>
    </xf>
    <xf numFmtId="0" fontId="35" fillId="0" borderId="0" xfId="569" applyFont="1" applyFill="1" applyBorder="1" applyAlignment="1">
      <alignment horizontal="center" vertical="top"/>
    </xf>
    <xf numFmtId="0" fontId="35" fillId="0" borderId="0" xfId="564" quotePrefix="1" applyFont="1" applyFill="1" applyBorder="1" applyAlignment="1">
      <alignment horizontal="center" vertical="top"/>
    </xf>
    <xf numFmtId="0" fontId="65" fillId="0" borderId="0" xfId="11271" applyFont="1" applyAlignment="1">
      <alignment horizontal="center"/>
    </xf>
    <xf numFmtId="0" fontId="35" fillId="0" borderId="0" xfId="0" applyFont="1" applyAlignment="1">
      <alignment horizontal="center" vertical="center"/>
    </xf>
    <xf numFmtId="0" fontId="35" fillId="0" borderId="0" xfId="0" applyFont="1" applyFill="1" applyAlignment="1">
      <alignment horizontal="left" vertical="top"/>
    </xf>
    <xf numFmtId="0" fontId="35" fillId="0" borderId="0" xfId="484" applyFont="1" applyAlignment="1">
      <alignment horizontal="center" vertical="top"/>
    </xf>
    <xf numFmtId="3" fontId="104" fillId="0" borderId="0" xfId="37696" applyNumberFormat="1" applyFont="1" applyFill="1" applyAlignment="1">
      <alignment vertical="top"/>
    </xf>
    <xf numFmtId="170" fontId="104" fillId="0" borderId="0" xfId="382" applyNumberFormat="1" applyFont="1" applyFill="1" applyAlignment="1">
      <alignment vertical="top"/>
    </xf>
    <xf numFmtId="3" fontId="104" fillId="0" borderId="0" xfId="37695" applyNumberFormat="1" applyFont="1" applyFill="1" applyAlignment="1">
      <alignment vertical="top"/>
    </xf>
    <xf numFmtId="0" fontId="104" fillId="0" borderId="0" xfId="37696" quotePrefix="1" applyNumberFormat="1" applyFont="1" applyFill="1" applyAlignment="1">
      <alignment vertical="top"/>
    </xf>
    <xf numFmtId="10" fontId="104" fillId="0" borderId="0" xfId="674" applyNumberFormat="1" applyFont="1" applyAlignment="1">
      <alignment vertical="top"/>
    </xf>
    <xf numFmtId="193" fontId="104" fillId="0" borderId="0" xfId="37694" applyNumberFormat="1" applyFont="1" applyAlignment="1">
      <alignment vertical="top"/>
    </xf>
    <xf numFmtId="0" fontId="104" fillId="0" borderId="0" xfId="37696" applyNumberFormat="1" applyFont="1" applyFill="1" applyAlignment="1">
      <alignment horizontal="left" vertical="top" wrapText="1" indent="1"/>
    </xf>
    <xf numFmtId="0" fontId="17" fillId="0" borderId="0" xfId="496" applyFont="1"/>
    <xf numFmtId="164" fontId="17" fillId="0" borderId="0" xfId="382" applyNumberFormat="1" applyFont="1"/>
    <xf numFmtId="0" fontId="35" fillId="0" borderId="0" xfId="0" quotePrefix="1" applyFont="1" applyAlignment="1">
      <alignment horizontal="center" vertical="top"/>
    </xf>
    <xf numFmtId="0" fontId="55" fillId="0" borderId="0" xfId="474" applyFont="1"/>
    <xf numFmtId="0" fontId="55" fillId="0" borderId="0" xfId="0" applyFont="1"/>
    <xf numFmtId="0" fontId="55" fillId="0" borderId="0" xfId="0" applyFont="1" applyAlignment="1">
      <alignment horizontal="center" wrapText="1"/>
    </xf>
    <xf numFmtId="0" fontId="35" fillId="37" borderId="0" xfId="0" applyFont="1" applyFill="1"/>
    <xf numFmtId="1" fontId="35" fillId="0" borderId="0" xfId="0" applyNumberFormat="1" applyFont="1" applyFill="1" applyAlignment="1">
      <alignment horizontal="left" vertical="top"/>
    </xf>
    <xf numFmtId="2" fontId="35" fillId="0" borderId="0" xfId="0" applyNumberFormat="1" applyFont="1" applyFill="1" applyAlignment="1">
      <alignment horizontal="left" vertical="top"/>
    </xf>
    <xf numFmtId="0" fontId="35" fillId="0" borderId="0" xfId="0" quotePrefix="1" applyFont="1" applyAlignment="1">
      <alignment horizontal="center"/>
    </xf>
    <xf numFmtId="0" fontId="17" fillId="0" borderId="0" xfId="514" applyFont="1"/>
    <xf numFmtId="0" fontId="17" fillId="0" borderId="0" xfId="514" applyFont="1" applyAlignment="1">
      <alignment horizontal="center"/>
    </xf>
    <xf numFmtId="164" fontId="17" fillId="0" borderId="0" xfId="382" applyNumberFormat="1" applyFont="1" applyAlignment="1">
      <alignment horizontal="center"/>
    </xf>
    <xf numFmtId="0" fontId="17" fillId="0" borderId="0" xfId="514" applyFont="1" applyBorder="1"/>
    <xf numFmtId="164" fontId="17" fillId="0" borderId="0" xfId="382" applyNumberFormat="1" applyFont="1" applyBorder="1"/>
    <xf numFmtId="0" fontId="17" fillId="0" borderId="0" xfId="514" quotePrefix="1" applyFont="1" applyAlignment="1">
      <alignment horizontal="center"/>
    </xf>
    <xf numFmtId="0" fontId="17" fillId="0" borderId="0" xfId="513" applyFont="1"/>
    <xf numFmtId="43" fontId="17" fillId="0" borderId="0" xfId="382" applyFont="1"/>
    <xf numFmtId="0" fontId="55" fillId="0" borderId="0" xfId="513" applyFont="1" applyAlignment="1"/>
    <xf numFmtId="0" fontId="55" fillId="0" borderId="0" xfId="11271" applyFont="1" applyAlignment="1"/>
    <xf numFmtId="0" fontId="55" fillId="0" borderId="0" xfId="11271" applyFont="1" applyAlignment="1">
      <alignment horizontal="center"/>
    </xf>
    <xf numFmtId="0" fontId="38" fillId="0" borderId="0" xfId="0" applyFont="1" applyAlignment="1">
      <alignment horizontal="center"/>
    </xf>
    <xf numFmtId="0" fontId="133" fillId="0" borderId="0" xfId="0" applyFont="1" applyAlignment="1"/>
    <xf numFmtId="0" fontId="133" fillId="0" borderId="0" xfId="496" applyFont="1"/>
    <xf numFmtId="0" fontId="133" fillId="0" borderId="0" xfId="0" applyFont="1"/>
    <xf numFmtId="14" fontId="35" fillId="0" borderId="0" xfId="382" applyNumberFormat="1" applyFont="1" applyBorder="1" applyAlignment="1">
      <alignment horizontal="center"/>
    </xf>
    <xf numFmtId="164" fontId="35" fillId="0" borderId="0" xfId="0" applyNumberFormat="1" applyFont="1"/>
    <xf numFmtId="0" fontId="55" fillId="0" borderId="0" xfId="569" applyFont="1" applyFill="1"/>
    <xf numFmtId="49" fontId="55" fillId="0" borderId="0" xfId="569" applyNumberFormat="1" applyFont="1"/>
    <xf numFmtId="164" fontId="55" fillId="0" borderId="0" xfId="569" applyNumberFormat="1" applyFont="1"/>
    <xf numFmtId="199" fontId="55" fillId="0" borderId="0" xfId="569" applyNumberFormat="1" applyFont="1"/>
    <xf numFmtId="0" fontId="133" fillId="0" borderId="0" xfId="569" applyFont="1"/>
    <xf numFmtId="0" fontId="35" fillId="0" borderId="0" xfId="569" quotePrefix="1" applyFont="1" applyFill="1" applyBorder="1" applyAlignment="1">
      <alignment horizontal="center" vertical="top"/>
    </xf>
    <xf numFmtId="0" fontId="133" fillId="0" borderId="0" xfId="569" applyFont="1" applyFill="1"/>
    <xf numFmtId="0" fontId="35" fillId="0" borderId="0" xfId="11266" quotePrefix="1" applyFont="1" applyFill="1" applyAlignment="1"/>
    <xf numFmtId="43" fontId="123" fillId="0" borderId="0" xfId="382" applyFont="1" applyAlignment="1"/>
    <xf numFmtId="0" fontId="131" fillId="0" borderId="0" xfId="0" applyFont="1" applyAlignment="1"/>
    <xf numFmtId="10" fontId="131" fillId="0" borderId="0" xfId="674" applyNumberFormat="1" applyFont="1" applyFill="1" applyAlignment="1">
      <alignment horizontal="center" wrapText="1"/>
    </xf>
    <xf numFmtId="0" fontId="35" fillId="0" borderId="0" xfId="474" applyFont="1" applyAlignment="1">
      <alignment horizontal="left"/>
    </xf>
    <xf numFmtId="0" fontId="35" fillId="0" borderId="0" xfId="474" applyFont="1" applyFill="1" applyAlignment="1">
      <alignment horizontal="left"/>
    </xf>
    <xf numFmtId="0" fontId="35" fillId="0" borderId="0" xfId="474" applyFont="1" applyAlignment="1">
      <alignment horizontal="left" vertical="top"/>
    </xf>
    <xf numFmtId="0" fontId="133" fillId="0" borderId="0" xfId="474" applyFont="1"/>
    <xf numFmtId="0" fontId="17" fillId="0" borderId="0" xfId="11271" applyFont="1"/>
    <xf numFmtId="164" fontId="17" fillId="0" borderId="0" xfId="11271" applyNumberFormat="1" applyFont="1"/>
    <xf numFmtId="43" fontId="17" fillId="0" borderId="0" xfId="11271" applyNumberFormat="1" applyFont="1"/>
    <xf numFmtId="0" fontId="17" fillId="0" borderId="0" xfId="11271" applyFont="1" applyFill="1" applyAlignment="1">
      <alignment horizontal="left"/>
    </xf>
    <xf numFmtId="164" fontId="17" fillId="0" borderId="0" xfId="11271" applyNumberFormat="1" applyFont="1" applyFill="1"/>
    <xf numFmtId="43" fontId="17" fillId="0" borderId="0" xfId="11271" applyNumberFormat="1" applyFont="1" applyFill="1"/>
    <xf numFmtId="0" fontId="17" fillId="0" borderId="0" xfId="11271" applyFont="1" applyFill="1"/>
    <xf numFmtId="0" fontId="17" fillId="0" borderId="0" xfId="11271" applyFont="1" applyAlignment="1">
      <alignment horizontal="center"/>
    </xf>
    <xf numFmtId="0" fontId="17" fillId="0" borderId="0" xfId="11271" quotePrefix="1" applyFont="1" applyAlignment="1">
      <alignment horizontal="center" vertical="top"/>
    </xf>
    <xf numFmtId="0" fontId="17" fillId="0" borderId="0" xfId="0" applyFont="1"/>
    <xf numFmtId="43" fontId="17" fillId="0" borderId="0" xfId="423" applyNumberFormat="1" applyFont="1" applyFill="1" applyAlignment="1">
      <alignment horizontal="left"/>
    </xf>
    <xf numFmtId="0" fontId="17" fillId="0" borderId="0" xfId="0" applyFont="1" applyFill="1" applyAlignment="1">
      <alignment horizontal="center"/>
    </xf>
    <xf numFmtId="43" fontId="17" fillId="0" borderId="0" xfId="423" applyFont="1" applyFill="1" applyAlignment="1">
      <alignment horizontal="center"/>
    </xf>
    <xf numFmtId="0" fontId="17" fillId="0" borderId="0" xfId="0" applyFont="1" applyFill="1"/>
    <xf numFmtId="164" fontId="17" fillId="0" borderId="0" xfId="423" applyNumberFormat="1" applyFont="1" applyFill="1"/>
    <xf numFmtId="0" fontId="17" fillId="0" borderId="0" xfId="0" applyFont="1" applyFill="1" applyAlignment="1">
      <alignment horizontal="left" indent="1"/>
    </xf>
    <xf numFmtId="164" fontId="17" fillId="0" borderId="0" xfId="0" applyNumberFormat="1" applyFont="1" applyFill="1"/>
    <xf numFmtId="164" fontId="17" fillId="0" borderId="0" xfId="0" applyNumberFormat="1" applyFont="1" applyFill="1" applyBorder="1"/>
    <xf numFmtId="164" fontId="17" fillId="0" borderId="18" xfId="0" applyNumberFormat="1" applyFont="1" applyFill="1" applyBorder="1"/>
    <xf numFmtId="164" fontId="17" fillId="0" borderId="17" xfId="0" applyNumberFormat="1" applyFont="1" applyFill="1" applyBorder="1"/>
    <xf numFmtId="43" fontId="17" fillId="0" borderId="0" xfId="423" applyFont="1" applyFill="1"/>
    <xf numFmtId="0" fontId="35" fillId="0" borderId="0" xfId="0" applyFont="1" applyFill="1" applyBorder="1" applyAlignment="1">
      <alignment vertical="top"/>
    </xf>
    <xf numFmtId="0" fontId="133" fillId="0" borderId="0" xfId="511" applyFont="1"/>
    <xf numFmtId="0" fontId="35" fillId="0" borderId="0" xfId="0" quotePrefix="1" applyFont="1" applyFill="1" applyBorder="1" applyAlignment="1">
      <alignment vertical="top"/>
    </xf>
    <xf numFmtId="0" fontId="35" fillId="0" borderId="0" xfId="484" applyFont="1" applyAlignment="1">
      <alignment horizontal="left" vertical="top"/>
    </xf>
    <xf numFmtId="0" fontId="133" fillId="0" borderId="0" xfId="484" applyFont="1" applyAlignment="1">
      <alignment vertical="top"/>
    </xf>
    <xf numFmtId="0" fontId="35" fillId="0" borderId="0" xfId="511" applyFont="1" applyFill="1" applyBorder="1" applyAlignment="1">
      <alignment vertical="top"/>
    </xf>
    <xf numFmtId="0" fontId="55" fillId="0" borderId="0" xfId="0" applyFont="1" applyFill="1" applyAlignment="1" applyProtection="1">
      <alignment horizontal="left"/>
      <protection locked="0"/>
    </xf>
    <xf numFmtId="43" fontId="17" fillId="0" borderId="18" xfId="382" applyFont="1" applyFill="1" applyBorder="1" applyAlignment="1">
      <alignment horizontal="center"/>
    </xf>
    <xf numFmtId="164" fontId="17" fillId="0" borderId="0" xfId="382" applyNumberFormat="1" applyFont="1" applyFill="1"/>
    <xf numFmtId="164" fontId="17" fillId="0" borderId="17" xfId="382" applyNumberFormat="1" applyFont="1" applyFill="1" applyBorder="1"/>
    <xf numFmtId="164" fontId="17" fillId="0" borderId="0" xfId="382" applyNumberFormat="1" applyFont="1" applyFill="1" applyBorder="1"/>
    <xf numFmtId="0" fontId="35" fillId="0" borderId="0" xfId="0" applyFont="1" applyFill="1" applyAlignment="1">
      <alignment horizontal="center"/>
    </xf>
    <xf numFmtId="0" fontId="35" fillId="0" borderId="0" xfId="0" applyFont="1" applyFill="1" applyBorder="1" applyAlignment="1">
      <alignment horizontal="left" wrapText="1"/>
    </xf>
    <xf numFmtId="0" fontId="55" fillId="0" borderId="0" xfId="0" applyFont="1" applyFill="1" applyAlignment="1">
      <alignment horizontal="center"/>
    </xf>
    <xf numFmtId="0" fontId="104" fillId="0" borderId="0" xfId="37698" applyNumberFormat="1" applyFont="1" applyFill="1" applyAlignment="1" applyProtection="1">
      <alignment vertical="top"/>
      <protection locked="0"/>
    </xf>
    <xf numFmtId="0" fontId="19" fillId="0" borderId="0" xfId="496" applyFont="1" applyFill="1" applyAlignment="1">
      <alignment horizontal="left"/>
    </xf>
    <xf numFmtId="2" fontId="35" fillId="0" borderId="0" xfId="512" applyNumberFormat="1" applyFont="1" applyFill="1" applyAlignment="1">
      <alignment horizontal="left"/>
    </xf>
    <xf numFmtId="0" fontId="35" fillId="0" borderId="0" xfId="512" applyNumberFormat="1" applyFont="1" applyFill="1" applyAlignment="1">
      <alignment horizontal="left"/>
    </xf>
    <xf numFmtId="0" fontId="38" fillId="0" borderId="0" xfId="474" applyFont="1" applyFill="1" applyAlignment="1">
      <alignment horizontal="center"/>
    </xf>
    <xf numFmtId="0" fontId="35" fillId="0" borderId="0" xfId="474" quotePrefix="1" applyFont="1" applyFill="1" applyAlignment="1">
      <alignment horizontal="center" vertical="top"/>
    </xf>
    <xf numFmtId="0" fontId="16" fillId="0" borderId="0" xfId="496" applyFont="1" applyFill="1" applyAlignment="1">
      <alignment vertical="top"/>
    </xf>
    <xf numFmtId="0" fontId="19" fillId="0" borderId="0" xfId="496" applyFont="1" applyFill="1" applyAlignment="1">
      <alignment vertical="top"/>
    </xf>
    <xf numFmtId="198" fontId="55" fillId="0" borderId="0" xfId="382" applyNumberFormat="1" applyFont="1" applyFill="1"/>
    <xf numFmtId="164" fontId="35" fillId="0" borderId="0" xfId="0" applyNumberFormat="1" applyFont="1" applyFill="1"/>
    <xf numFmtId="0" fontId="133" fillId="0" borderId="0" xfId="504" applyFont="1"/>
    <xf numFmtId="1" fontId="35" fillId="0" borderId="0" xfId="510" applyNumberFormat="1" applyFont="1" applyFill="1" applyBorder="1" applyAlignment="1">
      <alignment horizontal="left" vertical="center"/>
    </xf>
    <xf numFmtId="1" fontId="35" fillId="0" borderId="0" xfId="0" applyNumberFormat="1" applyFont="1" applyFill="1" applyAlignment="1">
      <alignment horizontal="left" vertical="center"/>
    </xf>
    <xf numFmtId="187" fontId="35" fillId="0" borderId="0" xfId="510" applyNumberFormat="1" applyFont="1" applyFill="1" applyBorder="1" applyAlignment="1">
      <alignment horizontal="left" vertical="center"/>
    </xf>
    <xf numFmtId="0" fontId="35" fillId="0" borderId="0" xfId="504" applyFont="1" applyAlignment="1"/>
    <xf numFmtId="0" fontId="35" fillId="0" borderId="0" xfId="504" applyFont="1" applyBorder="1" applyAlignment="1"/>
    <xf numFmtId="164" fontId="118" fillId="0" borderId="0" xfId="382" applyNumberFormat="1" applyFont="1" applyFill="1"/>
    <xf numFmtId="0" fontId="55" fillId="0" borderId="0" xfId="474" applyFont="1" applyFill="1"/>
    <xf numFmtId="0" fontId="55" fillId="0" borderId="0" xfId="0" quotePrefix="1" applyFont="1" applyFill="1" applyAlignment="1"/>
    <xf numFmtId="0" fontId="55" fillId="0" borderId="0" xfId="0" applyFont="1" applyFill="1" applyAlignment="1">
      <alignment horizontal="center" wrapText="1"/>
    </xf>
    <xf numFmtId="0" fontId="55" fillId="0" borderId="0" xfId="0" quotePrefix="1" applyFont="1" applyFill="1" applyAlignment="1">
      <alignment horizontal="center" wrapText="1"/>
    </xf>
    <xf numFmtId="37" fontId="55" fillId="0" borderId="0" xfId="0" applyNumberFormat="1" applyFont="1" applyFill="1" applyAlignment="1">
      <alignment horizontal="center"/>
    </xf>
    <xf numFmtId="164" fontId="118" fillId="0" borderId="0" xfId="382" applyNumberFormat="1" applyFont="1" applyFill="1" applyBorder="1"/>
    <xf numFmtId="164" fontId="35" fillId="37" borderId="18" xfId="404" applyNumberFormat="1" applyFont="1" applyFill="1" applyBorder="1"/>
    <xf numFmtId="164" fontId="35" fillId="0" borderId="18" xfId="504" applyNumberFormat="1" applyFont="1" applyFill="1" applyBorder="1" applyAlignment="1">
      <alignment wrapText="1"/>
    </xf>
    <xf numFmtId="16" fontId="104" fillId="0" borderId="0" xfId="37696" quotePrefix="1" applyNumberFormat="1" applyFont="1" applyFill="1" applyAlignment="1" applyProtection="1">
      <alignment horizontal="center"/>
      <protection locked="0"/>
    </xf>
    <xf numFmtId="0" fontId="104" fillId="0" borderId="0" xfId="37696" quotePrefix="1" applyNumberFormat="1" applyFont="1" applyFill="1" applyAlignment="1" applyProtection="1">
      <alignment horizontal="center"/>
      <protection locked="0"/>
    </xf>
    <xf numFmtId="0" fontId="104" fillId="0" borderId="0" xfId="37696" applyNumberFormat="1" applyFont="1" applyFill="1" applyAlignment="1">
      <alignment horizontal="right"/>
    </xf>
    <xf numFmtId="169" fontId="104" fillId="0" borderId="0" xfId="37694" applyNumberFormat="1" applyFont="1" applyFill="1" applyAlignment="1" applyProtection="1">
      <protection locked="0"/>
    </xf>
    <xf numFmtId="0" fontId="104" fillId="0" borderId="0" xfId="37698" applyNumberFormat="1" applyFont="1" applyFill="1" applyAlignment="1" applyProtection="1">
      <alignment horizontal="center" vertical="top"/>
      <protection locked="0"/>
    </xf>
    <xf numFmtId="0" fontId="104" fillId="0" borderId="0" xfId="37694" applyNumberFormat="1" applyFont="1" applyFill="1" applyAlignment="1" applyProtection="1">
      <alignment horizontal="center" vertical="top"/>
      <protection locked="0"/>
    </xf>
    <xf numFmtId="0" fontId="104" fillId="0" borderId="0" xfId="37694" applyNumberFormat="1" applyFont="1" applyFill="1" applyAlignment="1" applyProtection="1">
      <alignment horizontal="center" vertical="top" wrapText="1"/>
      <protection locked="0"/>
    </xf>
    <xf numFmtId="3" fontId="104" fillId="0" borderId="0" xfId="37694" applyNumberFormat="1" applyFont="1" applyFill="1" applyAlignment="1">
      <alignment vertical="top"/>
    </xf>
    <xf numFmtId="0" fontId="36" fillId="0" borderId="0" xfId="0" applyFont="1" applyFill="1" applyAlignment="1"/>
    <xf numFmtId="164" fontId="35" fillId="0" borderId="0" xfId="11645" applyNumberFormat="1" applyFont="1" applyFill="1" applyBorder="1"/>
    <xf numFmtId="164" fontId="35" fillId="0" borderId="54" xfId="382" applyNumberFormat="1" applyFont="1" applyFill="1" applyBorder="1"/>
    <xf numFmtId="164" fontId="123" fillId="0" borderId="0" xfId="382" applyNumberFormat="1" applyFont="1" applyFill="1" applyBorder="1"/>
    <xf numFmtId="164" fontId="35" fillId="0" borderId="45" xfId="382" applyNumberFormat="1" applyFont="1" applyFill="1" applyBorder="1"/>
    <xf numFmtId="0" fontId="55" fillId="0" borderId="0" xfId="569" applyFont="1" applyFill="1" applyAlignment="1">
      <alignment horizontal="left"/>
    </xf>
    <xf numFmtId="2" fontId="35" fillId="0" borderId="0" xfId="0" applyNumberFormat="1" applyFont="1" applyFill="1" applyAlignment="1">
      <alignment horizontal="left"/>
    </xf>
    <xf numFmtId="0" fontId="35" fillId="0" borderId="0" xfId="0" quotePrefix="1" applyFont="1" applyFill="1" applyAlignment="1">
      <alignment horizontal="center" vertical="top"/>
    </xf>
    <xf numFmtId="1" fontId="35" fillId="0" borderId="0" xfId="0" applyNumberFormat="1" applyFont="1" applyFill="1" applyAlignment="1">
      <alignment horizontal="left"/>
    </xf>
    <xf numFmtId="1" fontId="17" fillId="0" borderId="0" xfId="11271" applyNumberFormat="1" applyFont="1" applyFill="1" applyAlignment="1">
      <alignment horizontal="left"/>
    </xf>
    <xf numFmtId="2" fontId="17" fillId="0" borderId="0" xfId="11271" applyNumberFormat="1" applyFont="1" applyFill="1" applyAlignment="1">
      <alignment horizontal="left"/>
    </xf>
    <xf numFmtId="0" fontId="41" fillId="0" borderId="18" xfId="0" applyFont="1" applyFill="1" applyBorder="1" applyAlignment="1">
      <alignment horizontal="left"/>
    </xf>
    <xf numFmtId="3" fontId="39" fillId="0" borderId="20" xfId="0" applyNumberFormat="1" applyFont="1" applyFill="1" applyBorder="1" applyAlignment="1"/>
    <xf numFmtId="0" fontId="37" fillId="50" borderId="6" xfId="0" applyNumberFormat="1" applyFont="1" applyFill="1" applyBorder="1" applyAlignment="1">
      <alignment horizontal="left"/>
    </xf>
    <xf numFmtId="0" fontId="39" fillId="0" borderId="17" xfId="0" applyNumberFormat="1" applyFont="1" applyFill="1" applyBorder="1" applyAlignment="1">
      <alignment horizontal="center"/>
    </xf>
    <xf numFmtId="0" fontId="37" fillId="35" borderId="52" xfId="0" applyFont="1" applyFill="1" applyBorder="1" applyAlignment="1">
      <alignment horizontal="center" wrapText="1"/>
    </xf>
    <xf numFmtId="3" fontId="39" fillId="0" borderId="21" xfId="0" applyNumberFormat="1" applyFont="1" applyFill="1" applyBorder="1" applyAlignment="1"/>
    <xf numFmtId="3" fontId="39" fillId="0" borderId="39" xfId="0" applyNumberFormat="1" applyFont="1" applyFill="1" applyBorder="1" applyAlignment="1"/>
    <xf numFmtId="164" fontId="39" fillId="0" borderId="28" xfId="382" applyNumberFormat="1" applyFont="1" applyFill="1" applyBorder="1" applyAlignment="1"/>
    <xf numFmtId="164" fontId="39" fillId="0" borderId="11" xfId="382" applyNumberFormat="1" applyFont="1" applyFill="1" applyBorder="1" applyAlignment="1">
      <alignment horizontal="right"/>
    </xf>
    <xf numFmtId="0" fontId="37" fillId="0" borderId="47" xfId="0" applyNumberFormat="1" applyFont="1" applyFill="1" applyBorder="1" applyAlignment="1">
      <alignment horizontal="left"/>
    </xf>
    <xf numFmtId="0" fontId="37" fillId="0" borderId="47" xfId="0" applyFont="1" applyFill="1" applyBorder="1" applyAlignment="1">
      <alignment horizontal="left"/>
    </xf>
    <xf numFmtId="0" fontId="37" fillId="0" borderId="47" xfId="0" applyFont="1" applyFill="1" applyBorder="1" applyAlignment="1">
      <alignment horizontal="center"/>
    </xf>
    <xf numFmtId="0" fontId="39" fillId="0" borderId="37" xfId="0" applyNumberFormat="1" applyFont="1" applyFill="1" applyBorder="1" applyAlignment="1">
      <alignment horizontal="left"/>
    </xf>
    <xf numFmtId="0" fontId="39" fillId="0" borderId="0" xfId="0" applyFont="1" applyFill="1" applyBorder="1" applyAlignment="1">
      <alignment horizontal="right"/>
    </xf>
    <xf numFmtId="0" fontId="39" fillId="0" borderId="0" xfId="0" applyFont="1" applyFill="1" applyAlignment="1">
      <alignment horizontal="left" indent="1"/>
    </xf>
    <xf numFmtId="164" fontId="39" fillId="0" borderId="0" xfId="0" applyNumberFormat="1" applyFont="1" applyFill="1"/>
    <xf numFmtId="0" fontId="17" fillId="0" borderId="0" xfId="513" applyFont="1" applyFill="1" applyAlignment="1">
      <alignment horizontal="center"/>
    </xf>
    <xf numFmtId="0" fontId="17" fillId="0" borderId="0" xfId="513" applyFont="1" applyFill="1" applyBorder="1"/>
    <xf numFmtId="0" fontId="17" fillId="0" borderId="0" xfId="513" applyFont="1" applyFill="1"/>
    <xf numFmtId="0" fontId="17" fillId="0" borderId="0" xfId="513" quotePrefix="1" applyFont="1" applyFill="1" applyAlignment="1">
      <alignment horizontal="center" vertical="top"/>
    </xf>
    <xf numFmtId="0" fontId="39" fillId="0" borderId="18" xfId="0" applyNumberFormat="1" applyFont="1" applyFill="1" applyBorder="1" applyAlignment="1">
      <alignment horizontal="left" indent="1"/>
    </xf>
    <xf numFmtId="0" fontId="39" fillId="0" borderId="0" xfId="0" applyFont="1" applyFill="1" applyBorder="1" applyAlignment="1">
      <alignment horizontal="left" indent="1"/>
    </xf>
    <xf numFmtId="0" fontId="39" fillId="0" borderId="0" xfId="0" applyFont="1" applyFill="1" applyBorder="1" applyAlignment="1">
      <alignment horizontal="left" indent="2"/>
    </xf>
    <xf numFmtId="0" fontId="39" fillId="0" borderId="0" xfId="0" applyFont="1" applyFill="1" applyAlignment="1">
      <alignment horizontal="center"/>
    </xf>
    <xf numFmtId="37" fontId="39" fillId="0" borderId="30" xfId="382" applyNumberFormat="1" applyFont="1" applyFill="1" applyBorder="1" applyAlignment="1">
      <alignment horizontal="right"/>
    </xf>
    <xf numFmtId="164" fontId="39" fillId="0" borderId="0" xfId="382" applyNumberFormat="1" applyFont="1" applyFill="1" applyBorder="1"/>
    <xf numFmtId="164" fontId="55" fillId="0" borderId="0" xfId="382" applyNumberFormat="1" applyFont="1" applyFill="1" applyAlignment="1">
      <alignment horizontal="left"/>
    </xf>
    <xf numFmtId="164" fontId="37" fillId="0" borderId="0" xfId="0" applyNumberFormat="1" applyFont="1" applyFill="1"/>
    <xf numFmtId="1" fontId="55" fillId="0" borderId="0" xfId="511" applyNumberFormat="1" applyFont="1" applyFill="1" applyAlignment="1">
      <alignment horizontal="left"/>
    </xf>
    <xf numFmtId="0" fontId="35" fillId="0" borderId="0" xfId="504" applyFont="1" applyFill="1" applyBorder="1" applyAlignment="1">
      <alignment horizontal="right"/>
    </xf>
    <xf numFmtId="43" fontId="115" fillId="0" borderId="0" xfId="382" applyFont="1" applyFill="1" applyAlignment="1">
      <alignment horizontal="center"/>
    </xf>
    <xf numFmtId="0" fontId="35" fillId="0" borderId="0" xfId="0" applyFont="1" applyFill="1" applyAlignment="1">
      <alignment horizontal="right"/>
    </xf>
    <xf numFmtId="43" fontId="35" fillId="0" borderId="0" xfId="0" applyNumberFormat="1" applyFont="1" applyFill="1" applyAlignment="1">
      <alignment horizontal="right"/>
    </xf>
    <xf numFmtId="43" fontId="35" fillId="0" borderId="0" xfId="382" applyFont="1" applyFill="1" applyAlignment="1">
      <alignment horizontal="left"/>
    </xf>
    <xf numFmtId="43" fontId="35" fillId="0" borderId="0" xfId="382" applyNumberFormat="1" applyFont="1" applyFill="1" applyBorder="1"/>
    <xf numFmtId="43" fontId="35" fillId="0" borderId="0" xfId="504" applyNumberFormat="1" applyFont="1" applyFill="1" applyBorder="1"/>
    <xf numFmtId="0" fontId="36" fillId="0" borderId="0" xfId="0" applyFont="1" applyFill="1" applyAlignment="1">
      <alignment horizontal="left"/>
    </xf>
    <xf numFmtId="0" fontId="36" fillId="0" borderId="0" xfId="0" applyFont="1" applyFill="1" applyAlignment="1">
      <alignment horizontal="left" indent="2"/>
    </xf>
    <xf numFmtId="0" fontId="36" fillId="0" borderId="0" xfId="504" applyFont="1" applyFill="1" applyBorder="1" applyAlignment="1">
      <alignment horizontal="left" indent="2"/>
    </xf>
    <xf numFmtId="0" fontId="36" fillId="0" borderId="0" xfId="504" applyNumberFormat="1" applyFont="1" applyFill="1" applyBorder="1" applyAlignment="1">
      <alignment horizontal="left" wrapText="1" indent="2"/>
    </xf>
    <xf numFmtId="0" fontId="36" fillId="0" borderId="0" xfId="504" applyFont="1" applyFill="1" applyAlignment="1">
      <alignment horizontal="left" indent="2"/>
    </xf>
    <xf numFmtId="0" fontId="35" fillId="0" borderId="0" xfId="504" applyFont="1" applyFill="1" applyAlignment="1">
      <alignment horizontal="center" wrapText="1"/>
    </xf>
    <xf numFmtId="0" fontId="36" fillId="0" borderId="0" xfId="504" applyFont="1" applyFill="1"/>
    <xf numFmtId="164" fontId="133" fillId="0" borderId="0" xfId="382" applyNumberFormat="1" applyFont="1" applyBorder="1"/>
    <xf numFmtId="0" fontId="133" fillId="0" borderId="0" xfId="474" applyFont="1" applyBorder="1" applyAlignment="1">
      <alignment horizontal="center"/>
    </xf>
    <xf numFmtId="164" fontId="133" fillId="0" borderId="0" xfId="474" applyNumberFormat="1" applyFont="1" applyBorder="1"/>
    <xf numFmtId="43" fontId="123" fillId="0" borderId="0" xfId="382" applyFont="1" applyFill="1"/>
    <xf numFmtId="164" fontId="17" fillId="0" borderId="0" xfId="382" quotePrefix="1" applyNumberFormat="1" applyFont="1" applyBorder="1" applyAlignment="1">
      <alignment horizontal="center"/>
    </xf>
    <xf numFmtId="0" fontId="35" fillId="0" borderId="0" xfId="512" applyNumberFormat="1" applyFont="1" applyFill="1" applyAlignment="1">
      <alignment horizontal="left" vertical="top"/>
    </xf>
    <xf numFmtId="0" fontId="122" fillId="0" borderId="0" xfId="504" applyFont="1"/>
    <xf numFmtId="0" fontId="122" fillId="0" borderId="0" xfId="504" applyFont="1" applyBorder="1"/>
    <xf numFmtId="0" fontId="122" fillId="0" borderId="0" xfId="504" applyFont="1" applyFill="1" applyBorder="1" applyAlignment="1">
      <alignment horizontal="center" wrapText="1"/>
    </xf>
    <xf numFmtId="0" fontId="122" fillId="0" borderId="0" xfId="0" applyFont="1" applyFill="1" applyBorder="1"/>
    <xf numFmtId="164" fontId="122" fillId="0" borderId="0" xfId="382" applyNumberFormat="1" applyFont="1" applyBorder="1"/>
    <xf numFmtId="164" fontId="122" fillId="0" borderId="0" xfId="382" applyNumberFormat="1" applyFont="1" applyFill="1" applyBorder="1"/>
    <xf numFmtId="0" fontId="122" fillId="0" borderId="0" xfId="504" applyFont="1" applyFill="1" applyBorder="1"/>
    <xf numFmtId="0" fontId="135" fillId="0" borderId="0" xfId="0" applyFont="1" applyFill="1" applyBorder="1" applyAlignment="1">
      <alignment horizontal="left"/>
    </xf>
    <xf numFmtId="0" fontId="122" fillId="0" borderId="0" xfId="0" applyFont="1" applyFill="1" applyBorder="1" applyAlignment="1"/>
    <xf numFmtId="0" fontId="135" fillId="0" borderId="0" xfId="0" applyNumberFormat="1" applyFont="1" applyFill="1" applyBorder="1" applyAlignment="1">
      <alignment horizontal="center"/>
    </xf>
    <xf numFmtId="0" fontId="122" fillId="0" borderId="0" xfId="0" applyFont="1" applyFill="1" applyBorder="1" applyAlignment="1">
      <alignment horizontal="center" wrapText="1"/>
    </xf>
    <xf numFmtId="0" fontId="35" fillId="0" borderId="0" xfId="0" applyFont="1" applyFill="1" applyBorder="1" applyAlignment="1">
      <alignment horizontal="left" vertical="top"/>
    </xf>
    <xf numFmtId="0" fontId="35" fillId="0" borderId="16" xfId="0" applyFont="1" applyFill="1" applyBorder="1"/>
    <xf numFmtId="164" fontId="35" fillId="0" borderId="16" xfId="382" applyNumberFormat="1" applyFont="1" applyFill="1" applyBorder="1"/>
    <xf numFmtId="0" fontId="136" fillId="0" borderId="0" xfId="0" applyFont="1" applyFill="1"/>
    <xf numFmtId="164" fontId="35" fillId="0" borderId="0" xfId="382" applyNumberFormat="1" applyFont="1" applyBorder="1" applyAlignment="1">
      <alignment vertical="top"/>
    </xf>
    <xf numFmtId="170" fontId="47" fillId="0" borderId="0" xfId="382" applyNumberFormat="1" applyFont="1" applyFill="1" applyBorder="1" applyAlignment="1">
      <alignment horizontal="center"/>
    </xf>
    <xf numFmtId="164" fontId="35" fillId="0" borderId="0" xfId="382" applyNumberFormat="1" applyFont="1" applyFill="1" applyAlignment="1">
      <alignment vertical="top"/>
    </xf>
    <xf numFmtId="0" fontId="35" fillId="0" borderId="0" xfId="0" quotePrefix="1" applyFont="1" applyFill="1" applyAlignment="1">
      <alignment horizontal="left" vertical="top"/>
    </xf>
    <xf numFmtId="3" fontId="35" fillId="0" borderId="0" xfId="11265" quotePrefix="1" applyNumberFormat="1" applyFont="1" applyFill="1" applyAlignment="1"/>
    <xf numFmtId="43" fontId="55" fillId="0" borderId="0" xfId="511" applyNumberFormat="1" applyFont="1" applyFill="1" applyAlignment="1">
      <alignment horizontal="left"/>
    </xf>
    <xf numFmtId="0" fontId="55" fillId="0" borderId="0" xfId="511" applyFont="1" applyFill="1" applyAlignment="1">
      <alignment horizontal="center"/>
    </xf>
    <xf numFmtId="0" fontId="55" fillId="0" borderId="0" xfId="511" applyFont="1" applyFill="1" applyAlignment="1">
      <alignment horizontal="left"/>
    </xf>
    <xf numFmtId="2" fontId="55" fillId="0" borderId="0" xfId="511" applyNumberFormat="1" applyFont="1" applyFill="1" applyAlignment="1">
      <alignment horizontal="left"/>
    </xf>
    <xf numFmtId="0" fontId="55" fillId="0" borderId="0" xfId="511" applyFont="1" applyFill="1"/>
    <xf numFmtId="0" fontId="121" fillId="0" borderId="0" xfId="0" applyFont="1" applyFill="1"/>
    <xf numFmtId="2" fontId="35" fillId="0" borderId="0" xfId="0" applyNumberFormat="1" applyFont="1" applyFill="1" applyAlignment="1">
      <alignment horizontal="center"/>
    </xf>
    <xf numFmtId="193" fontId="35" fillId="0" borderId="0" xfId="0" applyNumberFormat="1" applyFont="1" applyFill="1" applyBorder="1"/>
    <xf numFmtId="170" fontId="104" fillId="0" borderId="0" xfId="382" applyNumberFormat="1" applyFont="1" applyFill="1" applyBorder="1" applyAlignment="1"/>
    <xf numFmtId="164" fontId="104" fillId="0" borderId="0" xfId="382" applyNumberFormat="1" applyFont="1" applyFill="1" applyBorder="1" applyAlignment="1">
      <alignment horizontal="right"/>
    </xf>
    <xf numFmtId="0" fontId="35" fillId="0" borderId="0" xfId="0" applyNumberFormat="1" applyFont="1" applyFill="1" applyBorder="1" applyAlignment="1"/>
    <xf numFmtId="164" fontId="55" fillId="0" borderId="0" xfId="382" applyNumberFormat="1" applyFont="1" applyFill="1" applyAlignment="1"/>
    <xf numFmtId="0" fontId="35" fillId="0" borderId="0" xfId="0" applyFont="1" applyFill="1" applyBorder="1" applyAlignment="1">
      <alignment horizontal="left" wrapText="1" indent="1"/>
    </xf>
    <xf numFmtId="0" fontId="35" fillId="0" borderId="0" xfId="0" applyFont="1" applyFill="1" applyBorder="1" applyAlignment="1">
      <alignment horizontal="left" wrapText="1"/>
    </xf>
    <xf numFmtId="164" fontId="35" fillId="0" borderId="0" xfId="382" applyNumberFormat="1" applyFont="1" applyFill="1" applyBorder="1" applyAlignment="1">
      <alignment vertical="top"/>
    </xf>
    <xf numFmtId="164" fontId="17" fillId="0" borderId="18" xfId="382" applyNumberFormat="1" applyFont="1" applyFill="1" applyBorder="1"/>
    <xf numFmtId="164" fontId="35" fillId="37" borderId="0" xfId="382" applyNumberFormat="1" applyFont="1" applyFill="1" applyAlignment="1">
      <alignment horizontal="left" vertical="top" indent="2"/>
    </xf>
    <xf numFmtId="164" fontId="35" fillId="37" borderId="18" xfId="382" applyNumberFormat="1" applyFont="1" applyFill="1" applyBorder="1" applyAlignment="1">
      <alignment horizontal="left" vertical="top" indent="2"/>
    </xf>
    <xf numFmtId="0" fontId="35" fillId="0" borderId="0" xfId="474" quotePrefix="1" applyFont="1" applyAlignment="1">
      <alignment horizontal="center" vertical="top"/>
    </xf>
    <xf numFmtId="0" fontId="35" fillId="53" borderId="0" xfId="0" applyFont="1" applyFill="1" applyBorder="1" applyAlignment="1">
      <alignment horizontal="left" wrapText="1"/>
    </xf>
    <xf numFmtId="0" fontId="35" fillId="0" borderId="0" xfId="0" applyFont="1" applyFill="1" applyAlignment="1">
      <alignment horizontal="left" vertical="top" wrapText="1"/>
    </xf>
    <xf numFmtId="0" fontId="35" fillId="0" borderId="0" xfId="0" applyFont="1" applyFill="1" applyAlignment="1">
      <alignment horizontal="center"/>
    </xf>
    <xf numFmtId="0" fontId="35" fillId="0" borderId="0" xfId="0" applyFont="1" applyFill="1" applyBorder="1" applyAlignment="1">
      <alignment horizontal="left" wrapText="1"/>
    </xf>
    <xf numFmtId="0" fontId="35" fillId="0" borderId="0" xfId="0" applyFont="1" applyFill="1" applyAlignment="1">
      <alignment horizontal="left" vertical="top"/>
    </xf>
    <xf numFmtId="0" fontId="138" fillId="0" borderId="0" xfId="513" applyFont="1"/>
    <xf numFmtId="0" fontId="138" fillId="0" borderId="0" xfId="511" applyFont="1" applyFill="1"/>
    <xf numFmtId="43" fontId="55" fillId="0" borderId="0" xfId="425" applyFont="1" applyFill="1"/>
    <xf numFmtId="164" fontId="138" fillId="0" borderId="0" xfId="382" applyNumberFormat="1" applyFont="1" applyFill="1" applyBorder="1"/>
    <xf numFmtId="0" fontId="122" fillId="0" borderId="0" xfId="0" applyFont="1" applyFill="1"/>
    <xf numFmtId="0" fontId="139" fillId="0" borderId="0" xfId="496" applyFont="1"/>
    <xf numFmtId="0" fontId="118" fillId="0" borderId="0" xfId="484" applyFont="1" applyFill="1" applyBorder="1" applyAlignment="1">
      <alignment vertical="top"/>
    </xf>
    <xf numFmtId="0" fontId="55" fillId="0" borderId="0" xfId="511" applyFont="1" applyAlignment="1">
      <alignment horizontal="left" vertical="top"/>
    </xf>
    <xf numFmtId="0" fontId="134" fillId="0" borderId="0" xfId="0" applyFont="1" applyFill="1" applyBorder="1" applyAlignment="1">
      <alignment horizontal="center"/>
    </xf>
    <xf numFmtId="169" fontId="104" fillId="0" borderId="0" xfId="37694" applyFont="1" applyAlignment="1">
      <alignment horizontal="center"/>
    </xf>
    <xf numFmtId="49" fontId="104" fillId="0" borderId="0" xfId="37696" applyNumberFormat="1" applyFont="1" applyFill="1" applyAlignment="1" applyProtection="1">
      <protection locked="0"/>
    </xf>
    <xf numFmtId="0" fontId="104" fillId="0" borderId="0" xfId="37696" applyNumberFormat="1" applyFont="1" applyFill="1" applyAlignment="1">
      <alignment wrapText="1"/>
    </xf>
    <xf numFmtId="0" fontId="104" fillId="0" borderId="0" xfId="37696" applyNumberFormat="1" applyFont="1" applyFill="1" applyAlignment="1" applyProtection="1">
      <alignment horizontal="left"/>
      <protection locked="0"/>
    </xf>
    <xf numFmtId="164" fontId="104" fillId="0" borderId="6" xfId="382" applyNumberFormat="1" applyFont="1" applyBorder="1" applyAlignment="1"/>
    <xf numFmtId="0" fontId="37" fillId="0" borderId="5" xfId="0" applyNumberFormat="1" applyFont="1" applyFill="1" applyBorder="1" applyAlignment="1">
      <alignment horizontal="left"/>
    </xf>
    <xf numFmtId="0" fontId="37" fillId="0" borderId="5" xfId="0" applyFont="1" applyFill="1" applyBorder="1" applyAlignment="1">
      <alignment horizontal="center"/>
    </xf>
    <xf numFmtId="0" fontId="52" fillId="0" borderId="0" xfId="0" applyFont="1" applyFill="1" applyBorder="1"/>
    <xf numFmtId="3" fontId="39" fillId="0" borderId="35" xfId="0" quotePrefix="1" applyNumberFormat="1" applyFont="1" applyFill="1" applyBorder="1" applyAlignment="1">
      <alignment horizontal="left"/>
    </xf>
    <xf numFmtId="0" fontId="37" fillId="0" borderId="0" xfId="0" applyFont="1" applyFill="1" applyBorder="1" applyAlignment="1">
      <alignment horizontal="left"/>
    </xf>
    <xf numFmtId="3" fontId="39" fillId="0" borderId="18" xfId="0" applyNumberFormat="1" applyFont="1" applyFill="1" applyBorder="1" applyAlignment="1">
      <alignment horizontal="center"/>
    </xf>
    <xf numFmtId="168" fontId="121" fillId="0" borderId="0" xfId="0" applyNumberFormat="1" applyFont="1" applyFill="1" applyBorder="1" applyAlignment="1">
      <alignment horizontal="left"/>
    </xf>
    <xf numFmtId="3" fontId="37" fillId="0" borderId="38" xfId="0" applyNumberFormat="1" applyFont="1" applyFill="1" applyBorder="1" applyAlignment="1">
      <alignment horizontal="right"/>
    </xf>
    <xf numFmtId="168" fontId="39" fillId="0" borderId="0" xfId="0" applyNumberFormat="1" applyFont="1" applyFill="1" applyBorder="1" applyAlignment="1">
      <alignment horizontal="left" indent="1"/>
    </xf>
    <xf numFmtId="168" fontId="39" fillId="0" borderId="18" xfId="0" applyNumberFormat="1" applyFont="1" applyFill="1" applyBorder="1" applyAlignment="1">
      <alignment horizontal="left" indent="1"/>
    </xf>
    <xf numFmtId="3" fontId="39" fillId="0" borderId="35" xfId="0" applyNumberFormat="1" applyFont="1" applyFill="1" applyBorder="1"/>
    <xf numFmtId="3" fontId="39" fillId="0" borderId="36" xfId="0" applyNumberFormat="1" applyFont="1" applyFill="1" applyBorder="1" applyAlignment="1">
      <alignment horizontal="right"/>
    </xf>
    <xf numFmtId="0" fontId="39" fillId="50" borderId="0" xfId="0" applyFont="1" applyFill="1" applyBorder="1" applyAlignment="1">
      <alignment horizontal="center"/>
    </xf>
    <xf numFmtId="3" fontId="39" fillId="0" borderId="35" xfId="0" applyNumberFormat="1" applyFont="1" applyFill="1" applyBorder="1" applyAlignment="1">
      <alignment wrapText="1"/>
    </xf>
    <xf numFmtId="37" fontId="39" fillId="0" borderId="35" xfId="0" quotePrefix="1" applyNumberFormat="1" applyFont="1" applyFill="1" applyBorder="1" applyAlignment="1"/>
    <xf numFmtId="169" fontId="104" fillId="0" borderId="7" xfId="37696" applyFont="1" applyFill="1" applyBorder="1" applyAlignment="1"/>
    <xf numFmtId="0" fontId="104" fillId="0" borderId="7" xfId="37696" applyNumberFormat="1" applyFont="1" applyFill="1" applyBorder="1" applyProtection="1">
      <protection locked="0"/>
    </xf>
    <xf numFmtId="0" fontId="104" fillId="52" borderId="0" xfId="37695" applyFont="1" applyFill="1"/>
    <xf numFmtId="0" fontId="104" fillId="52" borderId="0" xfId="37696" applyNumberFormat="1" applyFont="1" applyFill="1"/>
    <xf numFmtId="0" fontId="104" fillId="52" borderId="0" xfId="37697" applyNumberFormat="1" applyFont="1" applyFill="1" applyAlignment="1">
      <alignment horizontal="right"/>
    </xf>
    <xf numFmtId="169" fontId="104" fillId="52" borderId="0" xfId="37694" applyFont="1" applyFill="1" applyAlignment="1"/>
    <xf numFmtId="0" fontId="104" fillId="52" borderId="0" xfId="37695" applyFont="1" applyFill="1" applyAlignment="1">
      <alignment horizontal="right"/>
    </xf>
    <xf numFmtId="169" fontId="125" fillId="52" borderId="0" xfId="37694" applyFont="1" applyFill="1" applyAlignment="1">
      <alignment horizontal="center" vertical="center"/>
    </xf>
    <xf numFmtId="170" fontId="104" fillId="0" borderId="0" xfId="382" applyNumberFormat="1" applyFont="1" applyFill="1" applyAlignment="1">
      <alignment horizontal="center" vertical="top"/>
    </xf>
    <xf numFmtId="0" fontId="104" fillId="0" borderId="0" xfId="37694" applyNumberFormat="1" applyFont="1" applyFill="1" applyAlignment="1">
      <alignment vertical="top"/>
    </xf>
    <xf numFmtId="1" fontId="35" fillId="0" borderId="0" xfId="510" applyNumberFormat="1" applyFont="1" applyFill="1" applyBorder="1" applyAlignment="1">
      <alignment horizontal="left"/>
    </xf>
    <xf numFmtId="0" fontId="35" fillId="0" borderId="6" xfId="0" applyFont="1" applyFill="1" applyBorder="1" applyAlignment="1">
      <alignment horizontal="left" wrapText="1"/>
    </xf>
    <xf numFmtId="0" fontId="35" fillId="0" borderId="0" xfId="504" quotePrefix="1" applyFont="1" applyAlignment="1">
      <alignment horizontal="center" vertical="top"/>
    </xf>
    <xf numFmtId="0" fontId="17" fillId="0" borderId="18" xfId="0" applyFont="1" applyFill="1" applyBorder="1" applyAlignment="1">
      <alignment horizontal="left" indent="1"/>
    </xf>
    <xf numFmtId="164" fontId="15" fillId="0" borderId="18" xfId="382" applyNumberFormat="1" applyFont="1" applyFill="1" applyBorder="1"/>
    <xf numFmtId="0" fontId="17" fillId="0" borderId="0" xfId="0" applyFont="1" applyFill="1" applyAlignment="1">
      <alignment horizontal="left"/>
    </xf>
    <xf numFmtId="164" fontId="35" fillId="0" borderId="17" xfId="382" applyNumberFormat="1" applyFont="1" applyFill="1" applyBorder="1" applyAlignment="1">
      <alignment vertical="top"/>
    </xf>
    <xf numFmtId="164" fontId="35" fillId="0" borderId="0" xfId="382" applyNumberFormat="1" applyFont="1" applyFill="1" applyAlignment="1">
      <alignment horizontal="left" vertical="top" indent="2"/>
    </xf>
    <xf numFmtId="0" fontId="55" fillId="0" borderId="0" xfId="511" quotePrefix="1" applyFont="1" applyFill="1" applyAlignment="1">
      <alignment horizontal="center"/>
    </xf>
    <xf numFmtId="0" fontId="55" fillId="0" borderId="0" xfId="511" quotePrefix="1" applyFont="1" applyFill="1" applyAlignment="1">
      <alignment horizontal="center" vertical="top"/>
    </xf>
    <xf numFmtId="0" fontId="133" fillId="0" borderId="0" xfId="0" applyFont="1" applyFill="1"/>
    <xf numFmtId="0" fontId="133" fillId="0" borderId="0" xfId="511" applyFont="1" applyFill="1"/>
    <xf numFmtId="0" fontId="35" fillId="0" borderId="0" xfId="484" quotePrefix="1" applyFont="1" applyFill="1" applyAlignment="1">
      <alignment vertical="top"/>
    </xf>
    <xf numFmtId="0" fontId="84" fillId="0" borderId="0" xfId="0" applyFont="1" applyFill="1" applyAlignment="1">
      <alignment horizontal="left"/>
    </xf>
    <xf numFmtId="0" fontId="84" fillId="0" borderId="0" xfId="0" applyFont="1" applyFill="1"/>
    <xf numFmtId="0" fontId="36" fillId="0" borderId="16" xfId="0" applyFont="1" applyFill="1" applyBorder="1" applyAlignment="1">
      <alignment horizontal="left" indent="1"/>
    </xf>
    <xf numFmtId="1" fontId="55" fillId="0" borderId="0" xfId="11275" applyNumberFormat="1" applyFont="1" applyFill="1" applyAlignment="1">
      <alignment horizontal="left"/>
    </xf>
    <xf numFmtId="0" fontId="55" fillId="0" borderId="0" xfId="11275" applyFont="1" applyFill="1" applyAlignment="1">
      <alignment horizontal="left"/>
    </xf>
    <xf numFmtId="0" fontId="17" fillId="0" borderId="0" xfId="11271" quotePrefix="1" applyFont="1" applyFill="1" applyAlignment="1">
      <alignment horizontal="center"/>
    </xf>
    <xf numFmtId="0" fontId="14" fillId="0" borderId="0" xfId="0" applyFont="1"/>
    <xf numFmtId="0" fontId="14" fillId="0" borderId="0" xfId="0" applyFont="1" applyFill="1"/>
    <xf numFmtId="164" fontId="14" fillId="0" borderId="0" xfId="382" applyNumberFormat="1" applyFont="1" applyFill="1"/>
    <xf numFmtId="0" fontId="14" fillId="0" borderId="0" xfId="0" applyFont="1" applyAlignment="1">
      <alignment horizontal="center"/>
    </xf>
    <xf numFmtId="3" fontId="104" fillId="0" borderId="0" xfId="37696" applyNumberFormat="1" applyFont="1" applyFill="1" applyAlignment="1">
      <alignment vertical="top" wrapText="1"/>
    </xf>
    <xf numFmtId="0" fontId="104" fillId="0" borderId="0" xfId="37696" applyNumberFormat="1" applyFont="1" applyFill="1" applyAlignment="1">
      <alignment horizontal="left" vertical="top"/>
    </xf>
    <xf numFmtId="169" fontId="104" fillId="0" borderId="0" xfId="37694" quotePrefix="1" applyFont="1" applyFill="1" applyAlignment="1">
      <alignment vertical="top"/>
    </xf>
    <xf numFmtId="0" fontId="35" fillId="0" borderId="0" xfId="513" applyFont="1"/>
    <xf numFmtId="0" fontId="55" fillId="0" borderId="0" xfId="0" applyFont="1" applyFill="1" applyAlignment="1">
      <alignment horizontal="center"/>
    </xf>
    <xf numFmtId="0" fontId="13" fillId="0" borderId="0" xfId="0" applyFont="1" applyFill="1" applyAlignment="1">
      <alignment horizontal="center"/>
    </xf>
    <xf numFmtId="0" fontId="13" fillId="0" borderId="0" xfId="0" applyFont="1" applyFill="1"/>
    <xf numFmtId="164" fontId="13" fillId="0" borderId="0" xfId="423" applyNumberFormat="1" applyFont="1" applyFill="1"/>
    <xf numFmtId="0" fontId="13" fillId="0" borderId="0" xfId="0" applyFont="1" applyFill="1" applyAlignment="1">
      <alignment horizontal="left" indent="1"/>
    </xf>
    <xf numFmtId="164" fontId="13" fillId="0" borderId="0" xfId="382" applyNumberFormat="1" applyFont="1" applyFill="1"/>
    <xf numFmtId="0" fontId="13" fillId="0" borderId="0" xfId="0" applyFont="1" applyFill="1" applyAlignment="1">
      <alignment horizontal="left"/>
    </xf>
    <xf numFmtId="164" fontId="13" fillId="0" borderId="0" xfId="0" applyNumberFormat="1" applyFont="1" applyFill="1"/>
    <xf numFmtId="164" fontId="13" fillId="0" borderId="0" xfId="0" applyNumberFormat="1" applyFont="1" applyFill="1" applyBorder="1"/>
    <xf numFmtId="164" fontId="13" fillId="0" borderId="17" xfId="0" applyNumberFormat="1" applyFont="1" applyFill="1" applyBorder="1"/>
    <xf numFmtId="43" fontId="13" fillId="0" borderId="0" xfId="423" applyFont="1" applyFill="1"/>
    <xf numFmtId="9" fontId="55" fillId="0" borderId="0" xfId="674" applyFont="1"/>
    <xf numFmtId="0" fontId="37" fillId="0" borderId="55" xfId="0" applyFont="1" applyFill="1" applyBorder="1" applyAlignment="1">
      <alignment horizontal="center"/>
    </xf>
    <xf numFmtId="0" fontId="37" fillId="50" borderId="56" xfId="0" applyFont="1" applyFill="1" applyBorder="1" applyAlignment="1">
      <alignment horizontal="left"/>
    </xf>
    <xf numFmtId="0" fontId="37" fillId="50" borderId="55" xfId="0" applyFont="1" applyFill="1" applyBorder="1" applyAlignment="1">
      <alignment horizontal="left"/>
    </xf>
    <xf numFmtId="0" fontId="37" fillId="50" borderId="55" xfId="0" applyFont="1" applyFill="1" applyBorder="1" applyAlignment="1"/>
    <xf numFmtId="0" fontId="39" fillId="0" borderId="22" xfId="0" applyFont="1" applyBorder="1"/>
    <xf numFmtId="0" fontId="39" fillId="0" borderId="58" xfId="0" applyFont="1" applyFill="1" applyBorder="1" applyAlignment="1">
      <alignment horizontal="center" wrapText="1"/>
    </xf>
    <xf numFmtId="3" fontId="39" fillId="0" borderId="59" xfId="0" applyNumberFormat="1" applyFont="1" applyBorder="1" applyAlignment="1"/>
    <xf numFmtId="164" fontId="39" fillId="0" borderId="59" xfId="382" applyNumberFormat="1" applyFont="1" applyFill="1" applyBorder="1" applyAlignment="1"/>
    <xf numFmtId="164" fontId="39" fillId="0" borderId="60" xfId="382" applyNumberFormat="1" applyFont="1" applyFill="1" applyBorder="1" applyAlignment="1"/>
    <xf numFmtId="164" fontId="39" fillId="0" borderId="61" xfId="382" applyNumberFormat="1" applyFont="1" applyFill="1" applyBorder="1" applyAlignment="1"/>
    <xf numFmtId="171" fontId="37" fillId="0" borderId="59" xfId="674" applyNumberFormat="1" applyFont="1" applyFill="1" applyBorder="1" applyAlignment="1"/>
    <xf numFmtId="0" fontId="39" fillId="0" borderId="59" xfId="0" applyFont="1" applyFill="1" applyBorder="1"/>
    <xf numFmtId="164" fontId="39" fillId="0" borderId="59" xfId="382" applyNumberFormat="1" applyFont="1" applyFill="1" applyBorder="1"/>
    <xf numFmtId="171" fontId="37" fillId="0" borderId="59" xfId="674" applyNumberFormat="1" applyFont="1" applyBorder="1" applyAlignment="1"/>
    <xf numFmtId="0" fontId="39" fillId="50" borderId="63" xfId="0" applyFont="1" applyFill="1" applyBorder="1" applyAlignment="1">
      <alignment horizontal="center" wrapText="1"/>
    </xf>
    <xf numFmtId="0" fontId="39" fillId="0" borderId="59" xfId="0" applyFont="1" applyFill="1" applyBorder="1" applyAlignment="1">
      <alignment horizontal="center" wrapText="1"/>
    </xf>
    <xf numFmtId="3" fontId="39" fillId="0" borderId="59" xfId="0" applyNumberFormat="1" applyFont="1" applyFill="1" applyBorder="1" applyAlignment="1"/>
    <xf numFmtId="164" fontId="37" fillId="0" borderId="59" xfId="382" applyNumberFormat="1" applyFont="1" applyFill="1" applyBorder="1" applyAlignment="1"/>
    <xf numFmtId="171" fontId="39" fillId="0" borderId="60" xfId="674" applyNumberFormat="1" applyFont="1" applyFill="1" applyBorder="1" applyAlignment="1"/>
    <xf numFmtId="164" fontId="37" fillId="0" borderId="62" xfId="382" applyNumberFormat="1" applyFont="1" applyFill="1" applyBorder="1"/>
    <xf numFmtId="164" fontId="60" fillId="0" borderId="59" xfId="382" applyNumberFormat="1" applyFont="1" applyFill="1" applyBorder="1"/>
    <xf numFmtId="3" fontId="39" fillId="0" borderId="59" xfId="0" applyNumberFormat="1" applyFont="1" applyBorder="1"/>
    <xf numFmtId="171" fontId="39" fillId="0" borderId="60" xfId="0" applyNumberFormat="1" applyFont="1" applyFill="1" applyBorder="1" applyAlignment="1">
      <alignment horizontal="right"/>
    </xf>
    <xf numFmtId="164" fontId="39" fillId="0" borderId="59" xfId="382" applyNumberFormat="1" applyFont="1" applyFill="1" applyBorder="1" applyAlignment="1">
      <alignment horizontal="right"/>
    </xf>
    <xf numFmtId="164" fontId="39" fillId="0" borderId="64" xfId="382" applyNumberFormat="1" applyFont="1" applyFill="1" applyBorder="1" applyAlignment="1">
      <alignment horizontal="right"/>
    </xf>
    <xf numFmtId="3" fontId="39" fillId="0" borderId="59" xfId="0" applyNumberFormat="1" applyFont="1" applyFill="1" applyBorder="1" applyAlignment="1">
      <alignment horizontal="right"/>
    </xf>
    <xf numFmtId="164" fontId="39" fillId="37" borderId="59" xfId="382" applyNumberFormat="1" applyFont="1" applyFill="1" applyBorder="1" applyAlignment="1"/>
    <xf numFmtId="3" fontId="37" fillId="0" borderId="59" xfId="0" applyNumberFormat="1" applyFont="1" applyFill="1" applyBorder="1" applyAlignment="1"/>
    <xf numFmtId="171" fontId="39" fillId="0" borderId="59" xfId="0" applyNumberFormat="1" applyFont="1" applyFill="1" applyBorder="1" applyAlignment="1">
      <alignment horizontal="right"/>
    </xf>
    <xf numFmtId="164" fontId="39" fillId="0" borderId="60" xfId="382" applyNumberFormat="1" applyFont="1" applyFill="1" applyBorder="1" applyAlignment="1">
      <alignment horizontal="right"/>
    </xf>
    <xf numFmtId="164" fontId="39" fillId="0" borderId="57" xfId="382" applyNumberFormat="1" applyFont="1" applyFill="1" applyBorder="1" applyAlignment="1">
      <alignment horizontal="right"/>
    </xf>
    <xf numFmtId="164" fontId="37" fillId="0" borderId="59" xfId="382" applyNumberFormat="1" applyFont="1" applyFill="1" applyBorder="1"/>
    <xf numFmtId="0" fontId="39" fillId="0" borderId="59" xfId="0" applyFont="1" applyBorder="1"/>
    <xf numFmtId="164" fontId="37" fillId="0" borderId="59" xfId="382" applyNumberFormat="1" applyFont="1" applyFill="1" applyBorder="1" applyAlignment="1">
      <alignment horizontal="right"/>
    </xf>
    <xf numFmtId="164" fontId="39" fillId="37" borderId="60" xfId="382" applyNumberFormat="1" applyFont="1" applyFill="1" applyBorder="1" applyAlignment="1"/>
    <xf numFmtId="164" fontId="39" fillId="0" borderId="59" xfId="382" applyNumberFormat="1" applyFont="1" applyBorder="1"/>
    <xf numFmtId="164" fontId="37" fillId="0" borderId="62" xfId="382" applyNumberFormat="1" applyFont="1" applyBorder="1"/>
    <xf numFmtId="164" fontId="39" fillId="50" borderId="64" xfId="382" applyNumberFormat="1" applyFont="1" applyFill="1" applyBorder="1" applyAlignment="1">
      <alignment horizontal="center" wrapText="1"/>
    </xf>
    <xf numFmtId="164" fontId="39" fillId="0" borderId="59" xfId="382" applyNumberFormat="1" applyFont="1" applyFill="1" applyBorder="1" applyAlignment="1">
      <alignment horizontal="center" wrapText="1"/>
    </xf>
    <xf numFmtId="164" fontId="39" fillId="0" borderId="59" xfId="382" applyNumberFormat="1" applyFont="1" applyBorder="1" applyAlignment="1"/>
    <xf numFmtId="164" fontId="41" fillId="0" borderId="59" xfId="382" applyNumberFormat="1" applyFont="1" applyFill="1" applyBorder="1" applyAlignment="1">
      <alignment horizontal="right"/>
    </xf>
    <xf numFmtId="164" fontId="37" fillId="0" borderId="62" xfId="382" applyNumberFormat="1" applyFont="1" applyFill="1" applyBorder="1" applyAlignment="1"/>
    <xf numFmtId="171" fontId="41" fillId="0" borderId="59" xfId="0" applyNumberFormat="1" applyFont="1" applyFill="1" applyBorder="1" applyAlignment="1">
      <alignment horizontal="right"/>
    </xf>
    <xf numFmtId="164" fontId="39" fillId="37" borderId="60" xfId="382" applyNumberFormat="1" applyFont="1" applyFill="1" applyBorder="1" applyAlignment="1">
      <alignment horizontal="right"/>
    </xf>
    <xf numFmtId="164" fontId="39" fillId="37" borderId="59" xfId="382" applyNumberFormat="1" applyFont="1" applyFill="1" applyBorder="1" applyAlignment="1">
      <alignment horizontal="right"/>
    </xf>
    <xf numFmtId="37" fontId="39" fillId="0" borderId="60" xfId="382" applyNumberFormat="1" applyFont="1" applyFill="1" applyBorder="1" applyAlignment="1">
      <alignment horizontal="right"/>
    </xf>
    <xf numFmtId="164" fontId="37" fillId="0" borderId="62" xfId="382" applyNumberFormat="1" applyFont="1" applyFill="1" applyBorder="1" applyAlignment="1">
      <alignment horizontal="right"/>
    </xf>
    <xf numFmtId="164" fontId="39" fillId="50" borderId="63" xfId="382" applyNumberFormat="1" applyFont="1" applyFill="1" applyBorder="1" applyAlignment="1">
      <alignment horizontal="center" wrapText="1"/>
    </xf>
    <xf numFmtId="164" fontId="37" fillId="0" borderId="59" xfId="382" applyNumberFormat="1" applyFont="1" applyBorder="1" applyAlignment="1"/>
    <xf numFmtId="164" fontId="39" fillId="0" borderId="60" xfId="382" applyNumberFormat="1" applyFont="1" applyFill="1" applyBorder="1"/>
    <xf numFmtId="0" fontId="39" fillId="50" borderId="64" xfId="0" applyFont="1" applyFill="1" applyBorder="1" applyAlignment="1">
      <alignment horizontal="center" wrapText="1"/>
    </xf>
    <xf numFmtId="37" fontId="39" fillId="0" borderId="59" xfId="0" applyNumberFormat="1" applyFont="1" applyFill="1" applyBorder="1"/>
    <xf numFmtId="10" fontId="39" fillId="0" borderId="59" xfId="674" applyNumberFormat="1" applyFont="1" applyFill="1" applyBorder="1" applyAlignment="1"/>
    <xf numFmtId="10" fontId="39" fillId="0" borderId="59" xfId="0" applyNumberFormat="1" applyFont="1" applyFill="1" applyBorder="1" applyAlignment="1"/>
    <xf numFmtId="10" fontId="39" fillId="37" borderId="59" xfId="674" applyNumberFormat="1" applyFont="1" applyFill="1" applyBorder="1" applyAlignment="1"/>
    <xf numFmtId="10" fontId="39" fillId="0" borderId="60" xfId="674" applyNumberFormat="1" applyFont="1" applyFill="1" applyBorder="1" applyAlignment="1"/>
    <xf numFmtId="10" fontId="37" fillId="0" borderId="59" xfId="674" applyNumberFormat="1" applyFont="1" applyFill="1" applyBorder="1" applyAlignment="1"/>
    <xf numFmtId="166" fontId="37" fillId="0" borderId="59" xfId="0" applyNumberFormat="1" applyFont="1" applyBorder="1" applyAlignment="1"/>
    <xf numFmtId="3" fontId="37" fillId="0" borderId="65" xfId="0" applyNumberFormat="1" applyFont="1" applyBorder="1" applyAlignment="1"/>
    <xf numFmtId="166" fontId="39" fillId="0" borderId="59" xfId="0" applyNumberFormat="1" applyFont="1" applyBorder="1" applyAlignment="1"/>
    <xf numFmtId="10" fontId="39" fillId="37" borderId="59" xfId="0" applyNumberFormat="1" applyFont="1" applyFill="1" applyBorder="1" applyAlignment="1"/>
    <xf numFmtId="10" fontId="39" fillId="0" borderId="59" xfId="0" applyNumberFormat="1" applyFont="1" applyFill="1" applyBorder="1"/>
    <xf numFmtId="10" fontId="39" fillId="0" borderId="59" xfId="0" applyNumberFormat="1" applyFont="1" applyFill="1" applyBorder="1" applyAlignment="1">
      <alignment horizontal="right"/>
    </xf>
    <xf numFmtId="10" fontId="39" fillId="0" borderId="59" xfId="674" applyNumberFormat="1" applyFont="1" applyBorder="1" applyAlignment="1"/>
    <xf numFmtId="164" fontId="39" fillId="0" borderId="59" xfId="382" applyNumberFormat="1" applyFont="1" applyBorder="1" applyAlignment="1">
      <alignment horizontal="right"/>
    </xf>
    <xf numFmtId="164" fontId="37" fillId="0" borderId="61" xfId="382" applyNumberFormat="1" applyFont="1" applyBorder="1"/>
    <xf numFmtId="164" fontId="37" fillId="0" borderId="66" xfId="382" applyNumberFormat="1" applyFont="1" applyFill="1" applyBorder="1"/>
    <xf numFmtId="164" fontId="37" fillId="0" borderId="59" xfId="382" applyNumberFormat="1" applyFont="1" applyBorder="1"/>
    <xf numFmtId="164" fontId="37" fillId="0" borderId="68" xfId="382" applyNumberFormat="1" applyFont="1" applyFill="1" applyBorder="1"/>
    <xf numFmtId="43" fontId="37" fillId="0" borderId="68" xfId="382" applyFont="1" applyBorder="1"/>
    <xf numFmtId="43" fontId="35" fillId="37" borderId="0" xfId="382" applyFont="1" applyFill="1" applyBorder="1" applyAlignment="1"/>
    <xf numFmtId="0" fontId="39" fillId="0" borderId="0" xfId="0" applyFont="1" applyFill="1" applyBorder="1" applyAlignment="1">
      <alignment horizontal="left" vertical="top" wrapText="1"/>
    </xf>
    <xf numFmtId="0" fontId="39" fillId="0" borderId="0" xfId="0" applyNumberFormat="1" applyFont="1" applyFill="1" applyAlignment="1">
      <alignment horizontal="left" vertical="top" wrapText="1"/>
    </xf>
    <xf numFmtId="0" fontId="35" fillId="0" borderId="0" xfId="0" applyFont="1" applyFill="1" applyBorder="1" applyAlignment="1">
      <alignment horizontal="left" wrapText="1"/>
    </xf>
    <xf numFmtId="0" fontId="55" fillId="0" borderId="0" xfId="0" applyFont="1" applyFill="1" applyAlignment="1">
      <alignment horizontal="center"/>
    </xf>
    <xf numFmtId="164" fontId="55" fillId="37" borderId="0" xfId="382" applyNumberFormat="1" applyFont="1" applyFill="1" applyBorder="1"/>
    <xf numFmtId="0" fontId="133" fillId="0" borderId="0" xfId="513" applyFont="1" applyFill="1"/>
    <xf numFmtId="164" fontId="55" fillId="37" borderId="18" xfId="382" applyNumberFormat="1" applyFont="1" applyFill="1" applyBorder="1"/>
    <xf numFmtId="43" fontId="35" fillId="0" borderId="0" xfId="382" applyFont="1" applyFill="1" applyBorder="1" applyAlignment="1">
      <alignment horizontal="right"/>
    </xf>
    <xf numFmtId="0" fontId="35" fillId="0" borderId="0" xfId="484" quotePrefix="1" applyFont="1" applyFill="1" applyAlignment="1">
      <alignment horizontal="center" vertical="top"/>
    </xf>
    <xf numFmtId="0" fontId="12" fillId="0" borderId="0" xfId="0" applyFont="1" applyFill="1" applyAlignment="1">
      <alignment horizontal="left"/>
    </xf>
    <xf numFmtId="0" fontId="55" fillId="0" borderId="0" xfId="511" quotePrefix="1" applyFont="1" applyAlignment="1">
      <alignment horizontal="center"/>
    </xf>
    <xf numFmtId="0" fontId="35" fillId="0" borderId="0" xfId="511" quotePrefix="1" applyFont="1" applyFill="1" applyAlignment="1">
      <alignment horizontal="center"/>
    </xf>
    <xf numFmtId="0" fontId="16" fillId="0" borderId="0" xfId="0" applyFont="1" applyFill="1"/>
    <xf numFmtId="0" fontId="55" fillId="0" borderId="0" xfId="511" applyFont="1" applyFill="1" applyAlignment="1">
      <alignment vertical="top" wrapText="1"/>
    </xf>
    <xf numFmtId="43" fontId="17" fillId="0" borderId="18" xfId="382" applyFont="1" applyFill="1" applyBorder="1" applyAlignment="1">
      <alignment horizontal="center" wrapText="1"/>
    </xf>
    <xf numFmtId="0" fontId="133" fillId="0" borderId="0" xfId="511" applyFont="1" applyFill="1" applyAlignment="1">
      <alignment vertical="top" wrapText="1"/>
    </xf>
    <xf numFmtId="0" fontId="17" fillId="0" borderId="0" xfId="11271" applyFont="1" applyFill="1" applyAlignment="1">
      <alignment horizontal="center"/>
    </xf>
    <xf numFmtId="0" fontId="35" fillId="0" borderId="0" xfId="0" applyFont="1" applyFill="1" applyBorder="1" applyAlignment="1">
      <alignment vertical="top" wrapText="1"/>
    </xf>
    <xf numFmtId="0" fontId="55" fillId="0" borderId="0" xfId="11275" applyFont="1" applyFill="1"/>
    <xf numFmtId="0" fontId="55" fillId="0" borderId="0" xfId="569" applyFont="1" applyFill="1" applyBorder="1"/>
    <xf numFmtId="0" fontId="55" fillId="0" borderId="0" xfId="11275" quotePrefix="1" applyFont="1" applyFill="1" applyAlignment="1">
      <alignment horizontal="center"/>
    </xf>
    <xf numFmtId="0" fontId="55" fillId="0" borderId="0" xfId="11275" quotePrefix="1" applyFont="1" applyFill="1" applyAlignment="1">
      <alignment horizontal="center" vertical="top"/>
    </xf>
    <xf numFmtId="0" fontId="35" fillId="0" borderId="16" xfId="0" applyFont="1" applyFill="1" applyBorder="1" applyAlignment="1"/>
    <xf numFmtId="164" fontId="55" fillId="0" borderId="0" xfId="382" applyNumberFormat="1" applyFont="1" applyFill="1" applyBorder="1"/>
    <xf numFmtId="0" fontId="0" fillId="0" borderId="0" xfId="0" applyFill="1" applyAlignment="1">
      <alignment horizontal="center"/>
    </xf>
    <xf numFmtId="0" fontId="55" fillId="0" borderId="0" xfId="0" applyFont="1" applyFill="1" applyAlignment="1">
      <alignment horizontal="left"/>
    </xf>
    <xf numFmtId="0" fontId="0" fillId="0" borderId="0" xfId="0" quotePrefix="1" applyFill="1" applyAlignment="1">
      <alignment horizontal="center" vertical="top"/>
    </xf>
    <xf numFmtId="0" fontId="35" fillId="0" borderId="0" xfId="504" quotePrefix="1" applyFont="1" applyFill="1" applyAlignment="1">
      <alignment horizontal="center" vertical="top"/>
    </xf>
    <xf numFmtId="0" fontId="35" fillId="0" borderId="0" xfId="504" applyFont="1" applyFill="1" applyBorder="1" applyAlignment="1">
      <alignment horizontal="left" wrapText="1"/>
    </xf>
    <xf numFmtId="43" fontId="35" fillId="0" borderId="18" xfId="382" applyFont="1" applyFill="1" applyBorder="1" applyAlignment="1">
      <alignment horizontal="center"/>
    </xf>
    <xf numFmtId="166" fontId="35" fillId="0" borderId="0" xfId="678" applyNumberFormat="1" applyFont="1" applyFill="1" applyBorder="1"/>
    <xf numFmtId="0" fontId="37" fillId="0" borderId="17" xfId="0" applyNumberFormat="1" applyFont="1" applyFill="1" applyBorder="1" applyAlignment="1">
      <alignment horizontal="left"/>
    </xf>
    <xf numFmtId="37" fontId="39" fillId="0" borderId="0" xfId="0" applyNumberFormat="1" applyFont="1" applyFill="1" applyBorder="1" applyAlignment="1">
      <alignment horizontal="center"/>
    </xf>
    <xf numFmtId="3" fontId="37" fillId="0" borderId="5" xfId="0" applyNumberFormat="1" applyFont="1" applyFill="1" applyBorder="1" applyAlignment="1">
      <alignment horizontal="center"/>
    </xf>
    <xf numFmtId="3" fontId="37" fillId="0" borderId="35" xfId="0" applyNumberFormat="1" applyFont="1" applyFill="1" applyBorder="1" applyAlignment="1"/>
    <xf numFmtId="3" fontId="37" fillId="0" borderId="18" xfId="0" applyNumberFormat="1" applyFont="1" applyFill="1" applyBorder="1" applyAlignment="1">
      <alignment horizontal="center"/>
    </xf>
    <xf numFmtId="0" fontId="39" fillId="0" borderId="0" xfId="0" applyNumberFormat="1" applyFont="1" applyFill="1" applyBorder="1" applyAlignment="1">
      <alignment horizontal="left" indent="2"/>
    </xf>
    <xf numFmtId="164" fontId="39" fillId="0" borderId="35" xfId="382" applyNumberFormat="1" applyFont="1" applyFill="1" applyBorder="1"/>
    <xf numFmtId="164" fontId="39" fillId="0" borderId="57" xfId="382" applyNumberFormat="1" applyFont="1" applyFill="1" applyBorder="1"/>
    <xf numFmtId="164" fontId="39" fillId="0" borderId="67" xfId="382" applyNumberFormat="1" applyFont="1" applyFill="1" applyBorder="1"/>
    <xf numFmtId="3" fontId="141" fillId="0" borderId="0" xfId="0" applyNumberFormat="1" applyFont="1" applyFill="1" applyBorder="1" applyAlignment="1">
      <alignment horizontal="center"/>
    </xf>
    <xf numFmtId="164" fontId="37" fillId="0" borderId="35" xfId="382" applyNumberFormat="1" applyFont="1" applyFill="1" applyBorder="1"/>
    <xf numFmtId="0" fontId="39" fillId="0" borderId="18" xfId="0" applyFont="1" applyFill="1" applyBorder="1" applyAlignment="1">
      <alignment horizontal="left" indent="1"/>
    </xf>
    <xf numFmtId="0" fontId="143" fillId="0" borderId="0" xfId="37698" applyFont="1" applyFill="1" applyAlignment="1"/>
    <xf numFmtId="164" fontId="127" fillId="0" borderId="0" xfId="382" applyNumberFormat="1" applyFont="1" applyFill="1" applyAlignment="1"/>
    <xf numFmtId="3" fontId="127" fillId="0" borderId="0" xfId="37698" applyNumberFormat="1" applyFont="1" applyFill="1" applyBorder="1" applyAlignment="1"/>
    <xf numFmtId="192" fontId="104" fillId="0" borderId="0" xfId="382" applyNumberFormat="1" applyFont="1" applyFill="1" applyBorder="1" applyAlignment="1"/>
    <xf numFmtId="0" fontId="104" fillId="0" borderId="0" xfId="37698" applyFont="1" applyFill="1" applyBorder="1" applyAlignment="1">
      <alignment horizontal="left" indent="1"/>
    </xf>
    <xf numFmtId="0" fontId="104" fillId="0" borderId="0" xfId="0" applyNumberFormat="1" applyFont="1" applyFill="1" applyBorder="1" applyAlignment="1">
      <alignment horizontal="left" indent="1"/>
    </xf>
    <xf numFmtId="3" fontId="104" fillId="0" borderId="0" xfId="37696" applyNumberFormat="1" applyFont="1" applyFill="1" applyBorder="1" applyAlignment="1"/>
    <xf numFmtId="0" fontId="104" fillId="0" borderId="0" xfId="382" applyNumberFormat="1" applyFont="1" applyFill="1" applyAlignment="1"/>
    <xf numFmtId="164" fontId="104" fillId="0" borderId="7" xfId="382" applyNumberFormat="1" applyFont="1" applyFill="1" applyBorder="1" applyAlignment="1">
      <alignment vertical="top"/>
    </xf>
    <xf numFmtId="49" fontId="104" fillId="0" borderId="0" xfId="37696" applyNumberFormat="1" applyFont="1" applyFill="1" applyAlignment="1">
      <alignment horizontal="right"/>
    </xf>
    <xf numFmtId="195" fontId="104" fillId="0" borderId="0" xfId="382" applyNumberFormat="1" applyFont="1" applyFill="1" applyBorder="1" applyProtection="1"/>
    <xf numFmtId="169" fontId="104" fillId="0" borderId="0" xfId="37694" quotePrefix="1" applyFont="1" applyFill="1" applyAlignment="1">
      <alignment horizontal="center"/>
    </xf>
    <xf numFmtId="0" fontId="35" fillId="0" borderId="0" xfId="0" applyFont="1" applyFill="1" applyBorder="1" applyAlignment="1">
      <alignment horizontal="left" wrapText="1"/>
    </xf>
    <xf numFmtId="0" fontId="35" fillId="0" borderId="0" xfId="0" applyFont="1" applyFill="1" applyAlignment="1">
      <alignment horizontal="left"/>
    </xf>
    <xf numFmtId="0" fontId="91"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0" fontId="35" fillId="0" borderId="0" xfId="0" applyFont="1" applyFill="1" applyAlignment="1">
      <alignment horizontal="left"/>
    </xf>
    <xf numFmtId="164" fontId="11" fillId="0" borderId="0" xfId="382" applyNumberFormat="1" applyFont="1" applyFill="1"/>
    <xf numFmtId="164" fontId="55" fillId="0" borderId="0" xfId="674" applyNumberFormat="1" applyFont="1"/>
    <xf numFmtId="0" fontId="35" fillId="0" borderId="0" xfId="0" quotePrefix="1" applyFont="1" applyFill="1" applyAlignment="1">
      <alignment horizontal="left"/>
    </xf>
    <xf numFmtId="164" fontId="35" fillId="0" borderId="0" xfId="11275" applyNumberFormat="1" applyFont="1" applyFill="1" applyBorder="1" applyAlignment="1">
      <alignment horizontal="center" vertical="top"/>
    </xf>
    <xf numFmtId="164" fontId="35" fillId="0" borderId="43" xfId="11275" applyNumberFormat="1" applyFont="1" applyFill="1" applyBorder="1" applyAlignment="1">
      <alignment horizontal="center" vertical="top"/>
    </xf>
    <xf numFmtId="164" fontId="35" fillId="0" borderId="54" xfId="11275" applyNumberFormat="1" applyFont="1" applyFill="1" applyBorder="1" applyAlignment="1">
      <alignment horizontal="center" vertical="top"/>
    </xf>
    <xf numFmtId="40" fontId="55" fillId="0" borderId="0" xfId="11275" quotePrefix="1" applyNumberFormat="1" applyFont="1" applyFill="1" applyBorder="1" applyAlignment="1">
      <alignment horizontal="left" vertical="top"/>
    </xf>
    <xf numFmtId="164" fontId="35" fillId="0" borderId="18" xfId="11275" applyNumberFormat="1" applyFont="1" applyFill="1" applyBorder="1" applyAlignment="1">
      <alignment horizontal="center" vertical="top"/>
    </xf>
    <xf numFmtId="0" fontId="55" fillId="0" borderId="18" xfId="11275" applyFont="1" applyFill="1" applyBorder="1"/>
    <xf numFmtId="164" fontId="35" fillId="0" borderId="6" xfId="382" applyNumberFormat="1" applyFont="1" applyFill="1" applyBorder="1" applyAlignment="1">
      <alignment horizontal="center"/>
    </xf>
    <xf numFmtId="43" fontId="55" fillId="0" borderId="6" xfId="382" applyFont="1" applyFill="1" applyBorder="1" applyAlignment="1">
      <alignment horizontal="center"/>
    </xf>
    <xf numFmtId="164" fontId="35" fillId="0" borderId="54" xfId="403" applyNumberFormat="1" applyFont="1" applyFill="1" applyBorder="1"/>
    <xf numFmtId="0" fontId="55" fillId="0" borderId="35" xfId="11275" applyFont="1" applyBorder="1"/>
    <xf numFmtId="0" fontId="55" fillId="0" borderId="35" xfId="11275" applyFont="1" applyFill="1" applyBorder="1"/>
    <xf numFmtId="164" fontId="55" fillId="0" borderId="35" xfId="11275" applyNumberFormat="1" applyFont="1" applyBorder="1"/>
    <xf numFmtId="164" fontId="55" fillId="0" borderId="0" xfId="11275" applyNumberFormat="1" applyFont="1" applyFill="1"/>
    <xf numFmtId="164" fontId="55" fillId="0" borderId="17" xfId="11275" applyNumberFormat="1" applyFont="1" applyBorder="1" applyAlignment="1">
      <alignment horizontal="left"/>
    </xf>
    <xf numFmtId="164" fontId="11" fillId="0" borderId="0" xfId="382" quotePrefix="1" applyNumberFormat="1" applyFont="1" applyFill="1"/>
    <xf numFmtId="164" fontId="11" fillId="0" borderId="0" xfId="382" applyNumberFormat="1" applyFont="1" applyAlignment="1">
      <alignment horizontal="center"/>
    </xf>
    <xf numFmtId="0" fontId="11" fillId="0" borderId="0" xfId="35689" applyFont="1"/>
    <xf numFmtId="164" fontId="11" fillId="0" borderId="0" xfId="382" applyNumberFormat="1" applyFont="1"/>
    <xf numFmtId="0" fontId="117" fillId="0" borderId="0" xfId="35689" applyFont="1"/>
    <xf numFmtId="164" fontId="11" fillId="0" borderId="0" xfId="382" applyNumberFormat="1" applyFont="1" applyFill="1" applyAlignment="1">
      <alignment horizontal="center"/>
    </xf>
    <xf numFmtId="0" fontId="118" fillId="0" borderId="0" xfId="35689" applyFont="1"/>
    <xf numFmtId="0" fontId="35" fillId="0" borderId="0" xfId="0" applyFont="1" applyFill="1" applyAlignment="1">
      <alignment horizontal="center"/>
    </xf>
    <xf numFmtId="0" fontId="35" fillId="0" borderId="0" xfId="0" applyFont="1" applyAlignment="1">
      <alignment horizontal="center"/>
    </xf>
    <xf numFmtId="0" fontId="36" fillId="0" borderId="0" xfId="0" applyFont="1" applyAlignment="1">
      <alignment horizontal="center"/>
    </xf>
    <xf numFmtId="0" fontId="55" fillId="0" borderId="0" xfId="11275" quotePrefix="1" applyFont="1" applyFill="1" applyAlignment="1">
      <alignment horizontal="left"/>
    </xf>
    <xf numFmtId="0" fontId="35" fillId="0" borderId="0" xfId="0" applyFont="1" applyFill="1" applyAlignment="1">
      <alignment horizontal="left"/>
    </xf>
    <xf numFmtId="0" fontId="55" fillId="0" borderId="0" xfId="0" applyFont="1" applyFill="1" applyAlignment="1">
      <alignment horizontal="center"/>
    </xf>
    <xf numFmtId="0" fontId="35" fillId="0" borderId="0" xfId="484" applyFont="1" applyFill="1" applyAlignment="1">
      <alignment horizontal="center" vertical="top"/>
    </xf>
    <xf numFmtId="0" fontId="10" fillId="0" borderId="0" xfId="11271" applyFont="1" applyFill="1"/>
    <xf numFmtId="0" fontId="10" fillId="0" borderId="0" xfId="11271" applyFont="1" applyFill="1" applyAlignment="1">
      <alignment horizontal="left"/>
    </xf>
    <xf numFmtId="0" fontId="10" fillId="0" borderId="0" xfId="11271" applyFont="1"/>
    <xf numFmtId="2" fontId="10" fillId="0" borderId="0" xfId="11271" applyNumberFormat="1" applyFont="1" applyFill="1" applyAlignment="1">
      <alignment horizontal="left"/>
    </xf>
    <xf numFmtId="49" fontId="10" fillId="0" borderId="0" xfId="11271" applyNumberFormat="1" applyFont="1" applyFill="1"/>
    <xf numFmtId="0" fontId="10" fillId="0" borderId="0" xfId="11271" applyFont="1" applyBorder="1"/>
    <xf numFmtId="164" fontId="10" fillId="0" borderId="0" xfId="382" applyNumberFormat="1" applyFont="1" applyFill="1" applyBorder="1"/>
    <xf numFmtId="164" fontId="10" fillId="0" borderId="0" xfId="382" applyNumberFormat="1" applyFont="1" applyBorder="1"/>
    <xf numFmtId="49" fontId="10" fillId="0" borderId="0" xfId="11271" applyNumberFormat="1" applyFont="1" applyBorder="1"/>
    <xf numFmtId="0" fontId="10" fillId="0" borderId="0" xfId="11271" quotePrefix="1" applyFont="1" applyFill="1" applyAlignment="1">
      <alignment horizontal="center"/>
    </xf>
    <xf numFmtId="43" fontId="10" fillId="0" borderId="0" xfId="382" applyFont="1"/>
    <xf numFmtId="167" fontId="10" fillId="0" borderId="0" xfId="11271" applyNumberFormat="1" applyFont="1"/>
    <xf numFmtId="164" fontId="10" fillId="0" borderId="0" xfId="382" applyNumberFormat="1" applyFont="1" applyFill="1"/>
    <xf numFmtId="164" fontId="10" fillId="0" borderId="0" xfId="11271" applyNumberFormat="1" applyFont="1" applyFill="1"/>
    <xf numFmtId="0" fontId="10" fillId="0" borderId="0" xfId="11271" quotePrefix="1" applyFont="1" applyFill="1" applyAlignment="1">
      <alignment horizontal="center" vertical="top"/>
    </xf>
    <xf numFmtId="0" fontId="10" fillId="0" borderId="0" xfId="11271" applyFont="1" applyFill="1" applyAlignment="1">
      <alignment horizontal="center"/>
    </xf>
    <xf numFmtId="0" fontId="10" fillId="0" borderId="0" xfId="11271" applyFont="1" applyAlignment="1">
      <alignment horizontal="center"/>
    </xf>
    <xf numFmtId="0" fontId="10" fillId="0" borderId="0" xfId="496" applyFont="1" applyAlignment="1">
      <alignment horizontal="left" vertical="top"/>
    </xf>
    <xf numFmtId="164" fontId="10" fillId="0" borderId="0" xfId="382" applyNumberFormat="1" applyFont="1" applyAlignment="1">
      <alignment horizontal="left" vertical="top"/>
    </xf>
    <xf numFmtId="164" fontId="10" fillId="0" borderId="0" xfId="382" applyNumberFormat="1" applyFont="1"/>
    <xf numFmtId="0" fontId="10" fillId="0" borderId="0" xfId="496" applyFont="1" applyAlignment="1">
      <alignment horizontal="center"/>
    </xf>
    <xf numFmtId="0" fontId="10" fillId="0" borderId="0" xfId="496" applyFont="1"/>
    <xf numFmtId="164" fontId="10" fillId="0" borderId="18" xfId="11645" applyNumberFormat="1" applyFont="1" applyFill="1" applyBorder="1"/>
    <xf numFmtId="0" fontId="10" fillId="0" borderId="0" xfId="35157" applyFont="1" applyFill="1" applyBorder="1"/>
    <xf numFmtId="0" fontId="55" fillId="0" borderId="0" xfId="11275" applyFont="1" applyFill="1" applyBorder="1" applyAlignment="1">
      <alignment horizontal="left"/>
    </xf>
    <xf numFmtId="43" fontId="123" fillId="0" borderId="0" xfId="382" applyFont="1" applyFill="1" applyAlignment="1">
      <alignment horizontal="center"/>
    </xf>
    <xf numFmtId="0" fontId="35" fillId="0" borderId="0" xfId="484" applyFont="1" applyFill="1" applyAlignment="1">
      <alignment horizontal="center" vertical="top"/>
    </xf>
    <xf numFmtId="0" fontId="138" fillId="0" borderId="0" xfId="35688" applyFont="1" applyFill="1"/>
    <xf numFmtId="0" fontId="55" fillId="0" borderId="0" xfId="35688" applyFont="1" applyAlignment="1">
      <alignment horizontal="center"/>
    </xf>
    <xf numFmtId="1" fontId="55" fillId="0" borderId="0" xfId="35688" applyNumberFormat="1" applyFont="1" applyFill="1" applyAlignment="1">
      <alignment horizontal="left"/>
    </xf>
    <xf numFmtId="2" fontId="55"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9" fillId="0" borderId="0" xfId="0" applyFont="1" applyFill="1"/>
    <xf numFmtId="164" fontId="9" fillId="0" borderId="0" xfId="11622" applyNumberFormat="1" applyFont="1" applyFill="1"/>
    <xf numFmtId="0" fontId="55" fillId="0" borderId="0" xfId="35688" applyFont="1"/>
    <xf numFmtId="0" fontId="9" fillId="0" borderId="0" xfId="0" applyFont="1" applyFill="1" applyAlignment="1">
      <alignment horizontal="left" indent="1"/>
    </xf>
    <xf numFmtId="164" fontId="9" fillId="0" borderId="0" xfId="382" applyNumberFormat="1" applyFont="1" applyFill="1"/>
    <xf numFmtId="0" fontId="9" fillId="0" borderId="0" xfId="0" applyFont="1" applyFill="1" applyAlignment="1">
      <alignment horizontal="left"/>
    </xf>
    <xf numFmtId="0" fontId="55" fillId="0" borderId="0" xfId="35688" applyFont="1" applyFill="1"/>
    <xf numFmtId="0" fontId="9" fillId="0" borderId="0" xfId="0" applyFont="1"/>
    <xf numFmtId="164" fontId="9" fillId="0" borderId="0" xfId="0" applyNumberFormat="1" applyFont="1" applyFill="1"/>
    <xf numFmtId="164" fontId="9" fillId="0" borderId="0" xfId="0" applyNumberFormat="1" applyFont="1" applyFill="1" applyBorder="1"/>
    <xf numFmtId="164" fontId="9" fillId="0" borderId="17" xfId="0" applyNumberFormat="1" applyFont="1" applyFill="1" applyBorder="1"/>
    <xf numFmtId="0" fontId="55" fillId="0" borderId="0" xfId="35688" applyFont="1" applyFill="1" applyAlignment="1">
      <alignment horizontal="left"/>
    </xf>
    <xf numFmtId="43" fontId="9" fillId="0" borderId="0" xfId="11622" applyFont="1" applyFill="1"/>
    <xf numFmtId="41" fontId="35" fillId="0" borderId="0" xfId="484" applyNumberFormat="1" applyFont="1" applyAlignment="1">
      <alignment vertical="top"/>
    </xf>
    <xf numFmtId="43" fontId="55" fillId="0" borderId="0" xfId="11622" applyFont="1"/>
    <xf numFmtId="164" fontId="35" fillId="37" borderId="18" xfId="382" applyNumberFormat="1" applyFont="1" applyFill="1" applyBorder="1" applyAlignment="1"/>
    <xf numFmtId="187" fontId="35" fillId="0" borderId="0" xfId="0" applyNumberFormat="1" applyFont="1" applyFill="1" applyBorder="1" applyAlignment="1">
      <alignment horizontal="left" vertical="top"/>
    </xf>
    <xf numFmtId="164" fontId="17" fillId="0" borderId="18" xfId="11271" applyNumberFormat="1" applyFont="1" applyBorder="1"/>
    <xf numFmtId="0" fontId="11" fillId="0" borderId="0" xfId="11271" applyFont="1" applyFill="1" applyAlignment="1">
      <alignment horizontal="left"/>
    </xf>
    <xf numFmtId="0" fontId="35" fillId="37" borderId="18" xfId="0" applyFont="1" applyFill="1" applyBorder="1"/>
    <xf numFmtId="0" fontId="35" fillId="0" borderId="0" xfId="35688" applyFont="1" applyFill="1" applyAlignment="1">
      <alignment horizontal="left"/>
    </xf>
    <xf numFmtId="169" fontId="35" fillId="0" borderId="0" xfId="512" applyFont="1" applyFill="1" applyAlignment="1">
      <alignment horizontal="left"/>
    </xf>
    <xf numFmtId="169" fontId="35" fillId="0" borderId="0" xfId="512" quotePrefix="1" applyFont="1" applyFill="1" applyAlignment="1">
      <alignment horizontal="left"/>
    </xf>
    <xf numFmtId="0" fontId="8" fillId="0" borderId="0" xfId="0" applyFont="1" applyFill="1" applyAlignment="1">
      <alignment horizontal="left" indent="1"/>
    </xf>
    <xf numFmtId="0" fontId="8" fillId="0" borderId="0" xfId="0" applyFont="1" applyFill="1" applyAlignment="1">
      <alignment horizontal="left"/>
    </xf>
    <xf numFmtId="0" fontId="35" fillId="0" borderId="0" xfId="0" applyFont="1" applyFill="1" applyAlignment="1">
      <alignment horizontal="left"/>
    </xf>
    <xf numFmtId="164" fontId="142" fillId="0" borderId="0" xfId="382" applyNumberFormat="1" applyFont="1" applyFill="1" applyAlignment="1"/>
    <xf numFmtId="164" fontId="104" fillId="0" borderId="17" xfId="382" applyNumberFormat="1" applyFont="1" applyFill="1" applyBorder="1" applyAlignment="1" applyProtection="1">
      <alignment horizontal="right"/>
      <protection locked="0"/>
    </xf>
    <xf numFmtId="2" fontId="35" fillId="37" borderId="0" xfId="0" applyNumberFormat="1" applyFont="1" applyFill="1" applyAlignment="1">
      <alignment horizontal="left"/>
    </xf>
    <xf numFmtId="0" fontId="35" fillId="0" borderId="0" xfId="504" applyFont="1" applyFill="1" applyBorder="1" applyAlignment="1">
      <alignment horizontal="left"/>
    </xf>
    <xf numFmtId="0" fontId="35" fillId="0" borderId="0" xfId="0" applyFont="1" applyFill="1" applyBorder="1" applyAlignment="1">
      <alignment horizontal="left" wrapText="1"/>
    </xf>
    <xf numFmtId="0" fontId="55" fillId="0" borderId="0" xfId="0" applyFont="1" applyFill="1" applyAlignment="1">
      <alignment horizontal="center"/>
    </xf>
    <xf numFmtId="0" fontId="35" fillId="0" borderId="0" xfId="484" applyFont="1" applyFill="1" applyAlignment="1">
      <alignment horizontal="center" vertical="top"/>
    </xf>
    <xf numFmtId="0" fontId="55" fillId="0" borderId="45" xfId="569" applyFont="1" applyBorder="1" applyAlignment="1">
      <alignment horizontal="center"/>
    </xf>
    <xf numFmtId="0" fontId="55" fillId="0" borderId="18" xfId="569" applyFont="1" applyBorder="1" applyAlignment="1">
      <alignment horizontal="center"/>
    </xf>
    <xf numFmtId="0" fontId="35" fillId="0" borderId="0" xfId="484" quotePrefix="1" applyFont="1" applyFill="1" applyAlignment="1">
      <alignment horizontal="left" vertical="top" indent="1"/>
    </xf>
    <xf numFmtId="0" fontId="35" fillId="0" borderId="0" xfId="484" quotePrefix="1" applyFont="1" applyFill="1" applyAlignment="1">
      <alignment horizontal="left" vertical="top" indent="2"/>
    </xf>
    <xf numFmtId="0" fontId="35" fillId="0" borderId="0" xfId="484" applyFont="1" applyFill="1" applyAlignment="1">
      <alignment horizontal="left" vertical="top" indent="1"/>
    </xf>
    <xf numFmtId="0" fontId="35" fillId="0" borderId="0" xfId="0" applyNumberFormat="1" applyFont="1" applyFill="1" applyBorder="1" applyAlignment="1">
      <alignment horizontal="left" indent="1"/>
    </xf>
    <xf numFmtId="164" fontId="35" fillId="0" borderId="0" xfId="382" quotePrefix="1" applyNumberFormat="1" applyFont="1" applyFill="1" applyAlignment="1"/>
    <xf numFmtId="164" fontId="35" fillId="0" borderId="0" xfId="382" applyNumberFormat="1" applyFont="1" applyAlignment="1">
      <alignment horizontal="center"/>
    </xf>
    <xf numFmtId="164" fontId="35" fillId="0" borderId="18" xfId="382" applyNumberFormat="1" applyFont="1" applyBorder="1" applyAlignment="1">
      <alignment horizontal="center" wrapText="1"/>
    </xf>
    <xf numFmtId="0" fontId="35" fillId="37" borderId="0" xfId="504" applyFont="1" applyFill="1" applyBorder="1"/>
    <xf numFmtId="0" fontId="35" fillId="37" borderId="0" xfId="504" applyFont="1" applyFill="1" applyAlignment="1">
      <alignment horizontal="left"/>
    </xf>
    <xf numFmtId="0" fontId="35" fillId="37" borderId="0" xfId="0" applyFont="1" applyFill="1" applyAlignment="1">
      <alignment horizontal="left" indent="1"/>
    </xf>
    <xf numFmtId="187" fontId="35" fillId="37" borderId="0" xfId="510" applyNumberFormat="1" applyFont="1" applyFill="1" applyBorder="1" applyAlignment="1">
      <alignment horizontal="left" vertical="center"/>
    </xf>
    <xf numFmtId="0" fontId="35" fillId="37" borderId="0" xfId="504" applyFont="1" applyFill="1"/>
    <xf numFmtId="0" fontId="35" fillId="37" borderId="18" xfId="504" applyFont="1" applyFill="1" applyBorder="1"/>
    <xf numFmtId="43" fontId="35" fillId="0" borderId="0" xfId="382" applyFont="1" applyFill="1" applyBorder="1" applyAlignment="1">
      <alignment horizontal="left" indent="1"/>
    </xf>
    <xf numFmtId="164" fontId="35" fillId="37" borderId="0" xfId="382" applyNumberFormat="1" applyFont="1" applyFill="1" applyBorder="1" applyAlignment="1"/>
    <xf numFmtId="164" fontId="10" fillId="37" borderId="0" xfId="11271" applyNumberFormat="1" applyFont="1" applyFill="1"/>
    <xf numFmtId="49" fontId="10" fillId="37" borderId="0" xfId="11271" applyNumberFormat="1" applyFont="1" applyFill="1"/>
    <xf numFmtId="0" fontId="10" fillId="37" borderId="0" xfId="11271" applyFont="1" applyFill="1"/>
    <xf numFmtId="164" fontId="10" fillId="37" borderId="0" xfId="382" applyNumberFormat="1" applyFont="1" applyFill="1"/>
    <xf numFmtId="49" fontId="10" fillId="37" borderId="18" xfId="11271" applyNumberFormat="1" applyFont="1" applyFill="1" applyBorder="1"/>
    <xf numFmtId="164" fontId="10" fillId="37" borderId="18" xfId="11271" applyNumberFormat="1" applyFont="1" applyFill="1" applyBorder="1"/>
    <xf numFmtId="43" fontId="10" fillId="37" borderId="18" xfId="382" applyFont="1" applyFill="1" applyBorder="1"/>
    <xf numFmtId="198" fontId="55" fillId="37" borderId="18" xfId="382" applyNumberFormat="1" applyFont="1" applyFill="1" applyBorder="1"/>
    <xf numFmtId="164" fontId="10" fillId="37" borderId="18" xfId="382" applyNumberFormat="1" applyFont="1" applyFill="1" applyBorder="1"/>
    <xf numFmtId="2" fontId="17" fillId="37" borderId="0" xfId="11271" applyNumberFormat="1" applyFont="1" applyFill="1" applyAlignment="1">
      <alignment horizontal="left"/>
    </xf>
    <xf numFmtId="0" fontId="35" fillId="37" borderId="0" xfId="484" applyFont="1" applyFill="1" applyAlignment="1">
      <alignment horizontal="left" vertical="top" indent="2"/>
    </xf>
    <xf numFmtId="0" fontId="35" fillId="37" borderId="18" xfId="484" applyFont="1" applyFill="1" applyBorder="1" applyAlignment="1">
      <alignment horizontal="left" vertical="top" indent="2"/>
    </xf>
    <xf numFmtId="187" fontId="0" fillId="37" borderId="0" xfId="0" applyNumberFormat="1" applyFill="1" applyAlignment="1">
      <alignment horizontal="left"/>
    </xf>
    <xf numFmtId="164" fontId="55" fillId="37" borderId="0" xfId="382" applyNumberFormat="1" applyFont="1" applyFill="1" applyBorder="1" applyAlignment="1">
      <alignment horizontal="center"/>
    </xf>
    <xf numFmtId="164" fontId="55" fillId="37" borderId="18" xfId="382" applyNumberFormat="1" applyFont="1" applyFill="1" applyBorder="1" applyAlignment="1">
      <alignment horizontal="center"/>
    </xf>
    <xf numFmtId="2" fontId="35" fillId="37" borderId="0" xfId="512" applyNumberFormat="1" applyFont="1" applyFill="1" applyAlignment="1">
      <alignment horizontal="left"/>
    </xf>
    <xf numFmtId="169" fontId="35" fillId="37" borderId="0" xfId="512" applyFont="1" applyFill="1" applyAlignment="1">
      <alignment horizontal="left"/>
    </xf>
    <xf numFmtId="164" fontId="0" fillId="37" borderId="0" xfId="0" applyNumberFormat="1" applyFill="1"/>
    <xf numFmtId="164" fontId="11" fillId="37" borderId="0" xfId="382" applyNumberFormat="1" applyFont="1" applyFill="1" applyAlignment="1">
      <alignment horizontal="center"/>
    </xf>
    <xf numFmtId="169" fontId="35" fillId="37" borderId="0" xfId="512" applyFont="1" applyFill="1" applyAlignment="1">
      <alignment horizontal="left" indent="1"/>
    </xf>
    <xf numFmtId="164" fontId="11" fillId="37" borderId="18" xfId="382" quotePrefix="1" applyNumberFormat="1" applyFont="1" applyFill="1" applyBorder="1"/>
    <xf numFmtId="164" fontId="123" fillId="37" borderId="18" xfId="382" applyNumberFormat="1" applyFont="1" applyFill="1" applyBorder="1" applyAlignment="1">
      <alignment horizontal="center"/>
    </xf>
    <xf numFmtId="0" fontId="35" fillId="37" borderId="0" xfId="35688" applyFont="1" applyFill="1" applyAlignment="1">
      <alignment horizontal="left" indent="1"/>
    </xf>
    <xf numFmtId="164" fontId="55" fillId="37" borderId="0" xfId="382" applyNumberFormat="1" applyFont="1" applyFill="1" applyBorder="1" applyAlignment="1">
      <alignment horizontal="left"/>
    </xf>
    <xf numFmtId="164" fontId="55" fillId="37" borderId="18" xfId="382" applyNumberFormat="1" applyFont="1" applyFill="1" applyBorder="1" applyAlignment="1">
      <alignment horizontal="left"/>
    </xf>
    <xf numFmtId="0" fontId="55" fillId="37" borderId="0" xfId="11275" applyFont="1" applyFill="1" applyBorder="1" applyAlignment="1">
      <alignment horizontal="left"/>
    </xf>
    <xf numFmtId="164" fontId="55" fillId="37" borderId="35" xfId="382" applyNumberFormat="1" applyFont="1" applyFill="1" applyBorder="1" applyAlignment="1">
      <alignment horizontal="left"/>
    </xf>
    <xf numFmtId="0" fontId="55" fillId="37" borderId="18" xfId="11275" applyFont="1" applyFill="1" applyBorder="1" applyAlignment="1">
      <alignment horizontal="left"/>
    </xf>
    <xf numFmtId="164" fontId="55" fillId="37" borderId="37" xfId="382" applyNumberFormat="1" applyFont="1" applyFill="1" applyBorder="1" applyAlignment="1">
      <alignment horizontal="left"/>
    </xf>
    <xf numFmtId="43" fontId="8" fillId="0" borderId="18" xfId="382" applyFont="1" applyFill="1" applyBorder="1" applyAlignment="1">
      <alignment horizontal="center" wrapText="1"/>
    </xf>
    <xf numFmtId="0" fontId="55" fillId="0" borderId="18" xfId="511" applyFont="1" applyFill="1" applyBorder="1" applyAlignment="1">
      <alignment horizontal="center" wrapText="1"/>
    </xf>
    <xf numFmtId="164" fontId="17" fillId="37" borderId="0" xfId="382" applyNumberFormat="1" applyFont="1" applyFill="1"/>
    <xf numFmtId="2" fontId="55" fillId="37" borderId="0" xfId="511" applyNumberFormat="1" applyFont="1" applyFill="1" applyAlignment="1">
      <alignment horizontal="left"/>
    </xf>
    <xf numFmtId="164" fontId="55" fillId="37" borderId="0" xfId="382" applyNumberFormat="1" applyFont="1" applyFill="1"/>
    <xf numFmtId="0" fontId="9" fillId="0" borderId="0" xfId="0" applyFont="1" applyFill="1" applyAlignment="1">
      <alignment horizontal="center"/>
    </xf>
    <xf numFmtId="43" fontId="9" fillId="0" borderId="0" xfId="11622" applyFont="1" applyFill="1" applyAlignment="1">
      <alignment horizontal="center"/>
    </xf>
    <xf numFmtId="43" fontId="13" fillId="0" borderId="0" xfId="423" applyFont="1" applyFill="1" applyAlignment="1">
      <alignment horizontal="center"/>
    </xf>
    <xf numFmtId="41" fontId="35" fillId="37" borderId="0" xfId="484" applyNumberFormat="1" applyFont="1" applyFill="1" applyBorder="1" applyAlignment="1">
      <alignment vertical="top"/>
    </xf>
    <xf numFmtId="0" fontId="11" fillId="37" borderId="0" xfId="11271" applyFont="1" applyFill="1" applyAlignment="1">
      <alignment horizontal="left"/>
    </xf>
    <xf numFmtId="164" fontId="11" fillId="37" borderId="0" xfId="11271" applyNumberFormat="1" applyFont="1" applyFill="1"/>
    <xf numFmtId="164" fontId="11" fillId="37" borderId="18" xfId="11271" applyNumberFormat="1" applyFont="1" applyFill="1" applyBorder="1"/>
    <xf numFmtId="187" fontId="35" fillId="37" borderId="0" xfId="0" applyNumberFormat="1" applyFont="1" applyFill="1" applyBorder="1" applyAlignment="1">
      <alignment horizontal="left" vertical="top"/>
    </xf>
    <xf numFmtId="164" fontId="35" fillId="37" borderId="0" xfId="13644" applyNumberFormat="1" applyFont="1" applyFill="1"/>
    <xf numFmtId="164" fontId="115" fillId="37" borderId="18" xfId="13644" applyNumberFormat="1" applyFont="1" applyFill="1" applyBorder="1"/>
    <xf numFmtId="0" fontId="35" fillId="37" borderId="0" xfId="0" applyFont="1" applyFill="1" applyBorder="1" applyAlignment="1">
      <alignment horizontal="left" vertical="top"/>
    </xf>
    <xf numFmtId="0" fontId="10" fillId="37" borderId="0" xfId="35157" applyFont="1" applyFill="1" applyBorder="1"/>
    <xf numFmtId="164" fontId="10" fillId="37" borderId="0" xfId="382" applyNumberFormat="1" applyFont="1" applyFill="1" applyBorder="1"/>
    <xf numFmtId="2" fontId="35" fillId="37" borderId="0" xfId="0" applyNumberFormat="1" applyFont="1" applyFill="1" applyAlignment="1">
      <alignment horizontal="center"/>
    </xf>
    <xf numFmtId="164" fontId="35" fillId="37" borderId="0" xfId="382" applyNumberFormat="1" applyFont="1" applyFill="1" applyBorder="1" applyProtection="1">
      <protection locked="0"/>
    </xf>
    <xf numFmtId="164" fontId="36" fillId="37" borderId="0" xfId="382" applyNumberFormat="1" applyFont="1" applyFill="1" applyBorder="1" applyProtection="1">
      <protection locked="0"/>
    </xf>
    <xf numFmtId="2" fontId="10" fillId="37" borderId="0" xfId="11271" applyNumberFormat="1" applyFont="1" applyFill="1" applyAlignment="1">
      <alignment horizontal="left"/>
    </xf>
    <xf numFmtId="43" fontId="104" fillId="37" borderId="0" xfId="382" applyFont="1" applyFill="1" applyProtection="1">
      <protection locked="0"/>
    </xf>
    <xf numFmtId="17" fontId="35" fillId="37" borderId="0" xfId="0" applyNumberFormat="1" applyFont="1" applyFill="1" applyBorder="1" applyAlignment="1">
      <alignment horizontal="center"/>
    </xf>
    <xf numFmtId="10" fontId="35" fillId="37" borderId="0" xfId="678" applyNumberFormat="1" applyFont="1" applyFill="1" applyBorder="1"/>
    <xf numFmtId="0" fontId="35" fillId="0" borderId="0" xfId="0" applyFont="1" applyFill="1" applyAlignment="1">
      <alignment horizontal="center"/>
    </xf>
    <xf numFmtId="0" fontId="35" fillId="0" borderId="0" xfId="0" applyFont="1" applyFill="1" applyAlignment="1">
      <alignment horizontal="left"/>
    </xf>
    <xf numFmtId="164" fontId="39" fillId="0" borderId="11" xfId="382" applyNumberFormat="1" applyFont="1" applyFill="1" applyBorder="1" applyAlignment="1"/>
    <xf numFmtId="164" fontId="39" fillId="0" borderId="64" xfId="382" applyNumberFormat="1" applyFont="1" applyFill="1" applyBorder="1" applyAlignment="1"/>
    <xf numFmtId="0" fontId="39" fillId="0" borderId="6" xfId="0" applyNumberFormat="1" applyFont="1" applyFill="1" applyBorder="1" applyAlignment="1">
      <alignment horizontal="center"/>
    </xf>
    <xf numFmtId="0" fontId="39" fillId="0" borderId="6" xfId="0" applyFont="1" applyFill="1" applyBorder="1"/>
    <xf numFmtId="0" fontId="39" fillId="0" borderId="6" xfId="0" applyFont="1" applyFill="1" applyBorder="1" applyAlignment="1">
      <alignment horizontal="center"/>
    </xf>
    <xf numFmtId="171" fontId="37" fillId="0" borderId="27" xfId="674" applyNumberFormat="1" applyFont="1" applyFill="1" applyBorder="1" applyAlignment="1"/>
    <xf numFmtId="0" fontId="39" fillId="0" borderId="37" xfId="0" applyNumberFormat="1" applyFont="1" applyFill="1" applyBorder="1" applyAlignment="1"/>
    <xf numFmtId="170" fontId="39" fillId="0" borderId="26" xfId="382" applyNumberFormat="1" applyFont="1" applyFill="1" applyBorder="1" applyAlignment="1"/>
    <xf numFmtId="164" fontId="39" fillId="0" borderId="61" xfId="382" applyNumberFormat="1" applyFont="1" applyFill="1" applyBorder="1" applyAlignment="1">
      <alignment horizontal="right"/>
    </xf>
    <xf numFmtId="3" fontId="43" fillId="0" borderId="26" xfId="0" applyNumberFormat="1" applyFont="1" applyFill="1" applyBorder="1" applyAlignment="1">
      <alignment horizontal="right"/>
    </xf>
    <xf numFmtId="3" fontId="43" fillId="0" borderId="59" xfId="0" applyNumberFormat="1" applyFont="1" applyFill="1" applyBorder="1" applyAlignment="1">
      <alignment horizontal="right"/>
    </xf>
    <xf numFmtId="10" fontId="39" fillId="0" borderId="30" xfId="674" applyNumberFormat="1" applyFont="1" applyFill="1" applyBorder="1"/>
    <xf numFmtId="39" fontId="37" fillId="0" borderId="59" xfId="0" applyNumberFormat="1" applyFont="1" applyFill="1" applyBorder="1" applyAlignment="1">
      <alignment horizontal="right"/>
    </xf>
    <xf numFmtId="1" fontId="39" fillId="0" borderId="22" xfId="0" applyNumberFormat="1" applyFont="1" applyFill="1" applyBorder="1" applyAlignment="1">
      <alignment horizontal="center"/>
    </xf>
    <xf numFmtId="194" fontId="104" fillId="0" borderId="0" xfId="37695" applyNumberFormat="1" applyFont="1" applyFill="1" applyAlignment="1">
      <alignment horizontal="right"/>
    </xf>
    <xf numFmtId="10" fontId="104" fillId="0" borderId="0" xfId="382" applyNumberFormat="1" applyFont="1" applyFill="1" applyAlignment="1"/>
    <xf numFmtId="17" fontId="35" fillId="0" borderId="0" xfId="517" applyNumberFormat="1" applyFont="1" applyFill="1" applyBorder="1"/>
    <xf numFmtId="164" fontId="35" fillId="0" borderId="0" xfId="382" applyNumberFormat="1" applyFont="1" applyFill="1" applyBorder="1" applyAlignment="1">
      <alignment horizontal="right"/>
    </xf>
    <xf numFmtId="43" fontId="7" fillId="0" borderId="0" xfId="382" applyFont="1" applyFill="1"/>
    <xf numFmtId="43" fontId="7" fillId="0" borderId="0" xfId="382" applyFont="1" applyFill="1" applyAlignment="1">
      <alignment horizontal="center"/>
    </xf>
    <xf numFmtId="0" fontId="35" fillId="0" borderId="0" xfId="35689" applyFont="1"/>
    <xf numFmtId="0" fontId="84" fillId="0" borderId="0" xfId="0" applyFont="1" applyFill="1" applyAlignment="1">
      <alignment horizontal="right"/>
    </xf>
    <xf numFmtId="37" fontId="84" fillId="0" borderId="0" xfId="0" applyNumberFormat="1" applyFont="1" applyFill="1" applyAlignment="1">
      <alignment horizontal="right"/>
    </xf>
    <xf numFmtId="164" fontId="6" fillId="0" borderId="0" xfId="382" applyNumberFormat="1" applyFont="1" applyFill="1"/>
    <xf numFmtId="164" fontId="104" fillId="54" borderId="0" xfId="382" applyNumberFormat="1" applyFont="1" applyFill="1" applyAlignment="1"/>
    <xf numFmtId="169" fontId="104" fillId="54" borderId="0" xfId="37694" applyFont="1" applyFill="1" applyAlignment="1"/>
    <xf numFmtId="43" fontId="104" fillId="54" borderId="0" xfId="382" applyNumberFormat="1" applyFont="1" applyFill="1" applyAlignment="1"/>
    <xf numFmtId="164" fontId="126" fillId="54" borderId="0" xfId="382" applyNumberFormat="1" applyFont="1" applyFill="1"/>
    <xf numFmtId="3" fontId="104" fillId="54" borderId="0" xfId="37696" applyNumberFormat="1" applyFont="1" applyFill="1" applyAlignment="1"/>
    <xf numFmtId="168" fontId="104" fillId="54" borderId="0" xfId="37696" applyNumberFormat="1" applyFont="1" applyFill="1" applyAlignment="1">
      <alignment horizontal="center"/>
    </xf>
    <xf numFmtId="171" fontId="104" fillId="54" borderId="0" xfId="674" applyNumberFormat="1" applyFont="1" applyFill="1" applyAlignment="1"/>
    <xf numFmtId="194" fontId="104" fillId="54" borderId="0" xfId="37696" applyNumberFormat="1" applyFont="1" applyFill="1" applyAlignment="1"/>
    <xf numFmtId="168" fontId="104" fillId="54" borderId="0" xfId="37696" applyNumberFormat="1" applyFont="1" applyFill="1" applyAlignment="1">
      <alignment horizontal="right"/>
    </xf>
    <xf numFmtId="10" fontId="104" fillId="54" borderId="0" xfId="674" applyNumberFormat="1" applyFont="1" applyFill="1" applyAlignment="1"/>
    <xf numFmtId="3" fontId="127" fillId="54" borderId="0" xfId="37696" applyNumberFormat="1" applyFont="1" applyFill="1" applyAlignment="1"/>
    <xf numFmtId="164" fontId="127" fillId="54" borderId="0" xfId="382" applyNumberFormat="1" applyFont="1" applyFill="1" applyAlignment="1"/>
    <xf numFmtId="168" fontId="127" fillId="54" borderId="0" xfId="37696" applyNumberFormat="1" applyFont="1" applyFill="1" applyAlignment="1">
      <alignment horizontal="center"/>
    </xf>
    <xf numFmtId="164" fontId="104" fillId="54" borderId="18" xfId="382" applyNumberFormat="1" applyFont="1" applyFill="1" applyBorder="1" applyAlignment="1"/>
    <xf numFmtId="0" fontId="104" fillId="54" borderId="0" xfId="37696" applyNumberFormat="1" applyFont="1" applyFill="1"/>
    <xf numFmtId="164" fontId="104" fillId="54" borderId="40" xfId="382" applyNumberFormat="1" applyFont="1" applyFill="1" applyBorder="1" applyAlignment="1"/>
    <xf numFmtId="0" fontId="91" fillId="54" borderId="0" xfId="37696" applyNumberFormat="1" applyFont="1" applyFill="1" applyAlignment="1" applyProtection="1">
      <alignment horizontal="center"/>
      <protection locked="0"/>
    </xf>
    <xf numFmtId="171" fontId="104" fillId="54" borderId="0" xfId="37696" applyNumberFormat="1" applyFont="1" applyFill="1" applyAlignment="1"/>
    <xf numFmtId="171" fontId="104" fillId="54" borderId="0" xfId="674" applyNumberFormat="1" applyFont="1" applyFill="1" applyAlignment="1">
      <alignment vertical="top"/>
    </xf>
    <xf numFmtId="164" fontId="104" fillId="54" borderId="0" xfId="382" applyNumberFormat="1" applyFont="1" applyFill="1" applyAlignment="1">
      <alignment vertical="top"/>
    </xf>
    <xf numFmtId="171" fontId="104" fillId="54" borderId="0" xfId="37696" applyNumberFormat="1" applyFont="1" applyFill="1" applyAlignment="1">
      <alignment vertical="top"/>
    </xf>
    <xf numFmtId="164" fontId="128" fillId="54" borderId="0" xfId="382" applyNumberFormat="1" applyFont="1" applyFill="1" applyAlignment="1"/>
    <xf numFmtId="169" fontId="91" fillId="54" borderId="0" xfId="37694" applyFont="1" applyFill="1" applyAlignment="1"/>
    <xf numFmtId="169" fontId="104" fillId="54" borderId="0" xfId="37696" applyFont="1" applyFill="1" applyAlignment="1"/>
    <xf numFmtId="164" fontId="104" fillId="54" borderId="17" xfId="382" applyNumberFormat="1" applyFont="1" applyFill="1" applyBorder="1" applyAlignment="1"/>
    <xf numFmtId="0" fontId="104" fillId="54" borderId="0" xfId="37694" applyNumberFormat="1" applyFont="1" applyFill="1" applyAlignment="1">
      <alignment vertical="top"/>
    </xf>
    <xf numFmtId="169" fontId="104" fillId="54" borderId="0" xfId="37694" applyFont="1" applyFill="1" applyAlignment="1">
      <alignment vertical="top"/>
    </xf>
    <xf numFmtId="0" fontId="35" fillId="0" borderId="0" xfId="474" applyFont="1" applyFill="1" applyAlignment="1">
      <alignment horizontal="left" vertical="top" wrapText="1"/>
    </xf>
    <xf numFmtId="0" fontId="55" fillId="0" borderId="0" xfId="569" applyFont="1" applyFill="1" applyAlignment="1">
      <alignment horizontal="left" vertical="top" wrapText="1"/>
    </xf>
    <xf numFmtId="0" fontId="55" fillId="0" borderId="0" xfId="11275" quotePrefix="1" applyFont="1" applyFill="1" applyAlignment="1">
      <alignment horizontal="left"/>
    </xf>
    <xf numFmtId="0" fontId="55" fillId="0" borderId="0" xfId="11275" applyFont="1" applyFill="1" applyAlignment="1">
      <alignment horizontal="left" vertical="top" wrapText="1"/>
    </xf>
    <xf numFmtId="0" fontId="35" fillId="0" borderId="0" xfId="504" quotePrefix="1" applyFont="1" applyFill="1" applyAlignment="1">
      <alignment horizontal="left"/>
    </xf>
    <xf numFmtId="164" fontId="35" fillId="0" borderId="0" xfId="382" applyNumberFormat="1" applyFont="1" applyFill="1" applyBorder="1" applyAlignment="1">
      <alignment horizontal="center"/>
    </xf>
    <xf numFmtId="0" fontId="35" fillId="0" borderId="0" xfId="0" quotePrefix="1" applyFont="1" applyFill="1" applyBorder="1" applyAlignment="1">
      <alignment horizontal="center" vertical="top"/>
    </xf>
    <xf numFmtId="10" fontId="11" fillId="0" borderId="0" xfId="674" applyNumberFormat="1" applyFont="1" applyFill="1"/>
    <xf numFmtId="10" fontId="35" fillId="0" borderId="0" xfId="0" applyNumberFormat="1" applyFont="1" applyFill="1"/>
    <xf numFmtId="0" fontId="35" fillId="0" borderId="0" xfId="533" applyFont="1" applyFill="1"/>
    <xf numFmtId="0" fontId="131" fillId="0" borderId="0" xfId="0" applyFont="1" applyFill="1" applyAlignment="1"/>
    <xf numFmtId="0" fontId="5" fillId="0" borderId="0" xfId="11271" applyFont="1" applyFill="1"/>
    <xf numFmtId="49" fontId="5" fillId="0" borderId="0" xfId="11271" applyNumberFormat="1" applyFont="1" applyFill="1"/>
    <xf numFmtId="164" fontId="5" fillId="0" borderId="0" xfId="382" applyNumberFormat="1" applyFont="1" applyFill="1"/>
    <xf numFmtId="164" fontId="5" fillId="0" borderId="0" xfId="11271" applyNumberFormat="1" applyFont="1" applyFill="1"/>
    <xf numFmtId="0" fontId="5" fillId="0" borderId="0" xfId="11271" applyFont="1"/>
    <xf numFmtId="10" fontId="39" fillId="0" borderId="60" xfId="674" applyNumberFormat="1" applyFont="1" applyFill="1" applyBorder="1"/>
    <xf numFmtId="0" fontId="55" fillId="0" borderId="0" xfId="569" applyFont="1" applyFill="1" applyAlignment="1"/>
    <xf numFmtId="0" fontId="35" fillId="0" borderId="0" xfId="474" applyFont="1" applyAlignment="1"/>
    <xf numFmtId="0" fontId="19" fillId="0" borderId="0" xfId="496" applyFont="1" applyAlignment="1"/>
    <xf numFmtId="0" fontId="36" fillId="0" borderId="0" xfId="0" applyFont="1" applyAlignment="1">
      <alignment horizontal="center" vertical="top"/>
    </xf>
    <xf numFmtId="197" fontId="36" fillId="0" borderId="0" xfId="434" applyNumberFormat="1" applyFont="1" applyFill="1" applyAlignment="1">
      <alignment horizontal="center" vertical="top"/>
    </xf>
    <xf numFmtId="0" fontId="118" fillId="0" borderId="0" xfId="0" applyFont="1" applyAlignment="1">
      <alignment vertical="top"/>
    </xf>
    <xf numFmtId="43" fontId="116" fillId="0" borderId="0" xfId="382" applyFont="1" applyFill="1" applyAlignment="1">
      <alignment horizontal="center" vertical="top"/>
    </xf>
    <xf numFmtId="0" fontId="36" fillId="0" borderId="0" xfId="0" applyFont="1" applyFill="1" applyAlignment="1">
      <alignment horizontal="center" vertical="top"/>
    </xf>
    <xf numFmtId="164" fontId="35" fillId="0" borderId="35" xfId="382" applyNumberFormat="1" applyFont="1" applyFill="1" applyBorder="1" applyAlignment="1">
      <alignment vertical="top"/>
    </xf>
    <xf numFmtId="164" fontId="115" fillId="0" borderId="0" xfId="382" applyNumberFormat="1" applyFont="1" applyFill="1" applyAlignment="1">
      <alignment vertical="top"/>
    </xf>
    <xf numFmtId="164" fontId="115" fillId="0" borderId="35" xfId="382" applyNumberFormat="1" applyFont="1" applyFill="1" applyBorder="1" applyAlignment="1">
      <alignment vertical="top"/>
    </xf>
    <xf numFmtId="37" fontId="35" fillId="0" borderId="0" xfId="0" applyNumberFormat="1" applyFont="1" applyFill="1" applyAlignment="1">
      <alignment vertical="top"/>
    </xf>
    <xf numFmtId="37" fontId="35" fillId="0" borderId="35" xfId="0" applyNumberFormat="1" applyFont="1" applyFill="1" applyBorder="1" applyAlignment="1">
      <alignment vertical="top"/>
    </xf>
    <xf numFmtId="37" fontId="35" fillId="0" borderId="0" xfId="0" applyNumberFormat="1" applyFont="1" applyFill="1" applyBorder="1" applyAlignment="1">
      <alignment vertical="top"/>
    </xf>
    <xf numFmtId="0" fontId="35" fillId="0" borderId="35" xfId="0" applyFont="1" applyBorder="1" applyAlignment="1">
      <alignment vertical="top"/>
    </xf>
    <xf numFmtId="0" fontId="53" fillId="0" borderId="35" xfId="0" applyFont="1" applyFill="1" applyBorder="1" applyAlignment="1">
      <alignment vertical="top"/>
    </xf>
    <xf numFmtId="164" fontId="115" fillId="0" borderId="0" xfId="382" applyNumberFormat="1" applyFont="1" applyFill="1" applyBorder="1" applyAlignment="1">
      <alignment vertical="top"/>
    </xf>
    <xf numFmtId="164" fontId="35" fillId="0" borderId="54" xfId="382" applyNumberFormat="1" applyFont="1" applyFill="1" applyBorder="1" applyAlignment="1">
      <alignment vertical="top"/>
    </xf>
    <xf numFmtId="0" fontId="36" fillId="0" borderId="35" xfId="0" applyFont="1" applyFill="1" applyBorder="1" applyAlignment="1">
      <alignment vertical="top"/>
    </xf>
    <xf numFmtId="0" fontId="35" fillId="0" borderId="0" xfId="0" applyFont="1" applyFill="1" applyAlignment="1">
      <alignment horizontal="center"/>
    </xf>
    <xf numFmtId="0" fontId="35" fillId="0" borderId="0" xfId="0" applyFont="1" applyFill="1" applyAlignment="1">
      <alignment horizontal="left"/>
    </xf>
    <xf numFmtId="164" fontId="104" fillId="0" borderId="0" xfId="382" quotePrefix="1" applyNumberFormat="1" applyFont="1" applyFill="1" applyAlignment="1"/>
    <xf numFmtId="0" fontId="146" fillId="0" borderId="0" xfId="0" applyFont="1" applyFill="1" applyAlignment="1">
      <alignment horizontal="left"/>
    </xf>
    <xf numFmtId="164" fontId="4" fillId="0" borderId="0" xfId="382" applyNumberFormat="1" applyFont="1" applyFill="1"/>
    <xf numFmtId="164" fontId="35" fillId="0" borderId="0" xfId="403" applyNumberFormat="1" applyFont="1" applyFill="1"/>
    <xf numFmtId="164" fontId="35" fillId="0" borderId="0" xfId="382" applyNumberFormat="1" applyFont="1" applyFill="1" applyBorder="1" applyAlignment="1">
      <alignment horizontal="left" indent="1"/>
    </xf>
    <xf numFmtId="164" fontId="18" fillId="0" borderId="0" xfId="382" applyNumberFormat="1" applyFont="1" applyFill="1"/>
    <xf numFmtId="164" fontId="35" fillId="0" borderId="0" xfId="382" quotePrefix="1" applyNumberFormat="1" applyFont="1" applyFill="1" applyBorder="1" applyAlignment="1"/>
    <xf numFmtId="164" fontId="5" fillId="0" borderId="0" xfId="11271" applyNumberFormat="1" applyFont="1" applyFill="1" applyBorder="1"/>
    <xf numFmtId="164" fontId="5" fillId="0" borderId="18" xfId="11271" applyNumberFormat="1" applyFont="1" applyFill="1" applyBorder="1"/>
    <xf numFmtId="0" fontId="5" fillId="0" borderId="18" xfId="11271" applyFont="1" applyFill="1" applyBorder="1"/>
    <xf numFmtId="164" fontId="147" fillId="0" borderId="0" xfId="11271" applyNumberFormat="1" applyFont="1" applyFill="1"/>
    <xf numFmtId="0" fontId="55" fillId="0" borderId="0" xfId="11275" applyFont="1" applyFill="1" applyAlignment="1">
      <alignment horizontal="center"/>
    </xf>
    <xf numFmtId="164" fontId="3" fillId="37" borderId="0" xfId="382" applyNumberFormat="1" applyFont="1" applyFill="1" applyBorder="1"/>
    <xf numFmtId="164" fontId="3" fillId="37" borderId="18" xfId="382" applyNumberFormat="1" applyFont="1" applyFill="1" applyBorder="1"/>
    <xf numFmtId="164" fontId="147" fillId="0" borderId="0" xfId="382" applyNumberFormat="1" applyFont="1" applyFill="1"/>
    <xf numFmtId="0" fontId="136" fillId="0" borderId="0" xfId="474" applyFont="1" applyFill="1" applyAlignment="1">
      <alignment horizontal="left"/>
    </xf>
    <xf numFmtId="3" fontId="136" fillId="0" borderId="0" xfId="11265" quotePrefix="1" applyNumberFormat="1" applyFont="1" applyFill="1" applyAlignment="1">
      <alignment horizontal="center"/>
    </xf>
    <xf numFmtId="0" fontId="136" fillId="0" borderId="0" xfId="474" applyFont="1" applyFill="1"/>
    <xf numFmtId="0" fontId="136" fillId="0" borderId="0" xfId="474" applyFont="1"/>
    <xf numFmtId="0" fontId="136" fillId="0" borderId="0" xfId="474" quotePrefix="1" applyFont="1" applyAlignment="1">
      <alignment horizontal="left" vertical="top"/>
    </xf>
    <xf numFmtId="3" fontId="136" fillId="0" borderId="0" xfId="11265" quotePrefix="1" applyNumberFormat="1" applyFont="1" applyFill="1" applyAlignment="1">
      <alignment horizontal="left"/>
    </xf>
    <xf numFmtId="0" fontId="35" fillId="37" borderId="0" xfId="0" applyFont="1" applyFill="1" applyAlignment="1">
      <alignment horizontal="left" indent="2"/>
    </xf>
    <xf numFmtId="164" fontId="39" fillId="0" borderId="26" xfId="382" quotePrefix="1" applyNumberFormat="1" applyFont="1" applyFill="1" applyBorder="1" applyAlignment="1"/>
    <xf numFmtId="164" fontId="145" fillId="0" borderId="0" xfId="382" applyNumberFormat="1" applyFont="1" applyFill="1" applyAlignment="1"/>
    <xf numFmtId="169" fontId="127" fillId="0" borderId="0" xfId="37696" applyFont="1" applyFill="1" applyAlignment="1"/>
    <xf numFmtId="17" fontId="35" fillId="0" borderId="18" xfId="382" applyNumberFormat="1" applyFont="1" applyFill="1" applyBorder="1" applyAlignment="1">
      <alignment horizontal="center"/>
    </xf>
    <xf numFmtId="43" fontId="2" fillId="0" borderId="18" xfId="382" applyFont="1" applyFill="1" applyBorder="1"/>
    <xf numFmtId="164" fontId="35" fillId="37" borderId="18" xfId="382" applyNumberFormat="1" applyFont="1" applyFill="1" applyBorder="1" applyProtection="1">
      <protection locked="0"/>
    </xf>
    <xf numFmtId="164" fontId="2" fillId="0" borderId="18" xfId="382" applyNumberFormat="1" applyFont="1" applyFill="1" applyBorder="1"/>
    <xf numFmtId="164" fontId="2" fillId="0" borderId="18" xfId="382" applyNumberFormat="1" applyFont="1" applyBorder="1"/>
    <xf numFmtId="3" fontId="35" fillId="0" borderId="0" xfId="11265" quotePrefix="1" applyNumberFormat="1" applyFont="1" applyFill="1" applyAlignment="1">
      <alignment horizontal="center"/>
    </xf>
    <xf numFmtId="43" fontId="35" fillId="0" borderId="18" xfId="382" applyFont="1" applyBorder="1" applyAlignment="1">
      <alignment horizontal="center" wrapText="1"/>
    </xf>
    <xf numFmtId="164" fontId="55" fillId="0" borderId="18" xfId="382" quotePrefix="1" applyNumberFormat="1" applyFont="1" applyBorder="1" applyAlignment="1">
      <alignment horizontal="center" wrapText="1"/>
    </xf>
    <xf numFmtId="43" fontId="2" fillId="0" borderId="18" xfId="382" applyFont="1" applyFill="1" applyBorder="1" applyAlignment="1">
      <alignment horizontal="center"/>
    </xf>
    <xf numFmtId="43" fontId="35" fillId="0" borderId="18" xfId="382" quotePrefix="1" applyFont="1" applyFill="1" applyBorder="1" applyAlignment="1">
      <alignment horizontal="left"/>
    </xf>
    <xf numFmtId="164" fontId="35" fillId="0" borderId="18" xfId="382" applyNumberFormat="1" applyFont="1" applyFill="1" applyBorder="1" applyAlignment="1">
      <alignment horizontal="center" wrapText="1"/>
    </xf>
    <xf numFmtId="164" fontId="35" fillId="0" borderId="18" xfId="382" applyNumberFormat="1" applyFont="1" applyFill="1" applyBorder="1" applyAlignment="1">
      <alignment horizontal="center"/>
    </xf>
    <xf numFmtId="43" fontId="35" fillId="0" borderId="18" xfId="382" applyFont="1" applyBorder="1" applyAlignment="1">
      <alignment horizontal="center"/>
    </xf>
    <xf numFmtId="0" fontId="2" fillId="0" borderId="18" xfId="11271" applyFont="1" applyBorder="1"/>
    <xf numFmtId="43" fontId="2" fillId="0" borderId="18" xfId="382" applyFont="1" applyBorder="1" applyAlignment="1">
      <alignment horizontal="center"/>
    </xf>
    <xf numFmtId="0" fontId="35" fillId="0" borderId="18" xfId="484" applyFont="1" applyFill="1" applyBorder="1" applyAlignment="1">
      <alignment vertical="top"/>
    </xf>
    <xf numFmtId="0" fontId="104" fillId="0" borderId="0" xfId="37695" applyFont="1" applyFill="1" applyAlignment="1">
      <alignment horizontal="center"/>
    </xf>
    <xf numFmtId="171" fontId="37" fillId="0" borderId="62" xfId="674" applyNumberFormat="1" applyFont="1" applyFill="1" applyBorder="1" applyAlignment="1"/>
    <xf numFmtId="164" fontId="37" fillId="0" borderId="61" xfId="382" applyNumberFormat="1" applyFont="1" applyFill="1" applyBorder="1" applyAlignment="1"/>
    <xf numFmtId="170" fontId="39" fillId="0" borderId="59" xfId="382" applyNumberFormat="1" applyFont="1" applyFill="1" applyBorder="1" applyAlignment="1"/>
    <xf numFmtId="164" fontId="2" fillId="0" borderId="0" xfId="11271" applyNumberFormat="1" applyFont="1" applyFill="1"/>
    <xf numFmtId="10" fontId="2" fillId="0" borderId="0" xfId="674" applyNumberFormat="1" applyFont="1" applyFill="1"/>
    <xf numFmtId="0" fontId="35" fillId="0" borderId="0" xfId="474" quotePrefix="1" applyFont="1" applyAlignment="1">
      <alignment horizontal="left" vertical="top"/>
    </xf>
    <xf numFmtId="3" fontId="35" fillId="0" borderId="0" xfId="11265" quotePrefix="1" applyNumberFormat="1" applyFont="1" applyFill="1" applyAlignment="1">
      <alignment horizontal="left"/>
    </xf>
    <xf numFmtId="2" fontId="2" fillId="0" borderId="0" xfId="11271" applyNumberFormat="1" applyFont="1" applyFill="1" applyAlignment="1">
      <alignment horizontal="left"/>
    </xf>
    <xf numFmtId="2" fontId="2" fillId="37" borderId="0" xfId="11271" applyNumberFormat="1" applyFont="1" applyFill="1" applyAlignment="1">
      <alignment horizontal="left"/>
    </xf>
    <xf numFmtId="0" fontId="35" fillId="0" borderId="0" xfId="0" applyFont="1" applyAlignment="1">
      <alignment horizontal="center" vertical="top"/>
    </xf>
    <xf numFmtId="0" fontId="35" fillId="0" borderId="0" xfId="0" applyFont="1" applyFill="1" applyAlignment="1">
      <alignment horizontal="left"/>
    </xf>
    <xf numFmtId="43" fontId="35" fillId="0" borderId="18" xfId="382" applyFont="1" applyFill="1" applyBorder="1" applyAlignment="1">
      <alignment horizontal="center" vertical="center" wrapText="1"/>
    </xf>
    <xf numFmtId="0" fontId="122" fillId="0" borderId="0" xfId="0" quotePrefix="1" applyFont="1" applyFill="1" applyAlignment="1">
      <alignment vertical="center"/>
    </xf>
    <xf numFmtId="164" fontId="35" fillId="0" borderId="0" xfId="674" applyNumberFormat="1" applyFont="1" applyFill="1" applyAlignment="1">
      <alignment vertical="center"/>
    </xf>
    <xf numFmtId="164" fontId="35" fillId="0" borderId="3" xfId="0" applyNumberFormat="1" applyFont="1" applyFill="1" applyBorder="1"/>
    <xf numFmtId="0" fontId="35" fillId="0" borderId="0" xfId="0" applyFont="1" applyFill="1" applyAlignment="1">
      <alignment wrapText="1"/>
    </xf>
    <xf numFmtId="0" fontId="1" fillId="37" borderId="0" xfId="35157" applyFont="1" applyFill="1" applyBorder="1"/>
    <xf numFmtId="0" fontId="1" fillId="0" borderId="0" xfId="11271" applyFont="1" applyFill="1"/>
    <xf numFmtId="164" fontId="35" fillId="37" borderId="0" xfId="0" applyNumberFormat="1" applyFont="1" applyFill="1" applyAlignment="1"/>
    <xf numFmtId="0" fontId="35" fillId="0" borderId="0" xfId="504" applyFont="1" applyFill="1" applyAlignment="1">
      <alignment wrapText="1"/>
    </xf>
    <xf numFmtId="164" fontId="35" fillId="37" borderId="35" xfId="0" applyNumberFormat="1" applyFont="1" applyFill="1" applyBorder="1" applyAlignment="1"/>
    <xf numFmtId="164" fontId="1" fillId="0" borderId="0" xfId="382" applyNumberFormat="1" applyFont="1"/>
    <xf numFmtId="0" fontId="55" fillId="0" borderId="0" xfId="11275" quotePrefix="1" applyFont="1" applyAlignment="1">
      <alignment horizontal="center"/>
    </xf>
    <xf numFmtId="0" fontId="37" fillId="0" borderId="63" xfId="0" applyFont="1" applyFill="1" applyBorder="1" applyAlignment="1">
      <alignment horizontal="center" wrapText="1"/>
    </xf>
    <xf numFmtId="43" fontId="116" fillId="0" borderId="0" xfId="382" applyFont="1" applyFill="1" applyAlignment="1">
      <alignment horizontal="center" wrapText="1"/>
    </xf>
    <xf numFmtId="43" fontId="116" fillId="0" borderId="35" xfId="382" applyFont="1" applyFill="1" applyBorder="1" applyAlignment="1">
      <alignment horizontal="center" wrapText="1"/>
    </xf>
    <xf numFmtId="43" fontId="116" fillId="0" borderId="0" xfId="382" applyFont="1" applyFill="1" applyBorder="1" applyAlignment="1">
      <alignment horizontal="center" wrapText="1"/>
    </xf>
    <xf numFmtId="43" fontId="116" fillId="0" borderId="0" xfId="382" applyFont="1" applyFill="1" applyBorder="1" applyAlignment="1">
      <alignment horizontal="center"/>
    </xf>
    <xf numFmtId="164" fontId="35" fillId="0" borderId="54" xfId="382" applyNumberFormat="1" applyFont="1" applyFill="1" applyBorder="1" applyAlignment="1"/>
    <xf numFmtId="43" fontId="116" fillId="0" borderId="54" xfId="382" applyFont="1" applyFill="1" applyBorder="1" applyAlignment="1">
      <alignment horizontal="center" wrapText="1"/>
    </xf>
    <xf numFmtId="164" fontId="115" fillId="0" borderId="54" xfId="382" applyNumberFormat="1" applyFont="1" applyFill="1" applyBorder="1" applyAlignment="1">
      <alignment vertical="top"/>
    </xf>
    <xf numFmtId="37" fontId="35" fillId="0" borderId="54" xfId="0" applyNumberFormat="1" applyFont="1" applyFill="1" applyBorder="1" applyAlignment="1">
      <alignment vertical="top"/>
    </xf>
    <xf numFmtId="0" fontId="35" fillId="0" borderId="35" xfId="0" applyNumberFormat="1" applyFont="1" applyBorder="1"/>
    <xf numFmtId="164" fontId="10" fillId="37" borderId="35" xfId="382" applyNumberFormat="1" applyFont="1" applyFill="1" applyBorder="1"/>
    <xf numFmtId="164" fontId="35" fillId="37" borderId="35" xfId="382" applyNumberFormat="1" applyFont="1" applyFill="1" applyBorder="1"/>
    <xf numFmtId="164" fontId="35" fillId="37" borderId="37" xfId="382" applyNumberFormat="1" applyFont="1" applyFill="1" applyBorder="1"/>
    <xf numFmtId="14" fontId="36" fillId="0" borderId="18" xfId="0" applyNumberFormat="1" applyFont="1" applyFill="1" applyBorder="1" applyAlignment="1">
      <alignment horizontal="center" wrapText="1"/>
    </xf>
    <xf numFmtId="14" fontId="36" fillId="0" borderId="18" xfId="0" applyNumberFormat="1" applyFont="1" applyFill="1" applyBorder="1" applyAlignment="1">
      <alignment horizontal="center"/>
    </xf>
    <xf numFmtId="0" fontId="36" fillId="0" borderId="45" xfId="0" applyFont="1" applyFill="1" applyBorder="1" applyAlignment="1">
      <alignment horizontal="center"/>
    </xf>
    <xf numFmtId="43" fontId="132" fillId="0" borderId="18" xfId="382" applyFont="1" applyFill="1" applyBorder="1"/>
    <xf numFmtId="14" fontId="36" fillId="0" borderId="18" xfId="0" applyNumberFormat="1" applyFont="1" applyBorder="1" applyAlignment="1">
      <alignment horizontal="center" wrapText="1"/>
    </xf>
    <xf numFmtId="14" fontId="36" fillId="0" borderId="37" xfId="0" applyNumberFormat="1" applyFont="1" applyBorder="1" applyAlignment="1">
      <alignment horizontal="center" wrapText="1"/>
    </xf>
    <xf numFmtId="43" fontId="36" fillId="0" borderId="18" xfId="382" applyFont="1" applyFill="1" applyBorder="1" applyAlignment="1">
      <alignment horizontal="center"/>
    </xf>
    <xf numFmtId="0" fontId="2" fillId="0" borderId="18" xfId="11271" applyFont="1" applyBorder="1" applyAlignment="1">
      <alignment horizontal="center"/>
    </xf>
    <xf numFmtId="0" fontId="140" fillId="0" borderId="0" xfId="0" applyFont="1"/>
    <xf numFmtId="0" fontId="151" fillId="0" borderId="0" xfId="0" applyFont="1" applyAlignment="1"/>
    <xf numFmtId="0" fontId="35" fillId="0" borderId="0" xfId="0" applyFont="1" applyFill="1" applyAlignment="1">
      <alignment horizontal="left"/>
    </xf>
    <xf numFmtId="0" fontId="35" fillId="0" borderId="0" xfId="504" applyFont="1" applyFill="1" applyAlignment="1"/>
    <xf numFmtId="49" fontId="35" fillId="0" borderId="0" xfId="0" applyNumberFormat="1" applyFont="1" applyFill="1" applyAlignment="1"/>
    <xf numFmtId="0" fontId="35" fillId="37" borderId="0" xfId="0" applyFont="1" applyFill="1" applyBorder="1" applyAlignment="1"/>
    <xf numFmtId="164" fontId="35" fillId="37" borderId="0" xfId="0" applyNumberFormat="1" applyFont="1" applyFill="1" applyBorder="1" applyAlignment="1"/>
    <xf numFmtId="0" fontId="35" fillId="37" borderId="0" xfId="0" applyFont="1" applyFill="1" applyBorder="1" applyAlignment="1">
      <alignment wrapText="1"/>
    </xf>
    <xf numFmtId="164" fontId="35" fillId="37" borderId="18" xfId="0" applyNumberFormat="1" applyFont="1" applyFill="1" applyBorder="1" applyAlignment="1"/>
    <xf numFmtId="0" fontId="35" fillId="0" borderId="0" xfId="0" applyFont="1" applyFill="1" applyBorder="1" applyAlignment="1">
      <alignment horizontal="left"/>
    </xf>
    <xf numFmtId="37" fontId="35" fillId="0" borderId="0" xfId="0" applyNumberFormat="1" applyFont="1" applyFill="1" applyBorder="1" applyAlignment="1"/>
    <xf numFmtId="0" fontId="35" fillId="0" borderId="0" xfId="0" applyFont="1" applyFill="1" applyBorder="1" applyAlignment="1">
      <alignment wrapText="1"/>
    </xf>
    <xf numFmtId="0" fontId="36" fillId="0" borderId="19" xfId="0" applyFont="1" applyFill="1" applyBorder="1" applyAlignment="1"/>
    <xf numFmtId="0" fontId="54" fillId="0" borderId="5" xfId="0" applyFont="1" applyFill="1" applyBorder="1" applyAlignment="1"/>
    <xf numFmtId="164" fontId="35" fillId="0" borderId="5" xfId="382" applyNumberFormat="1" applyFont="1" applyFill="1" applyBorder="1" applyAlignment="1"/>
    <xf numFmtId="164" fontId="35" fillId="0" borderId="44" xfId="382" applyNumberFormat="1" applyFont="1" applyFill="1" applyBorder="1" applyAlignment="1"/>
    <xf numFmtId="164" fontId="35" fillId="0" borderId="35" xfId="382" applyNumberFormat="1" applyFont="1" applyFill="1" applyBorder="1" applyAlignment="1"/>
    <xf numFmtId="164" fontId="115" fillId="0" borderId="0" xfId="382" applyNumberFormat="1" applyFont="1" applyFill="1" applyBorder="1" applyAlignment="1"/>
    <xf numFmtId="164" fontId="115" fillId="0" borderId="44" xfId="382" applyNumberFormat="1" applyFont="1" applyFill="1" applyBorder="1" applyAlignment="1"/>
    <xf numFmtId="164" fontId="115" fillId="0" borderId="35" xfId="382" applyNumberFormat="1" applyFont="1" applyFill="1" applyBorder="1" applyAlignment="1"/>
    <xf numFmtId="0" fontId="54" fillId="0" borderId="0" xfId="0" applyFont="1" applyFill="1" applyBorder="1" applyAlignment="1"/>
    <xf numFmtId="0" fontId="35" fillId="0" borderId="0" xfId="0" applyFont="1" applyBorder="1" applyAlignment="1">
      <alignment horizontal="left"/>
    </xf>
    <xf numFmtId="0" fontId="85" fillId="0" borderId="0" xfId="0" applyFont="1" applyFill="1" applyBorder="1" applyAlignment="1"/>
    <xf numFmtId="0" fontId="53" fillId="0" borderId="0" xfId="0" applyFont="1" applyFill="1" applyAlignment="1"/>
    <xf numFmtId="43" fontId="116" fillId="0" borderId="0" xfId="382" applyFont="1" applyFill="1" applyAlignment="1">
      <alignment horizontal="center"/>
    </xf>
    <xf numFmtId="0" fontId="35" fillId="37" borderId="0" xfId="0" applyFont="1" applyFill="1" applyAlignment="1">
      <alignment wrapText="1"/>
    </xf>
    <xf numFmtId="2" fontId="35" fillId="37" borderId="0" xfId="0" quotePrefix="1" applyNumberFormat="1" applyFont="1" applyFill="1" applyAlignment="1">
      <alignment horizontal="left"/>
    </xf>
    <xf numFmtId="0" fontId="136" fillId="0" borderId="0" xfId="0" applyFont="1" applyFill="1" applyBorder="1" applyAlignment="1"/>
    <xf numFmtId="164" fontId="35" fillId="37" borderId="54" xfId="382" applyNumberFormat="1" applyFont="1" applyFill="1" applyBorder="1" applyAlignment="1"/>
    <xf numFmtId="37" fontId="35" fillId="0" borderId="0" xfId="0" applyNumberFormat="1" applyFont="1" applyFill="1" applyBorder="1" applyAlignment="1">
      <alignment wrapText="1"/>
    </xf>
    <xf numFmtId="164" fontId="35" fillId="37" borderId="35" xfId="382" applyNumberFormat="1" applyFont="1" applyFill="1" applyBorder="1" applyAlignment="1"/>
    <xf numFmtId="164" fontId="35" fillId="37" borderId="45" xfId="382" applyNumberFormat="1" applyFont="1" applyFill="1" applyBorder="1" applyAlignment="1"/>
    <xf numFmtId="164" fontId="35" fillId="37" borderId="37" xfId="382" applyNumberFormat="1" applyFont="1" applyFill="1" applyBorder="1" applyAlignment="1"/>
    <xf numFmtId="164" fontId="35" fillId="0" borderId="43" xfId="382" applyNumberFormat="1" applyFont="1" applyFill="1" applyBorder="1" applyAlignment="1"/>
    <xf numFmtId="164" fontId="35" fillId="0" borderId="16" xfId="382" applyNumberFormat="1" applyFont="1" applyFill="1" applyBorder="1" applyAlignment="1"/>
    <xf numFmtId="164" fontId="35" fillId="0" borderId="20" xfId="382" applyNumberFormat="1" applyFont="1" applyFill="1" applyBorder="1" applyAlignment="1"/>
    <xf numFmtId="164" fontId="150" fillId="0" borderId="0" xfId="382" applyNumberFormat="1" applyFont="1" applyFill="1" applyAlignment="1"/>
    <xf numFmtId="0" fontId="152" fillId="55" borderId="0" xfId="0" applyFont="1" applyFill="1" applyAlignment="1">
      <alignment vertical="center"/>
    </xf>
    <xf numFmtId="43" fontId="115" fillId="55" borderId="0" xfId="403" applyFont="1" applyFill="1" applyAlignment="1">
      <alignment horizontal="left"/>
    </xf>
    <xf numFmtId="2" fontId="35" fillId="0" borderId="0" xfId="0" applyNumberFormat="1" applyFont="1" applyFill="1" applyAlignment="1">
      <alignment horizontal="left" vertical="center"/>
    </xf>
    <xf numFmtId="0" fontId="35" fillId="0" borderId="0" xfId="0" applyFont="1" applyFill="1" applyAlignment="1">
      <alignment vertical="center"/>
    </xf>
    <xf numFmtId="164" fontId="35" fillId="37" borderId="0" xfId="0" applyNumberFormat="1" applyFont="1" applyFill="1" applyAlignment="1">
      <alignment vertical="center"/>
    </xf>
    <xf numFmtId="164" fontId="35" fillId="0" borderId="54" xfId="382" applyNumberFormat="1" applyFont="1" applyFill="1" applyBorder="1" applyAlignment="1">
      <alignment vertical="center"/>
    </xf>
    <xf numFmtId="164" fontId="35" fillId="0" borderId="0" xfId="382" applyNumberFormat="1" applyFont="1" applyFill="1" applyBorder="1" applyAlignment="1">
      <alignment vertical="center"/>
    </xf>
    <xf numFmtId="164" fontId="35" fillId="0" borderId="35" xfId="382" applyNumberFormat="1" applyFont="1" applyFill="1" applyBorder="1" applyAlignment="1">
      <alignment vertical="center"/>
    </xf>
    <xf numFmtId="0" fontId="35" fillId="0" borderId="0" xfId="0" applyFont="1" applyAlignment="1">
      <alignment vertical="center"/>
    </xf>
    <xf numFmtId="164" fontId="148" fillId="0" borderId="35" xfId="382" applyNumberFormat="1" applyFont="1" applyFill="1" applyBorder="1" applyAlignment="1">
      <alignment vertical="center"/>
    </xf>
    <xf numFmtId="49" fontId="35" fillId="0" borderId="0" xfId="0" applyNumberFormat="1" applyFont="1" applyFill="1" applyAlignment="1">
      <alignment vertical="center"/>
    </xf>
    <xf numFmtId="0" fontId="35" fillId="0" borderId="0" xfId="0" applyFont="1" applyFill="1" applyAlignment="1">
      <alignment horizontal="left" vertical="center"/>
    </xf>
    <xf numFmtId="164" fontId="35" fillId="0" borderId="54" xfId="382" applyNumberFormat="1" applyFont="1" applyBorder="1" applyAlignment="1">
      <alignment vertical="center"/>
    </xf>
    <xf numFmtId="164" fontId="35" fillId="0" borderId="0" xfId="382" applyNumberFormat="1" applyFont="1" applyAlignment="1">
      <alignment vertical="center"/>
    </xf>
    <xf numFmtId="164" fontId="36" fillId="0" borderId="0" xfId="382" applyNumberFormat="1" applyFont="1" applyFill="1" applyBorder="1" applyAlignment="1">
      <alignment vertical="center"/>
    </xf>
    <xf numFmtId="164" fontId="36" fillId="0" borderId="35" xfId="382" applyNumberFormat="1" applyFont="1" applyFill="1" applyBorder="1" applyAlignment="1">
      <alignment vertical="center"/>
    </xf>
    <xf numFmtId="2" fontId="35" fillId="37" borderId="0" xfId="0" applyNumberFormat="1" applyFont="1" applyFill="1" applyAlignment="1">
      <alignment horizontal="left" vertical="center"/>
    </xf>
    <xf numFmtId="0" fontId="36" fillId="37" borderId="0" xfId="0" applyFont="1" applyFill="1" applyAlignment="1">
      <alignment vertical="center"/>
    </xf>
    <xf numFmtId="0" fontId="35" fillId="37" borderId="0" xfId="0" applyFont="1" applyFill="1" applyBorder="1" applyAlignment="1">
      <alignment vertical="center"/>
    </xf>
    <xf numFmtId="164" fontId="35" fillId="37" borderId="0" xfId="0" applyNumberFormat="1" applyFont="1" applyFill="1" applyBorder="1" applyAlignment="1">
      <alignment vertical="center"/>
    </xf>
    <xf numFmtId="164" fontId="36" fillId="37" borderId="54" xfId="382" applyNumberFormat="1" applyFont="1" applyFill="1" applyBorder="1" applyAlignment="1">
      <alignment vertical="center"/>
    </xf>
    <xf numFmtId="164" fontId="36" fillId="37" borderId="0" xfId="382" applyNumberFormat="1" applyFont="1" applyFill="1" applyBorder="1" applyAlignment="1">
      <alignment vertical="center"/>
    </xf>
    <xf numFmtId="164" fontId="36" fillId="37" borderId="35" xfId="382" applyNumberFormat="1" applyFont="1" applyFill="1" applyBorder="1" applyAlignment="1">
      <alignment vertical="center"/>
    </xf>
    <xf numFmtId="0" fontId="36" fillId="37" borderId="0" xfId="0" applyFont="1" applyFill="1" applyAlignment="1">
      <alignment vertical="center" wrapText="1"/>
    </xf>
    <xf numFmtId="2" fontId="35" fillId="37" borderId="0" xfId="0" quotePrefix="1" applyNumberFormat="1" applyFont="1" applyFill="1" applyAlignment="1">
      <alignment horizontal="center" vertical="center"/>
    </xf>
    <xf numFmtId="0" fontId="35" fillId="37" borderId="0" xfId="0" applyFont="1" applyFill="1" applyAlignment="1">
      <alignment vertical="center"/>
    </xf>
    <xf numFmtId="164" fontId="35" fillId="37" borderId="18" xfId="0" applyNumberFormat="1" applyFont="1" applyFill="1" applyBorder="1" applyAlignment="1">
      <alignment vertical="center"/>
    </xf>
    <xf numFmtId="164" fontId="35" fillId="37" borderId="54" xfId="382" applyNumberFormat="1" applyFont="1" applyFill="1" applyBorder="1" applyAlignment="1">
      <alignment vertical="center"/>
    </xf>
    <xf numFmtId="164" fontId="35" fillId="37" borderId="0" xfId="382" applyNumberFormat="1" applyFont="1" applyFill="1" applyBorder="1" applyAlignment="1">
      <alignment vertical="center"/>
    </xf>
    <xf numFmtId="164" fontId="35" fillId="37" borderId="35" xfId="382" applyNumberFormat="1" applyFont="1" applyFill="1" applyBorder="1" applyAlignment="1">
      <alignment vertical="center"/>
    </xf>
    <xf numFmtId="0" fontId="35" fillId="37" borderId="0" xfId="0" applyFont="1" applyFill="1" applyAlignment="1">
      <alignment vertical="center" wrapText="1"/>
    </xf>
    <xf numFmtId="0" fontId="35" fillId="0" borderId="0" xfId="504" applyFont="1" applyFill="1" applyAlignment="1">
      <alignment vertical="center"/>
    </xf>
    <xf numFmtId="0" fontId="35" fillId="0" borderId="0" xfId="504" applyFont="1" applyFill="1" applyAlignment="1">
      <alignment vertical="center" wrapText="1"/>
    </xf>
    <xf numFmtId="0" fontId="36" fillId="0" borderId="18" xfId="0" applyFont="1" applyBorder="1" applyAlignment="1">
      <alignment horizontal="center"/>
    </xf>
    <xf numFmtId="0" fontId="35" fillId="0" borderId="0" xfId="0" applyFont="1" applyFill="1" applyAlignment="1">
      <alignment vertical="top" wrapText="1"/>
    </xf>
    <xf numFmtId="0" fontId="0" fillId="0" borderId="0" xfId="0" applyFill="1"/>
    <xf numFmtId="43" fontId="115" fillId="0" borderId="0" xfId="403" applyFont="1" applyFill="1" applyAlignment="1">
      <alignment horizontal="left"/>
    </xf>
    <xf numFmtId="0" fontId="152" fillId="0" borderId="0" xfId="0" applyFont="1" applyFill="1" applyAlignment="1">
      <alignment vertical="center"/>
    </xf>
    <xf numFmtId="0" fontId="0" fillId="0" borderId="0" xfId="0" applyAlignment="1">
      <alignment vertical="top" wrapText="1"/>
    </xf>
    <xf numFmtId="0" fontId="91" fillId="0" borderId="0" xfId="37696" applyNumberFormat="1" applyFont="1" applyFill="1" applyAlignment="1">
      <alignment horizontal="center"/>
    </xf>
    <xf numFmtId="3" fontId="104" fillId="0" borderId="0" xfId="37696" applyNumberFormat="1" applyFont="1" applyFill="1" applyAlignment="1">
      <alignment horizontal="left" vertical="top" wrapText="1"/>
    </xf>
    <xf numFmtId="169" fontId="142" fillId="0" borderId="0" xfId="37694" applyFont="1" applyAlignment="1">
      <alignment horizontal="left" vertical="top" wrapText="1"/>
    </xf>
    <xf numFmtId="0" fontId="91" fillId="0" borderId="0" xfId="37696" applyNumberFormat="1" applyFont="1" applyFill="1" applyAlignment="1" applyProtection="1">
      <alignment horizontal="center"/>
      <protection locked="0"/>
    </xf>
    <xf numFmtId="0" fontId="39" fillId="0" borderId="0" xfId="0" applyFont="1" applyFill="1" applyBorder="1" applyAlignment="1">
      <alignment horizontal="left" vertical="top" wrapText="1"/>
    </xf>
    <xf numFmtId="0" fontId="39" fillId="33" borderId="0" xfId="0" applyFont="1" applyFill="1" applyAlignment="1">
      <alignment horizontal="left" wrapText="1"/>
    </xf>
    <xf numFmtId="0" fontId="39" fillId="0" borderId="0" xfId="0" applyFont="1" applyFill="1" applyAlignment="1">
      <alignment horizontal="left" vertical="top" wrapText="1"/>
    </xf>
    <xf numFmtId="0" fontId="39" fillId="0" borderId="0" xfId="0" applyFont="1" applyFill="1" applyBorder="1" applyAlignment="1">
      <alignment horizontal="left" vertical="top"/>
    </xf>
    <xf numFmtId="0" fontId="39" fillId="0" borderId="0" xfId="0" applyFont="1" applyFill="1" applyAlignment="1">
      <alignment horizontal="left" vertical="top"/>
    </xf>
    <xf numFmtId="0" fontId="39" fillId="0" borderId="0" xfId="0" applyNumberFormat="1" applyFont="1" applyFill="1" applyAlignment="1">
      <alignment horizontal="left" vertical="top" wrapText="1"/>
    </xf>
    <xf numFmtId="0" fontId="37" fillId="0" borderId="0" xfId="0" applyNumberFormat="1" applyFont="1" applyFill="1" applyAlignment="1">
      <alignment horizontal="center" vertical="top" wrapText="1"/>
    </xf>
    <xf numFmtId="0" fontId="39" fillId="0" borderId="0" xfId="0" quotePrefix="1" applyNumberFormat="1" applyFont="1" applyFill="1" applyBorder="1" applyAlignment="1">
      <alignment horizontal="left" vertical="top" wrapText="1"/>
    </xf>
    <xf numFmtId="0" fontId="39" fillId="0" borderId="0" xfId="0" applyNumberFormat="1" applyFont="1" applyFill="1" applyAlignment="1">
      <alignment horizontal="left" vertical="top"/>
    </xf>
    <xf numFmtId="169" fontId="39" fillId="0" borderId="0" xfId="590" applyFont="1" applyFill="1" applyAlignment="1" applyProtection="1">
      <alignment horizontal="left" vertical="top" wrapText="1"/>
      <protection locked="0"/>
    </xf>
    <xf numFmtId="0" fontId="51" fillId="0" borderId="0" xfId="0" applyFont="1" applyAlignment="1">
      <alignment horizontal="center"/>
    </xf>
    <xf numFmtId="0" fontId="48" fillId="0" borderId="0" xfId="0" applyFont="1" applyAlignment="1">
      <alignment horizontal="center"/>
    </xf>
    <xf numFmtId="0" fontId="37" fillId="0" borderId="0" xfId="0" applyNumberFormat="1" applyFont="1" applyBorder="1" applyAlignment="1">
      <alignment horizontal="center"/>
    </xf>
    <xf numFmtId="0" fontId="39" fillId="0" borderId="0" xfId="0" applyFont="1" applyBorder="1" applyAlignment="1">
      <alignment horizontal="center" wrapText="1"/>
    </xf>
    <xf numFmtId="0" fontId="39" fillId="0" borderId="18" xfId="0" applyFont="1" applyBorder="1" applyAlignment="1">
      <alignment horizontal="center" wrapText="1"/>
    </xf>
    <xf numFmtId="3" fontId="39" fillId="0" borderId="35" xfId="0" applyNumberFormat="1" applyFont="1" applyBorder="1" applyAlignment="1">
      <alignment horizontal="center" vertical="top"/>
    </xf>
    <xf numFmtId="3" fontId="39" fillId="0" borderId="37" xfId="0" applyNumberFormat="1" applyFont="1" applyBorder="1" applyAlignment="1">
      <alignment horizontal="center" vertical="top"/>
    </xf>
    <xf numFmtId="0" fontId="35" fillId="0" borderId="0" xfId="0" applyFont="1" applyFill="1" applyAlignment="1">
      <alignment horizontal="center"/>
    </xf>
    <xf numFmtId="0" fontId="35" fillId="0" borderId="0" xfId="0" applyFont="1" applyFill="1" applyAlignment="1">
      <alignment horizontal="center" wrapText="1"/>
    </xf>
    <xf numFmtId="0" fontId="35" fillId="0" borderId="0" xfId="0" applyFont="1" applyFill="1" applyAlignment="1">
      <alignment horizontal="left" vertical="top" wrapText="1"/>
    </xf>
    <xf numFmtId="0" fontId="35" fillId="0" borderId="0" xfId="0" applyFont="1" applyAlignment="1">
      <alignment horizontal="left" wrapText="1"/>
    </xf>
    <xf numFmtId="43" fontId="35" fillId="0" borderId="18" xfId="382" applyFont="1" applyFill="1" applyBorder="1" applyAlignment="1">
      <alignment horizontal="left"/>
    </xf>
    <xf numFmtId="0" fontId="35" fillId="0" borderId="0" xfId="504" applyFont="1" applyFill="1" applyBorder="1" applyAlignment="1">
      <alignment horizontal="left" vertical="top" wrapText="1"/>
    </xf>
    <xf numFmtId="0" fontId="35" fillId="0" borderId="0" xfId="0" applyFont="1" applyFill="1" applyAlignment="1">
      <alignment horizontal="left" wrapText="1"/>
    </xf>
    <xf numFmtId="43" fontId="35" fillId="0" borderId="0" xfId="0" applyNumberFormat="1" applyFont="1" applyFill="1" applyAlignment="1">
      <alignment horizontal="left"/>
    </xf>
    <xf numFmtId="0" fontId="35" fillId="0" borderId="0" xfId="0" applyFont="1" applyAlignment="1">
      <alignment horizontal="center"/>
    </xf>
    <xf numFmtId="0" fontId="35" fillId="0" borderId="0" xfId="0" applyFont="1" applyFill="1" applyBorder="1" applyAlignment="1">
      <alignment horizontal="left" vertical="top" wrapText="1"/>
    </xf>
    <xf numFmtId="0" fontId="20" fillId="0" borderId="0" xfId="11271" applyFont="1" applyFill="1" applyAlignment="1">
      <alignment horizontal="left" wrapText="1"/>
    </xf>
    <xf numFmtId="0" fontId="137" fillId="0" borderId="0" xfId="0" applyFont="1" applyFill="1" applyAlignment="1">
      <alignment horizontal="left" vertical="center" wrapText="1"/>
    </xf>
    <xf numFmtId="0" fontId="35" fillId="0" borderId="0" xfId="504" applyFont="1" applyFill="1" applyAlignment="1">
      <alignment horizontal="left" vertical="top" wrapText="1"/>
    </xf>
    <xf numFmtId="0" fontId="151" fillId="0" borderId="0" xfId="0" applyFont="1" applyAlignment="1">
      <alignment horizontal="center" vertical="center" wrapText="1"/>
    </xf>
    <xf numFmtId="0" fontId="35" fillId="0" borderId="0" xfId="504" applyFont="1" applyFill="1" applyBorder="1" applyAlignment="1">
      <alignment horizontal="left"/>
    </xf>
    <xf numFmtId="0" fontId="35" fillId="0" borderId="0" xfId="504" applyFont="1" applyBorder="1" applyAlignment="1">
      <alignment horizontal="left" vertical="top" wrapText="1"/>
    </xf>
    <xf numFmtId="0" fontId="35" fillId="0" borderId="0" xfId="0" applyFont="1" applyAlignment="1">
      <alignment horizontal="center" vertical="top"/>
    </xf>
    <xf numFmtId="0" fontId="55" fillId="0" borderId="0" xfId="11272" applyFont="1" applyAlignment="1">
      <alignment horizontal="center"/>
    </xf>
    <xf numFmtId="0" fontId="55" fillId="0" borderId="0" xfId="474" quotePrefix="1" applyFont="1" applyFill="1" applyAlignment="1">
      <alignment horizontal="center"/>
    </xf>
    <xf numFmtId="0" fontId="35" fillId="0" borderId="0" xfId="474" applyFont="1" applyAlignment="1">
      <alignment horizontal="left" vertical="top" wrapText="1"/>
    </xf>
    <xf numFmtId="0" fontId="35" fillId="0" borderId="0" xfId="474" applyFont="1" applyFill="1" applyAlignment="1">
      <alignment horizontal="center"/>
    </xf>
    <xf numFmtId="3" fontId="35" fillId="0" borderId="0" xfId="11265" quotePrefix="1" applyNumberFormat="1" applyFont="1" applyFill="1" applyAlignment="1">
      <alignment horizontal="center"/>
    </xf>
    <xf numFmtId="0" fontId="35" fillId="0" borderId="0" xfId="569" applyFont="1" applyFill="1" applyBorder="1" applyAlignment="1">
      <alignment horizontal="center" vertical="top"/>
    </xf>
    <xf numFmtId="0" fontId="35" fillId="0" borderId="0" xfId="564" quotePrefix="1" applyFont="1" applyFill="1" applyBorder="1" applyAlignment="1">
      <alignment horizontal="center" vertical="top"/>
    </xf>
    <xf numFmtId="0" fontId="35" fillId="0" borderId="0" xfId="0" applyFont="1" applyBorder="1" applyAlignment="1">
      <alignment horizontal="left" vertical="top"/>
    </xf>
    <xf numFmtId="0" fontId="35" fillId="0" borderId="0" xfId="0" applyFont="1" applyBorder="1" applyAlignment="1">
      <alignment horizontal="left" vertical="top" wrapText="1"/>
    </xf>
    <xf numFmtId="0" fontId="36" fillId="0" borderId="0" xfId="0" applyFont="1" applyFill="1" applyBorder="1" applyAlignment="1">
      <alignment horizontal="left" wrapText="1"/>
    </xf>
    <xf numFmtId="43" fontId="116" fillId="0" borderId="54" xfId="382" applyFont="1" applyFill="1" applyBorder="1" applyAlignment="1">
      <alignment horizontal="center" vertical="top"/>
    </xf>
    <xf numFmtId="43" fontId="116" fillId="0" borderId="0" xfId="382" applyFont="1" applyFill="1" applyBorder="1" applyAlignment="1">
      <alignment horizontal="center" vertical="top"/>
    </xf>
    <xf numFmtId="43" fontId="116" fillId="0" borderId="35" xfId="382" applyFont="1" applyFill="1" applyBorder="1" applyAlignment="1">
      <alignment horizontal="center" vertical="top"/>
    </xf>
    <xf numFmtId="0" fontId="36" fillId="0" borderId="24" xfId="0" applyFont="1" applyFill="1" applyBorder="1" applyAlignment="1">
      <alignment horizontal="left" wrapText="1"/>
    </xf>
    <xf numFmtId="0" fontId="35" fillId="0" borderId="0" xfId="0" applyFont="1" applyFill="1" applyBorder="1" applyAlignment="1">
      <alignment horizontal="left"/>
    </xf>
    <xf numFmtId="0" fontId="35" fillId="0" borderId="0" xfId="0" applyFont="1" applyFill="1" applyBorder="1" applyAlignment="1">
      <alignment horizontal="left" wrapText="1"/>
    </xf>
    <xf numFmtId="164" fontId="116" fillId="0" borderId="44" xfId="382" applyNumberFormat="1" applyFont="1" applyFill="1" applyBorder="1" applyAlignment="1">
      <alignment horizontal="center"/>
    </xf>
    <xf numFmtId="164" fontId="116" fillId="0" borderId="0" xfId="382" applyNumberFormat="1" applyFont="1" applyFill="1" applyBorder="1" applyAlignment="1">
      <alignment horizontal="center"/>
    </xf>
    <xf numFmtId="164" fontId="116" fillId="0" borderId="35" xfId="382" applyNumberFormat="1" applyFont="1" applyFill="1" applyBorder="1" applyAlignment="1">
      <alignment horizontal="center"/>
    </xf>
    <xf numFmtId="0" fontId="36" fillId="0" borderId="0" xfId="0" applyFont="1" applyAlignment="1">
      <alignment horizontal="center" vertical="top"/>
    </xf>
    <xf numFmtId="0" fontId="36" fillId="0" borderId="0" xfId="0" applyFont="1" applyFill="1" applyAlignment="1">
      <alignment horizontal="center" vertical="top"/>
    </xf>
    <xf numFmtId="164" fontId="116" fillId="0" borderId="0" xfId="382" applyNumberFormat="1" applyFont="1" applyFill="1" applyAlignment="1">
      <alignment horizontal="center"/>
    </xf>
    <xf numFmtId="0" fontId="36" fillId="0" borderId="0" xfId="0" applyFont="1" applyFill="1" applyAlignment="1">
      <alignment horizontal="left" vertical="top" wrapText="1"/>
    </xf>
    <xf numFmtId="0" fontId="35" fillId="0" borderId="0" xfId="0" applyFont="1" applyFill="1" applyAlignment="1">
      <alignment horizontal="left" vertical="center" wrapText="1"/>
    </xf>
    <xf numFmtId="43" fontId="2" fillId="0" borderId="0" xfId="382" applyFont="1" applyFill="1" applyBorder="1" applyAlignment="1">
      <alignment horizontal="center" wrapText="1"/>
    </xf>
    <xf numFmtId="43" fontId="2" fillId="0" borderId="18" xfId="382" applyFont="1" applyFill="1" applyBorder="1" applyAlignment="1">
      <alignment horizontal="center" wrapText="1"/>
    </xf>
    <xf numFmtId="0" fontId="10" fillId="0" borderId="0" xfId="11271" applyFont="1" applyFill="1" applyAlignment="1">
      <alignment horizontal="left" wrapText="1"/>
    </xf>
    <xf numFmtId="185" fontId="36" fillId="0" borderId="0" xfId="474" applyNumberFormat="1" applyFont="1" applyAlignment="1" applyProtection="1">
      <alignment horizontal="center"/>
      <protection locked="0"/>
    </xf>
    <xf numFmtId="0" fontId="35" fillId="0" borderId="0" xfId="474" applyFont="1" applyAlignment="1" applyProtection="1">
      <alignment horizontal="center"/>
      <protection locked="0"/>
    </xf>
    <xf numFmtId="0" fontId="35" fillId="0" borderId="0" xfId="474" applyFont="1" applyFill="1" applyAlignment="1" applyProtection="1">
      <alignment horizontal="center"/>
      <protection locked="0"/>
    </xf>
    <xf numFmtId="0" fontId="35" fillId="0" borderId="0" xfId="484" applyFont="1" applyFill="1" applyAlignment="1">
      <alignment horizontal="left" vertical="top" wrapText="1"/>
    </xf>
    <xf numFmtId="0" fontId="35" fillId="0" borderId="0" xfId="0" quotePrefix="1" applyFont="1" applyFill="1" applyBorder="1" applyAlignment="1">
      <alignment horizontal="center" vertical="top"/>
    </xf>
    <xf numFmtId="0" fontId="55" fillId="0" borderId="0" xfId="0" applyFont="1" applyFill="1" applyAlignment="1">
      <alignment horizontal="center"/>
    </xf>
    <xf numFmtId="0" fontId="35" fillId="0" borderId="0" xfId="11272" applyFont="1" applyAlignment="1">
      <alignment horizontal="center" vertical="top"/>
    </xf>
    <xf numFmtId="0" fontId="55" fillId="0" borderId="0" xfId="0" quotePrefix="1" applyFont="1" applyFill="1" applyAlignment="1">
      <alignment horizontal="center"/>
    </xf>
    <xf numFmtId="0" fontId="17" fillId="0" borderId="0" xfId="513" applyFont="1" applyFill="1" applyAlignment="1">
      <alignment horizontal="left" vertical="top" wrapText="1"/>
    </xf>
    <xf numFmtId="0" fontId="1" fillId="0" borderId="0" xfId="513" applyFont="1" applyFill="1" applyAlignment="1">
      <alignment horizontal="left" vertical="top" wrapText="1"/>
    </xf>
    <xf numFmtId="0" fontId="55" fillId="0" borderId="0" xfId="513" applyFont="1" applyAlignment="1">
      <alignment horizontal="center"/>
    </xf>
    <xf numFmtId="0" fontId="65" fillId="0" borderId="0" xfId="513" applyFont="1" applyBorder="1" applyAlignment="1">
      <alignment horizontal="center"/>
    </xf>
    <xf numFmtId="0" fontId="55" fillId="0" borderId="0" xfId="513" applyFont="1" applyFill="1" applyAlignment="1">
      <alignment horizontal="center"/>
    </xf>
    <xf numFmtId="0" fontId="55" fillId="0" borderId="0" xfId="11271" applyFont="1" applyAlignment="1">
      <alignment horizontal="center"/>
    </xf>
    <xf numFmtId="0" fontId="35" fillId="0" borderId="0" xfId="474" applyFont="1" applyFill="1" applyAlignment="1">
      <alignment horizontal="left" wrapText="1"/>
    </xf>
    <xf numFmtId="0" fontId="0" fillId="0" borderId="0" xfId="0" applyAlignment="1">
      <alignment wrapText="1"/>
    </xf>
    <xf numFmtId="0" fontId="35" fillId="0" borderId="0" xfId="0" quotePrefix="1" applyFont="1" applyFill="1" applyBorder="1" applyAlignment="1">
      <alignment horizontal="left" vertical="top" wrapText="1"/>
    </xf>
    <xf numFmtId="0" fontId="151" fillId="0" borderId="0" xfId="0" applyFont="1" applyAlignment="1">
      <alignment horizontal="center" wrapText="1"/>
    </xf>
    <xf numFmtId="0" fontId="35" fillId="0" borderId="0" xfId="11275" quotePrefix="1" applyFont="1" applyFill="1" applyBorder="1" applyAlignment="1">
      <alignment horizontal="center" vertical="top"/>
    </xf>
    <xf numFmtId="0" fontId="35" fillId="0" borderId="0" xfId="0" applyFont="1" applyAlignment="1">
      <alignment horizontal="left" vertical="top" wrapText="1"/>
    </xf>
    <xf numFmtId="0" fontId="35" fillId="0" borderId="0" xfId="11275" applyFont="1" applyFill="1" applyBorder="1" applyAlignment="1">
      <alignment horizontal="center" vertical="top"/>
    </xf>
    <xf numFmtId="0" fontId="55" fillId="0" borderId="0" xfId="11275" applyFont="1" applyFill="1" applyAlignment="1">
      <alignment horizontal="left" wrapText="1"/>
    </xf>
    <xf numFmtId="0" fontId="0" fillId="0" borderId="0" xfId="0" applyAlignment="1">
      <alignment horizontal="left" wrapText="1"/>
    </xf>
    <xf numFmtId="0" fontId="55" fillId="0" borderId="0" xfId="569" applyFont="1" applyFill="1" applyAlignment="1">
      <alignment horizontal="left" wrapText="1"/>
    </xf>
    <xf numFmtId="0" fontId="55" fillId="0" borderId="54" xfId="569" applyFont="1" applyBorder="1" applyAlignment="1">
      <alignment horizontal="center"/>
    </xf>
    <xf numFmtId="0" fontId="55" fillId="0" borderId="0" xfId="569" applyFont="1" applyAlignment="1">
      <alignment horizontal="center"/>
    </xf>
    <xf numFmtId="164" fontId="35" fillId="0" borderId="6" xfId="11275" applyNumberFormat="1" applyFont="1" applyFill="1" applyBorder="1" applyAlignment="1">
      <alignment horizontal="center" vertical="top"/>
    </xf>
    <xf numFmtId="164" fontId="35" fillId="0" borderId="18" xfId="11275" applyNumberFormat="1" applyFont="1" applyFill="1" applyBorder="1" applyAlignment="1">
      <alignment horizontal="center" vertical="top"/>
    </xf>
    <xf numFmtId="0" fontId="35" fillId="0" borderId="0" xfId="569" quotePrefix="1" applyFont="1" applyFill="1" applyBorder="1" applyAlignment="1">
      <alignment horizontal="center" vertical="top"/>
    </xf>
    <xf numFmtId="0" fontId="35" fillId="0" borderId="0" xfId="0" applyFont="1" applyAlignment="1">
      <alignment horizontal="center" vertical="center"/>
    </xf>
    <xf numFmtId="0" fontId="35" fillId="0" borderId="0" xfId="474" applyFont="1" applyAlignment="1">
      <alignment horizontal="center"/>
    </xf>
    <xf numFmtId="0" fontId="17" fillId="0" borderId="0" xfId="11271" applyFont="1" applyBorder="1" applyAlignment="1">
      <alignment horizontal="center" wrapText="1"/>
    </xf>
    <xf numFmtId="0" fontId="17" fillId="0" borderId="18" xfId="11271" applyFont="1" applyBorder="1" applyAlignment="1">
      <alignment horizontal="center" wrapText="1"/>
    </xf>
    <xf numFmtId="0" fontId="17" fillId="0" borderId="0" xfId="0" applyFont="1" applyFill="1" applyAlignment="1">
      <alignment horizontal="left" vertical="top" wrapText="1"/>
    </xf>
    <xf numFmtId="0" fontId="35" fillId="0" borderId="0" xfId="0" applyFont="1" applyFill="1" applyAlignment="1">
      <alignment horizontal="left"/>
    </xf>
    <xf numFmtId="43" fontId="123" fillId="0" borderId="0" xfId="382" applyFont="1" applyFill="1" applyAlignment="1">
      <alignment horizontal="center"/>
    </xf>
    <xf numFmtId="0" fontId="122" fillId="0" borderId="0" xfId="0" applyFont="1" applyAlignment="1">
      <alignment horizontal="center" vertical="center"/>
    </xf>
    <xf numFmtId="0" fontId="35" fillId="0" borderId="0" xfId="484" applyFont="1" applyFill="1" applyAlignment="1">
      <alignment horizontal="center" vertical="top"/>
    </xf>
  </cellXfs>
  <cellStyles count="37701">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5" xfId="37699"/>
    <cellStyle name="Normal 46" xfId="37700"/>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FF66"/>
      <color rgb="FFFFCCFF"/>
      <color rgb="FFFFFFCC"/>
      <color rgb="FF66FFFF"/>
      <color rgb="FFFF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38100</xdr:colOff>
      <xdr:row>4</xdr:row>
      <xdr:rowOff>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tabSelected="1" zoomScale="90" zoomScaleNormal="90" zoomScaleSheetLayoutView="100" workbookViewId="0">
      <selection activeCell="B6" sqref="B6"/>
    </sheetView>
  </sheetViews>
  <sheetFormatPr defaultColWidth="9.140625" defaultRowHeight="12.75"/>
  <cols>
    <col min="1" max="1" width="6.28515625" style="298" bestFit="1" customWidth="1"/>
    <col min="2" max="2" width="79.42578125" style="298" bestFit="1" customWidth="1"/>
    <col min="3" max="3" width="50.42578125" style="298" customWidth="1"/>
    <col min="4" max="4" width="14" style="298" bestFit="1" customWidth="1"/>
    <col min="5" max="5" width="1.42578125" style="298" customWidth="1"/>
    <col min="6" max="6" width="7.7109375" style="298" customWidth="1"/>
    <col min="7" max="7" width="11.42578125" style="298" customWidth="1"/>
    <col min="8" max="8" width="6.28515625" style="298" hidden="1" customWidth="1"/>
    <col min="9" max="9" width="15.28515625" style="298" customWidth="1"/>
    <col min="10" max="10" width="3.42578125" style="298" customWidth="1"/>
    <col min="11" max="11" width="7" style="298" customWidth="1"/>
    <col min="12" max="12" width="14" style="299" customWidth="1"/>
    <col min="13" max="14" width="14.28515625" style="299" customWidth="1"/>
    <col min="15" max="15" width="13.140625" style="298" customWidth="1"/>
    <col min="16" max="16" width="15.85546875" style="299" bestFit="1" customWidth="1"/>
    <col min="17" max="17" width="25.7109375" style="299" customWidth="1"/>
    <col min="18" max="18" width="14.85546875" style="298" bestFit="1" customWidth="1"/>
    <col min="19" max="16384" width="9.140625" style="298"/>
  </cols>
  <sheetData>
    <row r="1" spans="1:15" s="298" customFormat="1">
      <c r="I1" s="1034"/>
      <c r="J1" s="1034"/>
      <c r="K1" s="1035" t="s">
        <v>1296</v>
      </c>
      <c r="L1" s="299"/>
    </row>
    <row r="2" spans="1:15" s="298" customFormat="1">
      <c r="A2" s="300"/>
      <c r="B2" s="300"/>
      <c r="C2" s="300"/>
      <c r="E2" s="300"/>
      <c r="F2" s="300"/>
      <c r="G2" s="300"/>
      <c r="H2" s="300"/>
      <c r="I2" s="300"/>
      <c r="J2" s="300"/>
      <c r="K2" s="301" t="s">
        <v>610</v>
      </c>
      <c r="L2" s="299"/>
    </row>
    <row r="3" spans="1:15" s="298" customFormat="1">
      <c r="A3" s="300"/>
      <c r="B3" s="300"/>
      <c r="C3" s="1510" t="s">
        <v>1410</v>
      </c>
      <c r="D3" s="300"/>
      <c r="E3" s="300"/>
      <c r="F3" s="300"/>
      <c r="G3" s="300"/>
      <c r="H3" s="300"/>
      <c r="I3" s="300"/>
      <c r="J3" s="300"/>
      <c r="K3" s="300"/>
      <c r="L3" s="299"/>
    </row>
    <row r="4" spans="1:15" s="298" customFormat="1" ht="13.15" customHeight="1">
      <c r="A4" s="302"/>
      <c r="B4" s="303" t="s">
        <v>611</v>
      </c>
      <c r="C4" s="304" t="s">
        <v>612</v>
      </c>
      <c r="E4" s="303"/>
      <c r="F4" s="303"/>
      <c r="G4" s="305"/>
      <c r="H4" s="306"/>
      <c r="I4" s="1031"/>
      <c r="J4" s="1032"/>
      <c r="K4" s="1033" t="s">
        <v>1461</v>
      </c>
      <c r="L4" s="1633" t="s">
        <v>1152</v>
      </c>
      <c r="M4" s="1633"/>
      <c r="N4" s="1633"/>
      <c r="O4" s="1633"/>
    </row>
    <row r="5" spans="1:15" s="298" customFormat="1" ht="13.5" thickBot="1">
      <c r="A5" s="302"/>
      <c r="C5" s="307" t="s">
        <v>613</v>
      </c>
      <c r="E5" s="308"/>
      <c r="F5" s="308"/>
      <c r="G5" s="308"/>
      <c r="H5" s="309"/>
      <c r="I5" s="309"/>
      <c r="J5" s="310"/>
      <c r="K5" s="310"/>
      <c r="L5" s="1633"/>
      <c r="M5" s="1633"/>
      <c r="N5" s="1633"/>
      <c r="O5" s="1633"/>
    </row>
    <row r="6" spans="1:15" s="298" customFormat="1" ht="14.25" thickBot="1">
      <c r="A6" s="302"/>
      <c r="B6" s="311"/>
      <c r="C6" s="1036" t="s">
        <v>1406</v>
      </c>
      <c r="E6" s="310"/>
      <c r="F6" s="310"/>
      <c r="G6" s="310"/>
      <c r="H6" s="310"/>
      <c r="J6" s="312"/>
      <c r="K6" s="312"/>
      <c r="L6" s="1206" t="s">
        <v>614</v>
      </c>
    </row>
    <row r="7" spans="1:15" s="298" customFormat="1" ht="13.5">
      <c r="B7" s="311"/>
      <c r="C7" s="1009" t="str">
        <f>+L6&amp;" Rate"</f>
        <v>Projected Rate</v>
      </c>
      <c r="J7" s="313"/>
      <c r="K7" s="313"/>
    </row>
    <row r="8" spans="1:15" s="298" customFormat="1">
      <c r="A8" s="304"/>
      <c r="C8" s="310"/>
      <c r="D8" s="314"/>
      <c r="E8" s="310"/>
      <c r="F8" s="310"/>
      <c r="G8" s="310"/>
      <c r="H8" s="310"/>
      <c r="I8" s="310"/>
      <c r="J8" s="310"/>
      <c r="K8" s="310"/>
      <c r="L8" s="299" t="s">
        <v>614</v>
      </c>
    </row>
    <row r="9" spans="1:15" s="298" customFormat="1">
      <c r="A9" s="304"/>
      <c r="B9" s="316" t="s">
        <v>271</v>
      </c>
      <c r="C9" s="316" t="s">
        <v>615</v>
      </c>
      <c r="D9" s="316" t="s">
        <v>616</v>
      </c>
      <c r="E9" s="308" t="s">
        <v>165</v>
      </c>
      <c r="F9" s="308"/>
      <c r="G9" s="314" t="s">
        <v>617</v>
      </c>
      <c r="H9" s="308"/>
      <c r="I9" s="314" t="s">
        <v>618</v>
      </c>
      <c r="J9" s="310"/>
      <c r="K9" s="310"/>
      <c r="L9" s="299" t="s">
        <v>529</v>
      </c>
    </row>
    <row r="10" spans="1:15" s="298" customFormat="1">
      <c r="A10" s="304" t="s">
        <v>619</v>
      </c>
      <c r="B10" s="310"/>
      <c r="C10" s="310"/>
      <c r="D10" s="317"/>
      <c r="E10" s="310"/>
      <c r="F10" s="310"/>
      <c r="G10" s="310"/>
      <c r="H10" s="310"/>
      <c r="I10" s="304" t="s">
        <v>620</v>
      </c>
      <c r="J10" s="310"/>
      <c r="K10" s="310"/>
      <c r="L10" s="315">
        <f>IF(L6=L8,0,1)</f>
        <v>0</v>
      </c>
    </row>
    <row r="11" spans="1:15" s="298" customFormat="1" ht="13.5" thickBot="1">
      <c r="A11" s="318" t="s">
        <v>621</v>
      </c>
      <c r="B11" s="310"/>
      <c r="C11" s="310"/>
      <c r="D11" s="310"/>
      <c r="E11" s="310"/>
      <c r="F11" s="310"/>
      <c r="G11" s="310"/>
      <c r="H11" s="310"/>
      <c r="I11" s="318" t="s">
        <v>249</v>
      </c>
      <c r="J11" s="310"/>
      <c r="K11" s="310"/>
      <c r="L11" s="299"/>
    </row>
    <row r="12" spans="1:15" s="298" customFormat="1">
      <c r="A12" s="375">
        <v>1</v>
      </c>
      <c r="B12" s="310" t="s">
        <v>622</v>
      </c>
      <c r="C12" s="322" t="str">
        <f>+"Page 3, Line "&amp;A174</f>
        <v>Page 3, Line 31</v>
      </c>
      <c r="D12" s="319"/>
      <c r="E12" s="310"/>
      <c r="F12" s="310"/>
      <c r="G12" s="310"/>
      <c r="H12" s="310"/>
      <c r="I12" s="320">
        <f>+I174</f>
        <v>14730824.333490476</v>
      </c>
      <c r="J12" s="310"/>
      <c r="K12" s="312"/>
      <c r="L12" s="299"/>
    </row>
    <row r="13" spans="1:15" s="298" customFormat="1">
      <c r="A13" s="375"/>
      <c r="B13" s="310"/>
      <c r="C13" s="310"/>
      <c r="D13" s="310"/>
      <c r="E13" s="310"/>
      <c r="F13" s="310"/>
      <c r="G13" s="310"/>
      <c r="H13" s="310"/>
      <c r="I13" s="319"/>
      <c r="J13" s="310"/>
      <c r="K13" s="310"/>
      <c r="L13" s="299"/>
    </row>
    <row r="14" spans="1:15" s="298" customFormat="1" ht="13.5" thickBot="1">
      <c r="A14" s="375" t="s">
        <v>165</v>
      </c>
      <c r="B14" s="321" t="s">
        <v>623</v>
      </c>
      <c r="C14" s="322"/>
      <c r="D14" s="323" t="s">
        <v>214</v>
      </c>
      <c r="E14" s="322"/>
      <c r="F14" s="324" t="s">
        <v>624</v>
      </c>
      <c r="G14" s="324"/>
      <c r="H14" s="312"/>
      <c r="I14" s="325"/>
      <c r="J14" s="312"/>
      <c r="K14" s="310"/>
      <c r="L14" s="299"/>
    </row>
    <row r="15" spans="1:15" s="298" customFormat="1">
      <c r="A15" s="375">
        <f>+A12+1</f>
        <v>2</v>
      </c>
      <c r="B15" s="760" t="str">
        <f>+B224</f>
        <v xml:space="preserve">Account 454 (Rent From Electric Property: General Plant Only) </v>
      </c>
      <c r="C15" s="322" t="str">
        <f>+"Page 4, Line "&amp;A224</f>
        <v>Page 4, Line 34</v>
      </c>
      <c r="D15" s="320">
        <f>+I224</f>
        <v>1021121.5063036365</v>
      </c>
      <c r="E15" s="322"/>
      <c r="F15" s="322" t="s">
        <v>625</v>
      </c>
      <c r="G15" s="326">
        <v>1</v>
      </c>
      <c r="H15" s="327"/>
      <c r="I15" s="320">
        <f>+G15*D15</f>
        <v>1021121.5063036365</v>
      </c>
      <c r="J15" s="312"/>
      <c r="K15" s="310"/>
      <c r="L15" s="299"/>
    </row>
    <row r="16" spans="1:15" s="298" customFormat="1">
      <c r="A16" s="375">
        <f>+A15+1</f>
        <v>3</v>
      </c>
      <c r="B16" s="760" t="str">
        <f>+B227</f>
        <v>Account 456.1 Transmission Service Revenue Credits</v>
      </c>
      <c r="C16" s="322" t="str">
        <f>+"Page 4, Line "&amp;A231</f>
        <v>Page 4, Line 37</v>
      </c>
      <c r="D16" s="320">
        <f>+I231</f>
        <v>90073</v>
      </c>
      <c r="E16" s="322"/>
      <c r="F16" s="322" t="s">
        <v>625</v>
      </c>
      <c r="G16" s="326">
        <v>1</v>
      </c>
      <c r="H16" s="327"/>
      <c r="I16" s="320">
        <f>+G16*D16</f>
        <v>90073</v>
      </c>
      <c r="J16" s="312"/>
      <c r="K16" s="310"/>
      <c r="L16" s="299"/>
    </row>
    <row r="17" spans="1:17">
      <c r="A17" s="375">
        <f>+A16+1</f>
        <v>4</v>
      </c>
      <c r="B17" s="760" t="s">
        <v>1155</v>
      </c>
      <c r="C17" s="329"/>
      <c r="D17" s="328"/>
      <c r="E17" s="322"/>
      <c r="F17" s="322" t="s">
        <v>626</v>
      </c>
      <c r="G17" s="326" t="s">
        <v>627</v>
      </c>
      <c r="H17" s="327"/>
      <c r="I17" s="328"/>
      <c r="J17" s="312"/>
      <c r="K17" s="310"/>
      <c r="N17" s="298"/>
      <c r="P17" s="298"/>
      <c r="Q17" s="298"/>
    </row>
    <row r="18" spans="1:17" ht="13.5" thickBot="1">
      <c r="A18" s="375">
        <f>+A17+1</f>
        <v>5</v>
      </c>
      <c r="B18" s="760" t="s">
        <v>1155</v>
      </c>
      <c r="C18" s="329"/>
      <c r="D18" s="328"/>
      <c r="E18" s="322"/>
      <c r="F18" s="322" t="s">
        <v>626</v>
      </c>
      <c r="G18" s="326" t="s">
        <v>627</v>
      </c>
      <c r="H18" s="327"/>
      <c r="I18" s="330"/>
      <c r="J18" s="312"/>
      <c r="K18" s="310"/>
      <c r="L18" s="299" t="s">
        <v>1294</v>
      </c>
      <c r="N18" s="298"/>
      <c r="P18" s="298"/>
      <c r="Q18" s="298"/>
    </row>
    <row r="19" spans="1:17">
      <c r="A19" s="375">
        <f>+A18+1</f>
        <v>6</v>
      </c>
      <c r="B19" s="321" t="s">
        <v>628</v>
      </c>
      <c r="C19" s="312" t="str">
        <f>+"(Sum of Line "&amp;A15&amp;" to Line "&amp;A18&amp;")"</f>
        <v>(Sum of Line 2 to Line 5)</v>
      </c>
      <c r="D19" s="331" t="s">
        <v>165</v>
      </c>
      <c r="E19" s="322"/>
      <c r="F19" s="322"/>
      <c r="G19" s="332"/>
      <c r="H19" s="327"/>
      <c r="I19" s="320">
        <f>SUM(I15:I18)</f>
        <v>1111194.5063036364</v>
      </c>
      <c r="J19" s="312"/>
      <c r="K19" s="310"/>
      <c r="L19" s="1404"/>
      <c r="M19" s="1404"/>
      <c r="N19" s="1405"/>
      <c r="O19" s="1405"/>
      <c r="P19" s="1405"/>
      <c r="Q19" s="298"/>
    </row>
    <row r="20" spans="1:17">
      <c r="A20" s="375"/>
      <c r="B20" s="333"/>
      <c r="C20" s="312"/>
      <c r="D20" s="322" t="s">
        <v>165</v>
      </c>
      <c r="E20" s="312"/>
      <c r="F20" s="312"/>
      <c r="G20" s="334"/>
      <c r="H20" s="312"/>
      <c r="I20" s="333"/>
      <c r="J20" s="312"/>
      <c r="K20" s="310"/>
      <c r="L20" s="1404"/>
      <c r="M20" s="1404"/>
      <c r="N20" s="1405"/>
      <c r="O20" s="1405"/>
      <c r="P20" s="1405"/>
      <c r="Q20" s="298"/>
    </row>
    <row r="21" spans="1:17">
      <c r="A21" s="375" t="str">
        <f>+A19&amp;"a"</f>
        <v>6a</v>
      </c>
      <c r="B21" s="335" t="s">
        <v>630</v>
      </c>
      <c r="C21" s="322" t="str">
        <f>+"Appendix A Line"&amp;'Appendix A'!A289&amp;" "&amp;$L$6&amp;" Column"</f>
        <v>Appendix A Line194 Projected Column</v>
      </c>
      <c r="D21" s="320">
        <f>IF($L$10=0,'Appendix A'!H289,'Appendix A'!G289)</f>
        <v>0</v>
      </c>
      <c r="E21" s="336"/>
      <c r="F21" s="337" t="s">
        <v>625</v>
      </c>
      <c r="G21" s="338">
        <v>1</v>
      </c>
      <c r="H21" s="336"/>
      <c r="I21" s="320">
        <f>+G21*D21</f>
        <v>0</v>
      </c>
      <c r="J21" s="312"/>
      <c r="K21" s="310"/>
      <c r="L21" s="1404"/>
      <c r="M21" s="1404">
        <f>IF($L$10=0,'Appendix A'!H289,'Appendix A'!G289)</f>
        <v>0</v>
      </c>
      <c r="N21" s="1406">
        <f>+I21-M21</f>
        <v>0</v>
      </c>
      <c r="O21" s="1405"/>
      <c r="P21" s="1405"/>
      <c r="Q21" s="298"/>
    </row>
    <row r="22" spans="1:17">
      <c r="A22" s="375"/>
      <c r="B22" s="333"/>
      <c r="C22" s="312"/>
      <c r="D22" s="322"/>
      <c r="E22" s="312"/>
      <c r="F22" s="312"/>
      <c r="G22" s="334"/>
      <c r="H22" s="312"/>
      <c r="I22" s="333"/>
      <c r="J22" s="312"/>
      <c r="K22" s="310"/>
      <c r="L22" s="1404"/>
      <c r="M22" s="1404"/>
      <c r="N22" s="1405"/>
      <c r="O22" s="1405"/>
      <c r="P22" s="1405"/>
      <c r="Q22" s="298"/>
    </row>
    <row r="23" spans="1:17">
      <c r="A23" s="375" t="s">
        <v>940</v>
      </c>
      <c r="B23" s="335" t="s">
        <v>629</v>
      </c>
      <c r="C23" s="298" t="str">
        <f>+"(Line "&amp;A12&amp;" - Line "&amp;A19&amp;" + Line "&amp;A21&amp;")"</f>
        <v>(Line 1 - Line 6 + Line 6a)</v>
      </c>
      <c r="I23" s="1013">
        <f>+I12-I19+I21</f>
        <v>13619629.82718684</v>
      </c>
      <c r="J23" s="312"/>
      <c r="K23" s="310"/>
      <c r="L23" s="1404"/>
      <c r="M23" s="1404">
        <f>IF($L$10=0,'Appendix A'!H291,'Appendix A'!G286)</f>
        <v>13619629.827186838</v>
      </c>
      <c r="N23" s="1406">
        <f>+I23-M23</f>
        <v>0</v>
      </c>
      <c r="O23" s="1405"/>
      <c r="P23" s="1405"/>
      <c r="Q23" s="298"/>
    </row>
    <row r="24" spans="1:17">
      <c r="A24" s="375"/>
      <c r="B24" s="335"/>
      <c r="C24" s="339"/>
      <c r="D24" s="339"/>
      <c r="E24" s="339"/>
      <c r="F24" s="339"/>
      <c r="G24" s="339"/>
      <c r="H24" s="339"/>
      <c r="I24" s="339"/>
      <c r="J24" s="312"/>
      <c r="K24" s="310"/>
      <c r="L24" s="1404"/>
      <c r="M24" s="1404"/>
      <c r="N24" s="1405"/>
      <c r="O24" s="1405"/>
      <c r="P24" s="1405"/>
      <c r="Q24" s="298"/>
    </row>
    <row r="25" spans="1:17">
      <c r="A25" s="375" t="s">
        <v>939</v>
      </c>
      <c r="B25" s="321" t="s">
        <v>1114</v>
      </c>
      <c r="C25" s="322" t="str">
        <f>+"Appendix A Line "&amp;'Appendix A'!A294&amp;" "&amp;$L$6&amp;" Column"</f>
        <v>Appendix A Line 197 Projected Column</v>
      </c>
      <c r="D25" s="328"/>
      <c r="E25" s="312"/>
      <c r="F25" s="312"/>
      <c r="G25" s="334"/>
      <c r="H25" s="312"/>
      <c r="I25" s="320">
        <f>IF($L$10=0,'Appendix A'!H294,'Appendix A'!G294)</f>
        <v>0</v>
      </c>
      <c r="J25" s="312"/>
      <c r="K25" s="310"/>
      <c r="L25" s="1404"/>
      <c r="M25" s="1404"/>
      <c r="N25" s="1405"/>
      <c r="O25" s="1405"/>
      <c r="P25" s="1405"/>
      <c r="Q25" s="298"/>
    </row>
    <row r="26" spans="1:17">
      <c r="A26" s="375" t="s">
        <v>941</v>
      </c>
      <c r="B26" s="321" t="s">
        <v>1114</v>
      </c>
      <c r="C26" s="322" t="str">
        <f>+"Appendix A Line "&amp;'Appendix A'!A295&amp;" "&amp;$L$6&amp;" Column"</f>
        <v>Appendix A Line 198 Projected Column</v>
      </c>
      <c r="D26" s="322"/>
      <c r="E26" s="312"/>
      <c r="F26" s="312"/>
      <c r="G26" s="334"/>
      <c r="H26" s="312"/>
      <c r="I26" s="320">
        <f>IF($L$10=0,'Appendix A'!H295,'Appendix A'!G295)</f>
        <v>0</v>
      </c>
      <c r="J26" s="312"/>
      <c r="K26" s="310"/>
      <c r="L26" s="1405"/>
      <c r="M26" s="1405"/>
      <c r="N26" s="1405"/>
      <c r="O26" s="1405"/>
      <c r="P26" s="1405"/>
      <c r="Q26" s="298"/>
    </row>
    <row r="27" spans="1:17">
      <c r="A27" s="405"/>
      <c r="B27" s="335"/>
      <c r="C27" s="336"/>
      <c r="D27" s="341"/>
      <c r="E27" s="341"/>
      <c r="F27" s="341"/>
      <c r="G27" s="341"/>
      <c r="H27" s="341"/>
      <c r="I27" s="342"/>
      <c r="J27" s="339"/>
      <c r="K27" s="340"/>
      <c r="L27" s="1405"/>
      <c r="M27" s="1404"/>
      <c r="N27" s="1406"/>
      <c r="O27" s="1405"/>
      <c r="P27" s="1405"/>
      <c r="Q27" s="298"/>
    </row>
    <row r="28" spans="1:17" ht="13.5" thickBot="1">
      <c r="A28" s="405">
        <v>7</v>
      </c>
      <c r="B28" s="335" t="s">
        <v>629</v>
      </c>
      <c r="C28" s="336" t="str">
        <f>+"(Sum of Line "&amp;A23&amp;" to Line "&amp;A26&amp;")"</f>
        <v>(Sum of Line 7a to Line 7c)</v>
      </c>
      <c r="D28" s="341"/>
      <c r="E28" s="342"/>
      <c r="F28" s="342"/>
      <c r="G28" s="342"/>
      <c r="H28" s="342"/>
      <c r="I28" s="1301">
        <f>+SUM(I23:I26)</f>
        <v>13619629.82718684</v>
      </c>
      <c r="J28" s="339"/>
      <c r="K28" s="340"/>
      <c r="L28" s="1405"/>
      <c r="M28" s="1404">
        <f>IF($L$10=0,'Appendix A'!H291,'Appendix A'!G291)</f>
        <v>13619629.827186838</v>
      </c>
      <c r="N28" s="1406">
        <f>+I28-M28</f>
        <v>0</v>
      </c>
      <c r="O28" s="1405"/>
      <c r="P28" s="1405"/>
      <c r="Q28" s="298"/>
    </row>
    <row r="29" spans="1:17" ht="13.5" thickTop="1">
      <c r="A29" s="343"/>
      <c r="B29" s="344"/>
      <c r="C29" s="340"/>
      <c r="D29" s="340"/>
      <c r="E29" s="340"/>
      <c r="F29" s="345"/>
      <c r="G29" s="346"/>
      <c r="H29" s="340"/>
      <c r="I29" s="344"/>
      <c r="J29" s="340"/>
      <c r="K29" s="340"/>
      <c r="L29" s="1404"/>
      <c r="M29" s="1404"/>
      <c r="N29" s="1405"/>
      <c r="O29" s="1405"/>
      <c r="P29" s="1405"/>
      <c r="Q29" s="298"/>
    </row>
    <row r="30" spans="1:17">
      <c r="A30" s="343"/>
      <c r="B30" s="347"/>
      <c r="C30" s="340"/>
      <c r="D30" s="340"/>
      <c r="E30" s="340"/>
      <c r="F30" s="345"/>
      <c r="G30" s="346"/>
      <c r="H30" s="340"/>
      <c r="I30" s="344"/>
      <c r="J30" s="340"/>
      <c r="K30" s="340"/>
      <c r="L30" s="1404"/>
      <c r="M30" s="1404"/>
      <c r="N30" s="1405"/>
      <c r="O30" s="1405"/>
      <c r="P30" s="1405"/>
      <c r="Q30" s="298"/>
    </row>
    <row r="31" spans="1:17" ht="15.75">
      <c r="A31" s="363"/>
      <c r="B31" s="348" t="s">
        <v>631</v>
      </c>
      <c r="C31" s="349"/>
      <c r="D31" s="350"/>
      <c r="E31" s="349"/>
      <c r="F31" s="349"/>
      <c r="G31" s="349"/>
      <c r="H31" s="349"/>
      <c r="I31" s="351"/>
      <c r="J31" s="349"/>
      <c r="L31" s="1407"/>
      <c r="M31" s="1404"/>
      <c r="N31" s="1405"/>
      <c r="O31" s="1405"/>
      <c r="P31" s="1405"/>
      <c r="Q31" s="298"/>
    </row>
    <row r="32" spans="1:17" ht="15.75">
      <c r="A32" s="363">
        <f>+A28+1</f>
        <v>8</v>
      </c>
      <c r="B32" s="763" t="s">
        <v>909</v>
      </c>
      <c r="C32" s="322" t="str">
        <f>+"Appendix A Line "&amp;'Appendix A'!A299&amp;" "&amp;$L$6&amp;" Column"</f>
        <v>Appendix A Line 200 Projected Column</v>
      </c>
      <c r="D32" s="350"/>
      <c r="E32" s="349"/>
      <c r="F32" s="349"/>
      <c r="G32" s="352"/>
      <c r="H32" s="349"/>
      <c r="I32" s="320">
        <f>IF($L$10=0,'Appendix A'!$H$299,'Appendix A'!$G$299)</f>
        <v>0</v>
      </c>
      <c r="J32" s="349"/>
      <c r="L32" s="1407"/>
      <c r="M32" s="1404"/>
      <c r="N32" s="1405"/>
      <c r="O32" s="1405"/>
      <c r="P32" s="1405"/>
      <c r="Q32" s="298"/>
    </row>
    <row r="33" spans="1:17" ht="15.75">
      <c r="A33" s="363">
        <f t="shared" ref="A33:A39" si="0">+A32+1</f>
        <v>9</v>
      </c>
      <c r="B33" s="760" t="s">
        <v>1155</v>
      </c>
      <c r="C33" s="349"/>
      <c r="D33" s="349"/>
      <c r="E33" s="349"/>
      <c r="F33" s="349"/>
      <c r="G33" s="352"/>
      <c r="H33" s="349"/>
      <c r="I33" s="355">
        <v>0</v>
      </c>
      <c r="J33" s="349"/>
      <c r="L33" s="1407"/>
      <c r="M33" s="1405"/>
      <c r="N33" s="1405"/>
      <c r="O33" s="1405"/>
      <c r="P33" s="1405"/>
      <c r="Q33" s="298"/>
    </row>
    <row r="34" spans="1:17" ht="15.75">
      <c r="A34" s="363">
        <f t="shared" si="0"/>
        <v>10</v>
      </c>
      <c r="B34" s="760" t="s">
        <v>1155</v>
      </c>
      <c r="C34" s="349"/>
      <c r="D34" s="349"/>
      <c r="E34" s="349"/>
      <c r="F34" s="349"/>
      <c r="G34" s="352"/>
      <c r="H34" s="349"/>
      <c r="I34" s="355">
        <v>0</v>
      </c>
      <c r="J34" s="349"/>
      <c r="L34" s="1407"/>
      <c r="M34" s="1405"/>
      <c r="N34" s="1405"/>
      <c r="O34" s="1405"/>
      <c r="P34" s="1405"/>
      <c r="Q34" s="298"/>
    </row>
    <row r="35" spans="1:17" ht="15.75">
      <c r="A35" s="363">
        <f t="shared" si="0"/>
        <v>11</v>
      </c>
      <c r="B35" s="760" t="s">
        <v>1155</v>
      </c>
      <c r="C35" s="349"/>
      <c r="D35" s="349"/>
      <c r="E35" s="349"/>
      <c r="F35" s="349"/>
      <c r="G35" s="352"/>
      <c r="H35" s="349"/>
      <c r="I35" s="355">
        <v>0</v>
      </c>
      <c r="J35" s="349"/>
      <c r="L35" s="1407"/>
      <c r="M35" s="1405"/>
      <c r="N35" s="1405"/>
      <c r="O35" s="1405"/>
      <c r="P35" s="1405"/>
      <c r="Q35" s="298"/>
    </row>
    <row r="36" spans="1:17" ht="15.75">
      <c r="A36" s="363">
        <f t="shared" si="0"/>
        <v>12</v>
      </c>
      <c r="B36" s="760" t="s">
        <v>1155</v>
      </c>
      <c r="C36" s="349"/>
      <c r="D36" s="349"/>
      <c r="E36" s="349"/>
      <c r="F36" s="349"/>
      <c r="G36" s="352"/>
      <c r="H36" s="349"/>
      <c r="I36" s="355">
        <v>0</v>
      </c>
      <c r="J36" s="349"/>
      <c r="L36" s="1407"/>
      <c r="M36" s="1405"/>
      <c r="N36" s="1405"/>
      <c r="O36" s="1405"/>
      <c r="P36" s="1405"/>
      <c r="Q36" s="298"/>
    </row>
    <row r="37" spans="1:17" ht="15.75">
      <c r="A37" s="363">
        <f t="shared" si="0"/>
        <v>13</v>
      </c>
      <c r="B37" s="760" t="s">
        <v>1155</v>
      </c>
      <c r="C37" s="349"/>
      <c r="D37" s="349"/>
      <c r="E37" s="349"/>
      <c r="F37" s="349"/>
      <c r="G37" s="352"/>
      <c r="H37" s="349"/>
      <c r="I37" s="355">
        <v>0</v>
      </c>
      <c r="J37" s="349"/>
      <c r="L37" s="1407"/>
      <c r="M37" s="1405"/>
      <c r="N37" s="1405"/>
      <c r="O37" s="1405"/>
      <c r="P37" s="1405"/>
      <c r="Q37" s="298"/>
    </row>
    <row r="38" spans="1:17" ht="16.5" thickBot="1">
      <c r="A38" s="363">
        <f t="shared" si="0"/>
        <v>14</v>
      </c>
      <c r="B38" s="760" t="s">
        <v>1155</v>
      </c>
      <c r="C38" s="349"/>
      <c r="D38" s="349"/>
      <c r="E38" s="349"/>
      <c r="F38" s="349"/>
      <c r="G38" s="352"/>
      <c r="H38" s="349"/>
      <c r="I38" s="356">
        <v>0</v>
      </c>
      <c r="J38" s="349"/>
      <c r="L38" s="1407"/>
      <c r="M38" s="1405"/>
      <c r="N38" s="1405"/>
      <c r="O38" s="1405"/>
      <c r="P38" s="1405"/>
      <c r="Q38" s="298"/>
    </row>
    <row r="39" spans="1:17" ht="15.75">
      <c r="A39" s="363">
        <f t="shared" si="0"/>
        <v>15</v>
      </c>
      <c r="B39" s="357" t="str">
        <f>+B31</f>
        <v xml:space="preserve">DIVISOR </v>
      </c>
      <c r="C39" s="349" t="str">
        <f>+"(Sum of Line "&amp;A32&amp;" to Line "&amp;A38&amp;")"</f>
        <v>(Sum of Line 8 to Line 14)</v>
      </c>
      <c r="D39" s="349"/>
      <c r="E39" s="349"/>
      <c r="F39" s="349"/>
      <c r="G39" s="349"/>
      <c r="H39" s="349"/>
      <c r="I39" s="353">
        <f>SUM(I32:I38)</f>
        <v>0</v>
      </c>
      <c r="J39" s="349"/>
      <c r="L39" s="1407"/>
      <c r="M39" s="1405"/>
      <c r="N39" s="1405"/>
      <c r="O39" s="1405"/>
      <c r="P39" s="1405"/>
      <c r="Q39" s="298"/>
    </row>
    <row r="40" spans="1:17" ht="15.75">
      <c r="A40" s="363"/>
      <c r="B40" s="348"/>
      <c r="C40" s="349"/>
      <c r="D40" s="349"/>
      <c r="E40" s="349"/>
      <c r="F40" s="349"/>
      <c r="G40" s="349"/>
      <c r="H40" s="349"/>
      <c r="I40" s="351"/>
      <c r="J40" s="349"/>
      <c r="L40" s="1407"/>
      <c r="M40" s="1405"/>
      <c r="N40" s="1405"/>
      <c r="O40" s="1405"/>
      <c r="P40" s="1405"/>
      <c r="Q40" s="298"/>
    </row>
    <row r="41" spans="1:17" ht="15.75">
      <c r="A41" s="363">
        <f>+A39+1</f>
        <v>16</v>
      </c>
      <c r="B41" s="348" t="s">
        <v>632</v>
      </c>
      <c r="C41" s="349" t="str">
        <f>+"(Line "&amp;A28&amp;" / Line "&amp;A39&amp;")"</f>
        <v>(Line 7 / Line 15)</v>
      </c>
      <c r="D41" s="351">
        <f>IF(I39&gt;0,I28/I39,0)</f>
        <v>0</v>
      </c>
      <c r="E41" s="351"/>
      <c r="F41" s="351"/>
      <c r="G41" s="351"/>
      <c r="H41" s="351"/>
      <c r="I41" s="328"/>
      <c r="J41" s="349"/>
      <c r="L41" s="1407"/>
      <c r="M41" s="1405"/>
      <c r="N41" s="1405"/>
      <c r="O41" s="1405"/>
      <c r="P41" s="1405"/>
      <c r="Q41" s="298"/>
    </row>
    <row r="42" spans="1:17" ht="15.75">
      <c r="A42" s="363">
        <f>+A41+1</f>
        <v>17</v>
      </c>
      <c r="B42" s="348" t="s">
        <v>633</v>
      </c>
      <c r="C42" s="349" t="str">
        <f>+"(Line "&amp;A41&amp;" / 12)"</f>
        <v>(Line 16 / 12)</v>
      </c>
      <c r="D42" s="351">
        <f>+D41/12</f>
        <v>0</v>
      </c>
      <c r="E42" s="351"/>
      <c r="F42" s="351"/>
      <c r="G42" s="351"/>
      <c r="H42" s="351"/>
      <c r="I42" s="328"/>
      <c r="J42" s="349"/>
      <c r="L42" s="1407"/>
      <c r="M42" s="1405"/>
      <c r="N42" s="1405"/>
      <c r="O42" s="1405"/>
      <c r="P42" s="1405"/>
      <c r="Q42" s="298"/>
    </row>
    <row r="43" spans="1:17" ht="15.75">
      <c r="A43" s="363"/>
      <c r="B43" s="348"/>
      <c r="C43" s="349"/>
      <c r="D43" s="351"/>
      <c r="E43" s="351"/>
      <c r="F43" s="351"/>
      <c r="G43" s="351"/>
      <c r="H43" s="351"/>
      <c r="I43" s="328"/>
      <c r="J43" s="349"/>
      <c r="L43" s="1407"/>
      <c r="M43" s="1405"/>
      <c r="N43" s="1405"/>
      <c r="O43" s="1405"/>
      <c r="P43" s="1405"/>
      <c r="Q43" s="298"/>
    </row>
    <row r="44" spans="1:17" ht="15.75">
      <c r="A44" s="363"/>
      <c r="B44" s="348"/>
      <c r="C44" s="349"/>
      <c r="D44" s="358" t="s">
        <v>634</v>
      </c>
      <c r="E44" s="351"/>
      <c r="F44" s="351"/>
      <c r="G44" s="351"/>
      <c r="H44" s="351"/>
      <c r="I44" s="358" t="s">
        <v>635</v>
      </c>
      <c r="J44" s="349"/>
      <c r="L44" s="1407"/>
      <c r="M44" s="1405"/>
      <c r="N44" s="1405"/>
      <c r="O44" s="1405"/>
      <c r="P44" s="1405"/>
      <c r="Q44" s="298"/>
    </row>
    <row r="45" spans="1:17" ht="15.75">
      <c r="A45" s="363"/>
      <c r="B45" s="348"/>
      <c r="C45" s="349"/>
      <c r="D45" s="351"/>
      <c r="E45" s="351"/>
      <c r="F45" s="351"/>
      <c r="G45" s="351"/>
      <c r="H45" s="351"/>
      <c r="I45" s="328"/>
      <c r="J45" s="349"/>
      <c r="L45" s="1407"/>
      <c r="M45" s="1405"/>
      <c r="N45" s="1405"/>
      <c r="O45" s="1405"/>
      <c r="P45" s="1405"/>
      <c r="Q45" s="298"/>
    </row>
    <row r="46" spans="1:17" ht="15.75">
      <c r="A46" s="363">
        <f>+A42+1</f>
        <v>18</v>
      </c>
      <c r="B46" s="348" t="s">
        <v>636</v>
      </c>
      <c r="C46" s="359" t="str">
        <f>+"(Line "&amp;A$41&amp;" / 52; Line "&amp;A$41&amp;" / 52)"</f>
        <v>(Line 16 / 52; Line 16 / 52)</v>
      </c>
      <c r="D46" s="351">
        <f>+D41/52</f>
        <v>0</v>
      </c>
      <c r="E46" s="351"/>
      <c r="F46" s="351"/>
      <c r="G46" s="351"/>
      <c r="H46" s="351"/>
      <c r="I46" s="328">
        <f>+D41/52</f>
        <v>0</v>
      </c>
      <c r="J46" s="349"/>
      <c r="L46" s="1407"/>
      <c r="M46" s="1405"/>
      <c r="N46" s="1405"/>
      <c r="O46" s="1405"/>
      <c r="P46" s="1405"/>
      <c r="Q46" s="298"/>
    </row>
    <row r="47" spans="1:17" ht="15.75">
      <c r="A47" s="363">
        <f>+A46+1</f>
        <v>19</v>
      </c>
      <c r="B47" s="348" t="s">
        <v>637</v>
      </c>
      <c r="C47" s="359" t="str">
        <f>+"(Line "&amp;A$41&amp;" / 260; Line "&amp;A$41&amp;" / 365)"</f>
        <v>(Line 16 / 260; Line 16 / 365)</v>
      </c>
      <c r="D47" s="351">
        <f>+D41/260</f>
        <v>0</v>
      </c>
      <c r="F47" s="351" t="s">
        <v>638</v>
      </c>
      <c r="G47" s="351"/>
      <c r="H47" s="351"/>
      <c r="I47" s="328">
        <f>+D41/365</f>
        <v>0</v>
      </c>
      <c r="J47" s="349"/>
      <c r="L47" s="1407"/>
      <c r="M47" s="1405"/>
      <c r="N47" s="1405"/>
      <c r="O47" s="1405"/>
      <c r="P47" s="1405"/>
      <c r="Q47" s="298"/>
    </row>
    <row r="48" spans="1:17" ht="15.75">
      <c r="A48" s="363">
        <f>+A47+1</f>
        <v>20</v>
      </c>
      <c r="B48" s="348" t="s">
        <v>639</v>
      </c>
      <c r="C48" s="359" t="str">
        <f>+"(Line "&amp;A$41&amp;" / 4160; Line "&amp;A$41&amp;" / 8760) x 1000"</f>
        <v>(Line 16 / 4160; Line 16 / 8760) x 1000</v>
      </c>
      <c r="D48" s="351">
        <f>+D41 / 4160 * 1000</f>
        <v>0</v>
      </c>
      <c r="F48" s="351" t="s">
        <v>640</v>
      </c>
      <c r="G48" s="351"/>
      <c r="H48" s="351"/>
      <c r="I48" s="328">
        <f>+D41 / 8760 * 1000</f>
        <v>0</v>
      </c>
      <c r="J48" s="349"/>
      <c r="L48" s="1407"/>
      <c r="M48" s="1405"/>
      <c r="N48" s="1405"/>
      <c r="O48" s="1405"/>
      <c r="P48" s="1405"/>
      <c r="Q48" s="298"/>
    </row>
    <row r="49" spans="1:17" ht="15.75">
      <c r="A49" s="363"/>
      <c r="B49" s="348"/>
      <c r="C49" s="349"/>
      <c r="D49" s="351"/>
      <c r="F49" s="351" t="s">
        <v>641</v>
      </c>
      <c r="G49" s="351"/>
      <c r="H49" s="351"/>
      <c r="I49" s="328"/>
      <c r="J49" s="349"/>
      <c r="L49" s="1407" t="s">
        <v>165</v>
      </c>
      <c r="M49" s="1405"/>
      <c r="N49" s="1405"/>
      <c r="O49" s="1405"/>
      <c r="P49" s="1405"/>
      <c r="Q49" s="298"/>
    </row>
    <row r="50" spans="1:17" ht="15.75">
      <c r="A50" s="363"/>
      <c r="B50" s="348"/>
      <c r="C50" s="349"/>
      <c r="D50" s="351"/>
      <c r="F50" s="351"/>
      <c r="G50" s="351"/>
      <c r="H50" s="351"/>
      <c r="I50" s="328"/>
      <c r="J50" s="349"/>
      <c r="L50" s="1407" t="s">
        <v>165</v>
      </c>
      <c r="M50" s="1405"/>
      <c r="N50" s="1405"/>
      <c r="O50" s="1405"/>
      <c r="P50" s="1405"/>
      <c r="Q50" s="298"/>
    </row>
    <row r="51" spans="1:17" ht="15.75">
      <c r="A51" s="363">
        <f>+A48+1</f>
        <v>21</v>
      </c>
      <c r="B51" s="360" t="s">
        <v>642</v>
      </c>
      <c r="C51" s="349" t="s">
        <v>643</v>
      </c>
      <c r="D51" s="1375">
        <v>0</v>
      </c>
      <c r="F51" s="361" t="s">
        <v>644</v>
      </c>
      <c r="G51" s="361"/>
      <c r="H51" s="361"/>
      <c r="I51" s="361">
        <f>D51</f>
        <v>0</v>
      </c>
      <c r="J51" s="362" t="s">
        <v>644</v>
      </c>
      <c r="L51" s="1407"/>
      <c r="M51" s="1405"/>
      <c r="N51" s="1405"/>
      <c r="O51" s="1405"/>
      <c r="P51" s="1405"/>
      <c r="Q51" s="298"/>
    </row>
    <row r="52" spans="1:17" ht="15.75">
      <c r="A52" s="363">
        <f>+A51+1</f>
        <v>22</v>
      </c>
      <c r="B52" s="360" t="s">
        <v>642</v>
      </c>
      <c r="C52" s="349"/>
      <c r="D52" s="1375">
        <v>0</v>
      </c>
      <c r="F52" s="361" t="s">
        <v>645</v>
      </c>
      <c r="G52" s="361"/>
      <c r="H52" s="361"/>
      <c r="I52" s="361">
        <f>D52</f>
        <v>0</v>
      </c>
      <c r="J52" s="362" t="s">
        <v>645</v>
      </c>
      <c r="L52" s="1407"/>
      <c r="M52" s="1405"/>
      <c r="N52" s="1405"/>
      <c r="O52" s="1405"/>
      <c r="P52" s="1405"/>
      <c r="Q52" s="298"/>
    </row>
    <row r="53" spans="1:17" ht="15.75">
      <c r="A53" s="363"/>
      <c r="B53" s="339"/>
      <c r="C53" s="348"/>
      <c r="D53" s="349"/>
      <c r="E53" s="364"/>
      <c r="F53" s="364"/>
      <c r="G53" s="364"/>
      <c r="H53" s="364"/>
      <c r="I53" s="364"/>
      <c r="J53" s="364"/>
      <c r="K53" s="364"/>
      <c r="L53" s="1407"/>
      <c r="M53" s="1405"/>
      <c r="N53" s="1405"/>
      <c r="O53" s="1405"/>
      <c r="P53" s="1405"/>
      <c r="Q53" s="298"/>
    </row>
    <row r="54" spans="1:17">
      <c r="A54" s="304"/>
      <c r="B54" s="365"/>
      <c r="C54" s="312"/>
      <c r="D54" s="366"/>
      <c r="E54" s="367"/>
      <c r="F54" s="367"/>
      <c r="G54" s="367"/>
      <c r="H54" s="367"/>
      <c r="I54" s="367"/>
      <c r="J54" s="367"/>
      <c r="K54" s="368" t="str">
        <f>+K1</f>
        <v>Attachment O-ENOI</v>
      </c>
      <c r="L54" s="1404"/>
      <c r="M54" s="1405"/>
      <c r="N54" s="1405"/>
      <c r="O54" s="1405"/>
      <c r="P54" s="1405"/>
      <c r="Q54" s="298"/>
    </row>
    <row r="55" spans="1:17">
      <c r="A55" s="302"/>
      <c r="B55" s="365"/>
      <c r="C55" s="312"/>
      <c r="D55" s="310"/>
      <c r="E55" s="310"/>
      <c r="F55" s="310"/>
      <c r="G55" s="310"/>
      <c r="H55" s="310"/>
      <c r="I55" s="369"/>
      <c r="J55" s="310"/>
      <c r="K55" s="370" t="s">
        <v>646</v>
      </c>
      <c r="L55" s="1404"/>
      <c r="M55" s="1405"/>
      <c r="N55" s="1405"/>
      <c r="O55" s="1405"/>
      <c r="P55" s="1405"/>
      <c r="Q55" s="298"/>
    </row>
    <row r="56" spans="1:17">
      <c r="A56" s="302"/>
      <c r="B56" s="310"/>
      <c r="C56" s="397" t="str">
        <f>+C$3</f>
        <v>MISO Cover</v>
      </c>
      <c r="D56" s="310"/>
      <c r="E56" s="310"/>
      <c r="F56" s="310"/>
      <c r="G56" s="310"/>
      <c r="H56" s="310"/>
      <c r="I56" s="310"/>
      <c r="J56" s="310"/>
      <c r="K56" s="310"/>
      <c r="L56" s="1404"/>
      <c r="M56" s="1405"/>
      <c r="N56" s="1405"/>
      <c r="O56" s="1405"/>
      <c r="P56" s="1405"/>
      <c r="Q56" s="298"/>
    </row>
    <row r="57" spans="1:17">
      <c r="A57" s="302"/>
      <c r="B57" s="365" t="s">
        <v>611</v>
      </c>
      <c r="C57" s="397" t="s">
        <v>612</v>
      </c>
      <c r="E57" s="365"/>
      <c r="F57" s="365"/>
      <c r="G57" s="365"/>
      <c r="H57" s="365"/>
      <c r="I57" s="300"/>
      <c r="J57" s="365"/>
      <c r="K57" s="370" t="str">
        <f>K4</f>
        <v>For  the 12 Months Ended 12/31/2014</v>
      </c>
      <c r="L57" s="1404"/>
      <c r="M57" s="1405"/>
      <c r="N57" s="1405"/>
      <c r="O57" s="1405"/>
      <c r="P57" s="1405"/>
      <c r="Q57" s="298"/>
    </row>
    <row r="58" spans="1:17">
      <c r="A58" s="302"/>
      <c r="B58" s="371"/>
      <c r="C58" s="395" t="s">
        <v>613</v>
      </c>
      <c r="E58" s="308"/>
      <c r="F58" s="308"/>
      <c r="G58" s="308"/>
      <c r="H58" s="308"/>
      <c r="I58" s="308"/>
      <c r="J58" s="308"/>
      <c r="K58" s="308"/>
      <c r="L58" s="1404"/>
      <c r="M58" s="1405"/>
      <c r="N58" s="1405"/>
      <c r="O58" s="1405"/>
      <c r="P58" s="1405"/>
      <c r="Q58" s="298"/>
    </row>
    <row r="59" spans="1:17">
      <c r="A59" s="302"/>
      <c r="B59" s="365"/>
      <c r="C59" s="395" t="str">
        <f>+C6</f>
        <v>Entergy New Orleans, Inc.</v>
      </c>
      <c r="E59" s="308"/>
      <c r="F59" s="308"/>
      <c r="G59" s="308" t="s">
        <v>165</v>
      </c>
      <c r="H59" s="308"/>
      <c r="I59" s="308"/>
      <c r="J59" s="308"/>
      <c r="K59" s="308"/>
      <c r="L59" s="1404"/>
      <c r="M59" s="1405"/>
      <c r="N59" s="1405"/>
      <c r="O59" s="1405"/>
      <c r="P59" s="1405"/>
      <c r="Q59" s="298"/>
    </row>
    <row r="60" spans="1:17">
      <c r="A60" s="302"/>
      <c r="B60" s="302"/>
      <c r="C60" s="395" t="str">
        <f>+C7</f>
        <v>Projected Rate</v>
      </c>
      <c r="D60" s="302"/>
      <c r="E60" s="302"/>
      <c r="F60" s="302"/>
      <c r="G60" s="302"/>
      <c r="H60" s="302"/>
      <c r="I60" s="302"/>
      <c r="J60" s="302"/>
      <c r="K60" s="302"/>
      <c r="L60" s="1404"/>
      <c r="M60" s="1405"/>
      <c r="N60" s="1405"/>
      <c r="O60" s="1405"/>
      <c r="P60" s="1405"/>
      <c r="Q60" s="298"/>
    </row>
    <row r="61" spans="1:17">
      <c r="A61" s="302"/>
      <c r="B61" s="316" t="s">
        <v>271</v>
      </c>
      <c r="C61" s="397" t="s">
        <v>615</v>
      </c>
      <c r="D61" s="316" t="s">
        <v>616</v>
      </c>
      <c r="E61" s="308" t="s">
        <v>165</v>
      </c>
      <c r="F61" s="308"/>
      <c r="G61" s="314" t="s">
        <v>617</v>
      </c>
      <c r="H61" s="308"/>
      <c r="I61" s="314" t="s">
        <v>618</v>
      </c>
      <c r="J61" s="308"/>
      <c r="K61" s="316"/>
      <c r="L61" s="1404"/>
      <c r="M61" s="1405"/>
      <c r="N61" s="1405"/>
      <c r="O61" s="1405"/>
      <c r="P61" s="1405"/>
      <c r="Q61" s="298"/>
    </row>
    <row r="62" spans="1:17">
      <c r="A62" s="302"/>
      <c r="B62" s="365"/>
      <c r="C62" s="399"/>
      <c r="D62" s="308"/>
      <c r="E62" s="308"/>
      <c r="F62" s="322"/>
      <c r="G62" s="375"/>
      <c r="H62" s="322"/>
      <c r="I62" s="400" t="s">
        <v>1262</v>
      </c>
      <c r="J62" s="308"/>
      <c r="K62" s="316"/>
      <c r="L62" s="1404"/>
      <c r="M62" s="1405"/>
      <c r="N62" s="1405"/>
      <c r="O62" s="1405"/>
      <c r="P62" s="1405"/>
      <c r="Q62" s="298"/>
    </row>
    <row r="63" spans="1:17">
      <c r="A63" s="304" t="s">
        <v>619</v>
      </c>
      <c r="B63" s="365"/>
      <c r="C63" s="401" t="s">
        <v>259</v>
      </c>
      <c r="D63" s="372" t="s">
        <v>647</v>
      </c>
      <c r="E63" s="373"/>
      <c r="F63" s="1634" t="s">
        <v>942</v>
      </c>
      <c r="G63" s="1634"/>
      <c r="H63" s="402"/>
      <c r="I63" s="375" t="s">
        <v>649</v>
      </c>
      <c r="J63" s="308"/>
      <c r="K63" s="316"/>
      <c r="L63" s="1404"/>
      <c r="M63" s="1405"/>
      <c r="N63" s="1405"/>
      <c r="O63" s="1405"/>
      <c r="P63" s="1405"/>
      <c r="Q63" s="298"/>
    </row>
    <row r="64" spans="1:17" ht="13.5" thickBot="1">
      <c r="A64" s="318" t="s">
        <v>621</v>
      </c>
      <c r="B64" s="374" t="s">
        <v>650</v>
      </c>
      <c r="C64" s="322"/>
      <c r="D64" s="308"/>
      <c r="E64" s="308"/>
      <c r="F64" s="322"/>
      <c r="G64" s="322"/>
      <c r="H64" s="322"/>
      <c r="I64" s="322"/>
      <c r="J64" s="308"/>
      <c r="K64" s="308"/>
      <c r="L64" s="1404"/>
      <c r="M64" s="1405"/>
      <c r="N64" s="1405"/>
      <c r="O64" s="1405"/>
      <c r="P64" s="1405"/>
      <c r="Q64" s="298"/>
    </row>
    <row r="65" spans="1:17">
      <c r="A65" s="375"/>
      <c r="B65" s="321" t="s">
        <v>651</v>
      </c>
      <c r="C65" s="322"/>
      <c r="D65" s="322"/>
      <c r="E65" s="322"/>
      <c r="F65" s="322"/>
      <c r="G65" s="322"/>
      <c r="H65" s="322"/>
      <c r="I65" s="322"/>
      <c r="J65" s="322"/>
      <c r="K65" s="322"/>
      <c r="L65" s="1404"/>
      <c r="M65" s="1405"/>
      <c r="N65" s="1405"/>
      <c r="O65" s="1405"/>
      <c r="P65" s="1405"/>
      <c r="Q65" s="298"/>
    </row>
    <row r="66" spans="1:17">
      <c r="A66" s="375">
        <v>1</v>
      </c>
      <c r="B66" s="760" t="s">
        <v>898</v>
      </c>
      <c r="C66" s="322" t="str">
        <f>+"WP04 PIS Line "&amp;IF($L$10=0,'WP04 PIS'!A$21,'WP04 PIS'!A$23)&amp;" Column "&amp;'WP04 PIS'!D$5</f>
        <v>WP04 PIS Line 16 Column C</v>
      </c>
      <c r="D66" s="320">
        <f>IF($L$10=0,'WP04 PIS'!D$21,'WP04 PIS'!D$23)</f>
        <v>164277061</v>
      </c>
      <c r="E66" s="322"/>
      <c r="F66" s="322" t="s">
        <v>626</v>
      </c>
      <c r="G66" s="376" t="s">
        <v>165</v>
      </c>
      <c r="H66" s="322"/>
      <c r="I66" s="320"/>
      <c r="J66" s="322"/>
      <c r="K66" s="339"/>
      <c r="L66" s="1408"/>
      <c r="M66" s="1404"/>
      <c r="N66" s="1404"/>
      <c r="O66" s="1404"/>
      <c r="P66" s="1405"/>
      <c r="Q66" s="298"/>
    </row>
    <row r="67" spans="1:17">
      <c r="A67" s="375">
        <f>+A66+1</f>
        <v>2</v>
      </c>
      <c r="B67" s="760" t="s">
        <v>237</v>
      </c>
      <c r="C67" s="322" t="str">
        <f>+"WP04 PIS Line "&amp;IF($L$10=0,'WP04 PIS'!A$21,'WP04 PIS'!A$23)&amp;" Column "&amp;'WP04 PIS'!G$5</f>
        <v>WP04 PIS Line 16 Column F</v>
      </c>
      <c r="D67" s="320">
        <f>IF($L$10=0,'WP04 PIS'!G$21,'WP04 PIS'!G$23)</f>
        <v>104723800.50999999</v>
      </c>
      <c r="E67" s="322"/>
      <c r="F67" s="322" t="s">
        <v>652</v>
      </c>
      <c r="G67" s="326">
        <f>+TP</f>
        <v>0.96671851107895235</v>
      </c>
      <c r="H67" s="327"/>
      <c r="I67" s="320">
        <f>+G67*D67</f>
        <v>101238436.50355642</v>
      </c>
      <c r="J67" s="322"/>
      <c r="K67" s="339"/>
      <c r="L67" s="1405"/>
      <c r="M67" s="1404">
        <f>+D67</f>
        <v>104723800.50999999</v>
      </c>
      <c r="N67" s="1404">
        <f>+D67-M67</f>
        <v>0</v>
      </c>
      <c r="O67" s="1404"/>
      <c r="P67" s="1404"/>
      <c r="Q67" s="298"/>
    </row>
    <row r="68" spans="1:17">
      <c r="A68" s="375" t="str">
        <f>+A67&amp;"a"</f>
        <v>2a</v>
      </c>
      <c r="B68" s="760" t="s">
        <v>1031</v>
      </c>
      <c r="C68" s="322" t="str">
        <f>+"Appendix A Line "&amp;'Appendix A'!A41&amp;" "&amp;$L$6&amp;" Column"</f>
        <v>Appendix A Line 20 Projected Column</v>
      </c>
      <c r="D68" s="320">
        <f>IF($L$10=0,'Appendix A'!H41,'Appendix A'!G41)</f>
        <v>1862416.4833333334</v>
      </c>
      <c r="E68" s="322"/>
      <c r="F68" s="322" t="s">
        <v>652</v>
      </c>
      <c r="G68" s="326">
        <f>+TP</f>
        <v>0.96671851107895235</v>
      </c>
      <c r="H68" s="327"/>
      <c r="I68" s="320">
        <f>+G68*D68</f>
        <v>1800432.4897768986</v>
      </c>
      <c r="J68" s="322"/>
      <c r="K68" s="339"/>
      <c r="L68" s="1409"/>
      <c r="M68" s="1404">
        <f>+D68</f>
        <v>1862416.4833333334</v>
      </c>
      <c r="N68" s="1404"/>
      <c r="O68" s="1404"/>
      <c r="P68" s="1404"/>
      <c r="Q68" s="298"/>
    </row>
    <row r="69" spans="1:17">
      <c r="A69" s="375">
        <f>+A67+1</f>
        <v>3</v>
      </c>
      <c r="B69" s="760" t="s">
        <v>899</v>
      </c>
      <c r="C69" s="322" t="str">
        <f>+"WP04 PIS Line "&amp;IF($L$10=0,'WP04 PIS'!A$21,'WP04 PIS'!A$23)&amp;" Column "&amp;'WP04 PIS'!J$5</f>
        <v>WP04 PIS Line 16 Column I</v>
      </c>
      <c r="D69" s="320">
        <f>IF($L$10=0,'WP04 PIS'!J$21,'WP04 PIS'!J$23)</f>
        <v>540222757</v>
      </c>
      <c r="E69" s="322"/>
      <c r="F69" s="322" t="s">
        <v>626</v>
      </c>
      <c r="G69" s="326" t="s">
        <v>165</v>
      </c>
      <c r="H69" s="327"/>
      <c r="I69" s="320"/>
      <c r="J69" s="322"/>
      <c r="K69" s="339"/>
      <c r="L69" s="1408"/>
      <c r="M69" s="1404"/>
      <c r="N69" s="1404"/>
      <c r="O69" s="1404"/>
      <c r="P69" s="1404"/>
      <c r="Q69" s="298"/>
    </row>
    <row r="70" spans="1:17">
      <c r="A70" s="375">
        <f t="shared" ref="A70:A110" si="1">+A69+1</f>
        <v>4</v>
      </c>
      <c r="B70" s="760" t="s">
        <v>891</v>
      </c>
      <c r="C70" s="322" t="str">
        <f>+"WP04 PIS Line "&amp;IF($L$10=0,'WP04 PIS'!A$21,'WP04 PIS'!A$23)&amp;" Column "&amp;'WP04 PIS'!C$5&amp;" &amp; "&amp;'WP04 PIS'!K5</f>
        <v>WP04 PIS Line 16 Column B &amp; J</v>
      </c>
      <c r="D70" s="320">
        <f>IF($L$10=0,('WP04 PIS'!C$21+'WP04 PIS'!K$21),('WP04 PIS'!C$23+'WP04 PIS'!K$23))</f>
        <v>126471800</v>
      </c>
      <c r="E70" s="322"/>
      <c r="F70" s="322" t="s">
        <v>653</v>
      </c>
      <c r="G70" s="326">
        <f>+WS</f>
        <v>0.10634811541261202</v>
      </c>
      <c r="H70" s="327"/>
      <c r="I70" s="320">
        <f>+G70*D70</f>
        <v>13450037.582840785</v>
      </c>
      <c r="J70" s="322"/>
      <c r="K70" s="339"/>
      <c r="L70" s="1410">
        <f>(D198+D199)/D202</f>
        <v>0.11000939176587933</v>
      </c>
      <c r="M70" s="1404">
        <f>+D70*L70</f>
        <v>13913085.793535937</v>
      </c>
      <c r="N70" s="1404"/>
      <c r="O70" s="1404"/>
      <c r="P70" s="1404"/>
      <c r="Q70" s="298"/>
    </row>
    <row r="71" spans="1:17" ht="13.5" thickBot="1">
      <c r="A71" s="375">
        <f t="shared" si="1"/>
        <v>5</v>
      </c>
      <c r="B71" s="760" t="s">
        <v>1155</v>
      </c>
      <c r="C71" s="322"/>
      <c r="D71" s="378"/>
      <c r="E71" s="322"/>
      <c r="F71" s="322"/>
      <c r="G71" s="326"/>
      <c r="H71" s="327"/>
      <c r="I71" s="378"/>
      <c r="J71" s="322"/>
      <c r="K71" s="339"/>
      <c r="L71" s="1411"/>
      <c r="M71" s="1404"/>
      <c r="N71" s="1404"/>
      <c r="O71" s="1404"/>
      <c r="P71" s="1404"/>
      <c r="Q71" s="298"/>
    </row>
    <row r="72" spans="1:17">
      <c r="A72" s="375">
        <f t="shared" si="1"/>
        <v>6</v>
      </c>
      <c r="B72" s="305" t="s">
        <v>654</v>
      </c>
      <c r="C72" s="312" t="str">
        <f>+"(Sum of Line "&amp;A66&amp;" to Line "&amp;A71&amp;")"</f>
        <v>(Sum of Line 1 to Line 5)</v>
      </c>
      <c r="D72" s="320">
        <f>SUM(D66:D71)</f>
        <v>937557834.99333334</v>
      </c>
      <c r="E72" s="322"/>
      <c r="F72" s="322"/>
      <c r="G72" s="379"/>
      <c r="H72" s="327"/>
      <c r="I72" s="320">
        <f>SUM(I66:I71)</f>
        <v>116488906.5761741</v>
      </c>
      <c r="J72" s="322"/>
      <c r="K72" s="339"/>
      <c r="L72" s="1412"/>
      <c r="M72" s="1404">
        <f>+M67+M68+M70</f>
        <v>120499302.78686926</v>
      </c>
      <c r="N72" s="1404"/>
      <c r="O72" s="1404"/>
      <c r="P72" s="1404"/>
      <c r="Q72" s="298"/>
    </row>
    <row r="73" spans="1:17">
      <c r="A73" s="375"/>
      <c r="B73" s="321"/>
      <c r="C73" s="322"/>
      <c r="D73" s="320"/>
      <c r="E73" s="322"/>
      <c r="F73" s="322"/>
      <c r="G73" s="380"/>
      <c r="H73" s="322"/>
      <c r="I73" s="320"/>
      <c r="J73" s="322"/>
      <c r="K73" s="339"/>
      <c r="L73" s="1409"/>
      <c r="M73" s="1404"/>
      <c r="N73" s="1404"/>
      <c r="O73" s="1404"/>
      <c r="P73" s="1404"/>
      <c r="Q73" s="298"/>
    </row>
    <row r="74" spans="1:17">
      <c r="A74" s="375"/>
      <c r="B74" s="321" t="s">
        <v>655</v>
      </c>
      <c r="C74" s="322"/>
      <c r="D74" s="320"/>
      <c r="E74" s="322"/>
      <c r="F74" s="322"/>
      <c r="G74" s="381"/>
      <c r="H74" s="322"/>
      <c r="I74" s="320"/>
      <c r="J74" s="322"/>
      <c r="K74" s="339"/>
      <c r="L74" s="1408"/>
      <c r="M74" s="1404"/>
      <c r="N74" s="1404"/>
      <c r="O74" s="1404"/>
      <c r="P74" s="1404"/>
      <c r="Q74" s="298"/>
    </row>
    <row r="75" spans="1:17">
      <c r="A75" s="375">
        <f>+A72+1</f>
        <v>7</v>
      </c>
      <c r="B75" s="760" t="s">
        <v>898</v>
      </c>
      <c r="C75" s="322" t="str">
        <f>+"WP04 PIS Line "&amp;IF($L$10=0,'WP04 PIS'!A$40,'WP04 PIS'!A$42)&amp;" Column "&amp;'WP04 PIS'!D$5</f>
        <v>WP04 PIS Line 35 Column C</v>
      </c>
      <c r="D75" s="320">
        <f>IF($L$10=0,'WP04 PIS'!D$40,'WP04 PIS'!D$42)</f>
        <v>168809816</v>
      </c>
      <c r="E75" s="322"/>
      <c r="F75" s="322" t="s">
        <v>626</v>
      </c>
      <c r="G75" s="381" t="s">
        <v>165</v>
      </c>
      <c r="H75" s="322"/>
      <c r="I75" s="320"/>
      <c r="J75" s="322"/>
      <c r="K75" s="339"/>
      <c r="L75" s="1413"/>
      <c r="M75" s="1404"/>
      <c r="N75" s="1404"/>
      <c r="O75" s="1404"/>
      <c r="P75" s="1404"/>
      <c r="Q75" s="298"/>
    </row>
    <row r="76" spans="1:17">
      <c r="A76" s="375">
        <f t="shared" si="1"/>
        <v>8</v>
      </c>
      <c r="B76" s="760" t="s">
        <v>237</v>
      </c>
      <c r="C76" s="322" t="str">
        <f>+"WP04 PIS Line "&amp;IF($L$10=0,'WP04 PIS'!A$40,'WP04 PIS'!A$42)&amp;" Column "&amp;'WP04 PIS'!G$5</f>
        <v>WP04 PIS Line 35 Column F</v>
      </c>
      <c r="D76" s="320">
        <f>IF($L$10=0,'WP04 PIS'!G$40,'WP04 PIS'!G$42)</f>
        <v>61099144.329999998</v>
      </c>
      <c r="E76" s="322"/>
      <c r="F76" s="322" t="s">
        <v>652</v>
      </c>
      <c r="G76" s="326">
        <f>+TP</f>
        <v>0.96671851107895235</v>
      </c>
      <c r="H76" s="327"/>
      <c r="I76" s="320">
        <f>+G76*D76</f>
        <v>59065673.834895611</v>
      </c>
      <c r="J76" s="322"/>
      <c r="K76" s="339"/>
      <c r="L76" s="1408"/>
      <c r="M76" s="1404">
        <f>+D76</f>
        <v>61099144.329999998</v>
      </c>
      <c r="N76" s="1404">
        <f>+D76-M76</f>
        <v>0</v>
      </c>
      <c r="O76" s="1404"/>
      <c r="P76" s="1404"/>
      <c r="Q76" s="298"/>
    </row>
    <row r="77" spans="1:17">
      <c r="A77" s="375" t="str">
        <f>+A76&amp;"a"</f>
        <v>8a</v>
      </c>
      <c r="B77" s="760" t="s">
        <v>1031</v>
      </c>
      <c r="C77" s="322"/>
      <c r="D77" s="320"/>
      <c r="E77" s="322"/>
      <c r="F77" s="322"/>
      <c r="G77" s="326"/>
      <c r="H77" s="327"/>
      <c r="I77" s="320"/>
      <c r="J77" s="322"/>
      <c r="K77" s="339"/>
      <c r="L77" s="1408"/>
      <c r="M77" s="1404"/>
      <c r="N77" s="1404"/>
      <c r="O77" s="1404"/>
      <c r="P77" s="1404"/>
      <c r="Q77" s="298"/>
    </row>
    <row r="78" spans="1:17">
      <c r="A78" s="375">
        <f>+A76+1</f>
        <v>9</v>
      </c>
      <c r="B78" s="760" t="s">
        <v>899</v>
      </c>
      <c r="C78" s="322" t="str">
        <f>+"WP04 PIS Line "&amp;IF($L$10=0,'WP04 PIS'!A$40,'WP04 PIS'!A$42)&amp;" Column "&amp;'WP04 PIS'!J$5</f>
        <v>WP04 PIS Line 35 Column I</v>
      </c>
      <c r="D78" s="320">
        <f>IF($L$10=0,'WP04 PIS'!J$40,'WP04 PIS'!J$42)</f>
        <v>154756044</v>
      </c>
      <c r="E78" s="322"/>
      <c r="F78" s="322" t="s">
        <v>626</v>
      </c>
      <c r="G78" s="326" t="str">
        <f>+G69</f>
        <v xml:space="preserve"> </v>
      </c>
      <c r="H78" s="327"/>
      <c r="I78" s="320" t="s">
        <v>165</v>
      </c>
      <c r="J78" s="322"/>
      <c r="K78" s="339"/>
      <c r="L78" s="1408"/>
      <c r="M78" s="1404"/>
      <c r="N78" s="1404"/>
      <c r="O78" s="1404"/>
      <c r="P78" s="1404"/>
      <c r="Q78" s="298"/>
    </row>
    <row r="79" spans="1:17">
      <c r="A79" s="375">
        <f t="shared" si="1"/>
        <v>10</v>
      </c>
      <c r="B79" s="760" t="s">
        <v>891</v>
      </c>
      <c r="C79" s="322" t="str">
        <f>+"WP04 PIS Line "&amp;IF($L$10=0,'WP04 PIS'!A$40,'WP04 PIS'!A$42)&amp;" Column "&amp;'WP04 PIS'!C$5&amp;" &amp; "&amp;'WP04 PIS'!K5</f>
        <v>WP04 PIS Line 35 Column B &amp; J</v>
      </c>
      <c r="D79" s="320">
        <f>IF($L$10=0,('WP04 PIS'!C$40+'WP04 PIS'!K$40),('WP04 PIS'!C$42+'WP04 PIS'!K$42))</f>
        <v>63993272</v>
      </c>
      <c r="E79" s="322"/>
      <c r="F79" s="322" t="s">
        <v>653</v>
      </c>
      <c r="G79" s="326">
        <f>+WS</f>
        <v>0.10634811541261202</v>
      </c>
      <c r="H79" s="327"/>
      <c r="I79" s="320">
        <f>+G79*D79</f>
        <v>6805563.8762866734</v>
      </c>
      <c r="J79" s="322"/>
      <c r="K79" s="339"/>
      <c r="L79" s="1410">
        <f>+L70</f>
        <v>0.11000939176587933</v>
      </c>
      <c r="M79" s="1404">
        <f>+D79*L79</f>
        <v>7039860.9298284762</v>
      </c>
      <c r="N79" s="1404"/>
      <c r="O79" s="1404"/>
      <c r="P79" s="1404"/>
      <c r="Q79" s="298"/>
    </row>
    <row r="80" spans="1:17" ht="13.5" thickBot="1">
      <c r="A80" s="375">
        <f t="shared" si="1"/>
        <v>11</v>
      </c>
      <c r="B80" s="760" t="s">
        <v>1155</v>
      </c>
      <c r="C80" s="322"/>
      <c r="D80" s="378"/>
      <c r="E80" s="322"/>
      <c r="F80" s="328"/>
      <c r="G80" s="326"/>
      <c r="H80" s="327"/>
      <c r="I80" s="378"/>
      <c r="J80" s="322"/>
      <c r="K80" s="339"/>
      <c r="L80" s="1408"/>
      <c r="M80" s="1404"/>
      <c r="N80" s="1404"/>
      <c r="O80" s="1404"/>
      <c r="P80" s="1404"/>
      <c r="Q80" s="298"/>
    </row>
    <row r="81" spans="1:17">
      <c r="A81" s="375">
        <f t="shared" si="1"/>
        <v>12</v>
      </c>
      <c r="B81" s="321" t="s">
        <v>656</v>
      </c>
      <c r="C81" s="312" t="str">
        <f>+"(Sum of Line "&amp;A75&amp;" to Line "&amp;A80&amp;")"</f>
        <v>(Sum of Line 7 to Line 11)</v>
      </c>
      <c r="D81" s="320">
        <f>SUM(D75:D80)</f>
        <v>448658276.32999998</v>
      </c>
      <c r="E81" s="322"/>
      <c r="F81" s="322"/>
      <c r="G81" s="328"/>
      <c r="H81" s="327"/>
      <c r="I81" s="320">
        <f>SUM(I75:I80)</f>
        <v>65871237.711182281</v>
      </c>
      <c r="J81" s="322"/>
      <c r="K81" s="339"/>
      <c r="L81" s="1408"/>
      <c r="M81" s="1404">
        <f>+M76+M79</f>
        <v>68139005.259828478</v>
      </c>
      <c r="N81" s="1404"/>
      <c r="O81" s="1404"/>
      <c r="P81" s="1404"/>
      <c r="Q81" s="298"/>
    </row>
    <row r="82" spans="1:17">
      <c r="A82" s="375"/>
      <c r="B82" s="333"/>
      <c r="C82" s="322" t="s">
        <v>165</v>
      </c>
      <c r="D82" s="320"/>
      <c r="E82" s="322"/>
      <c r="F82" s="322"/>
      <c r="G82" s="358"/>
      <c r="H82" s="322"/>
      <c r="I82" s="320"/>
      <c r="J82" s="322"/>
      <c r="K82" s="339"/>
      <c r="L82" s="1409"/>
      <c r="M82" s="1404"/>
      <c r="N82" s="1404"/>
      <c r="O82" s="1404"/>
      <c r="P82" s="1404"/>
      <c r="Q82" s="298"/>
    </row>
    <row r="83" spans="1:17">
      <c r="A83" s="375"/>
      <c r="B83" s="321" t="s">
        <v>657</v>
      </c>
      <c r="C83" s="322"/>
      <c r="D83" s="320"/>
      <c r="E83" s="322"/>
      <c r="F83" s="322"/>
      <c r="G83" s="328"/>
      <c r="H83" s="322"/>
      <c r="I83" s="320"/>
      <c r="J83" s="322"/>
      <c r="K83" s="339"/>
      <c r="L83" s="1408"/>
      <c r="M83" s="1404"/>
      <c r="N83" s="1404"/>
      <c r="O83" s="1404"/>
      <c r="P83" s="1404"/>
      <c r="Q83" s="298"/>
    </row>
    <row r="84" spans="1:17">
      <c r="A84" s="375">
        <f>+A81+1</f>
        <v>13</v>
      </c>
      <c r="B84" s="760" t="s">
        <v>898</v>
      </c>
      <c r="C84" s="322" t="str">
        <f>"(Line "&amp;A66&amp;" - Line "&amp;A75&amp;")"</f>
        <v>(Line 1 - Line 7)</v>
      </c>
      <c r="D84" s="320">
        <f t="shared" ref="D84:D88" si="2">D66-D75</f>
        <v>-4532755</v>
      </c>
      <c r="E84" s="327"/>
      <c r="F84" s="327"/>
      <c r="G84" s="358"/>
      <c r="H84" s="327"/>
      <c r="I84" s="320" t="s">
        <v>165</v>
      </c>
      <c r="J84" s="322"/>
      <c r="K84" s="339"/>
      <c r="L84" s="1409"/>
      <c r="M84" s="1404"/>
      <c r="N84" s="1404"/>
      <c r="O84" s="1404"/>
      <c r="P84" s="1404"/>
      <c r="Q84" s="298"/>
    </row>
    <row r="85" spans="1:17">
      <c r="A85" s="375">
        <f t="shared" si="1"/>
        <v>14</v>
      </c>
      <c r="B85" s="760" t="s">
        <v>237</v>
      </c>
      <c r="C85" s="322" t="str">
        <f>"(Line "&amp;A67&amp;" - Line "&amp;A76&amp;")"</f>
        <v>(Line 2 - Line 8)</v>
      </c>
      <c r="D85" s="320">
        <f t="shared" si="2"/>
        <v>43624656.179999992</v>
      </c>
      <c r="E85" s="327"/>
      <c r="F85" s="327"/>
      <c r="G85" s="328"/>
      <c r="H85" s="327"/>
      <c r="I85" s="320">
        <f>I67-I76</f>
        <v>42172762.668660805</v>
      </c>
      <c r="J85" s="322"/>
      <c r="K85" s="339"/>
      <c r="L85" s="1409"/>
      <c r="M85" s="1404">
        <f t="shared" ref="M85:M86" si="3">M67-M76</f>
        <v>43624656.179999992</v>
      </c>
      <c r="N85" s="1404">
        <f>+D85-M85</f>
        <v>0</v>
      </c>
      <c r="O85" s="1404"/>
      <c r="P85" s="1404"/>
      <c r="Q85" s="298"/>
    </row>
    <row r="86" spans="1:17">
      <c r="A86" s="375" t="str">
        <f>+A85&amp;"a"</f>
        <v>14a</v>
      </c>
      <c r="B86" s="760" t="s">
        <v>1031</v>
      </c>
      <c r="C86" s="322" t="str">
        <f>"(Line "&amp;A68&amp;" - Line "&amp;A77&amp;")"</f>
        <v>(Line 2a - Line 8a)</v>
      </c>
      <c r="D86" s="320">
        <f t="shared" si="2"/>
        <v>1862416.4833333334</v>
      </c>
      <c r="E86" s="327"/>
      <c r="F86" s="327"/>
      <c r="G86" s="328"/>
      <c r="H86" s="327"/>
      <c r="I86" s="320">
        <f>I68-I77</f>
        <v>1800432.4897768986</v>
      </c>
      <c r="J86" s="322"/>
      <c r="K86" s="339"/>
      <c r="L86" s="1409"/>
      <c r="M86" s="1404">
        <f t="shared" si="3"/>
        <v>1862416.4833333334</v>
      </c>
      <c r="N86" s="1404"/>
      <c r="O86" s="1404"/>
      <c r="P86" s="1404"/>
      <c r="Q86" s="298"/>
    </row>
    <row r="87" spans="1:17">
      <c r="A87" s="375">
        <f>+A85+1</f>
        <v>15</v>
      </c>
      <c r="B87" s="760" t="s">
        <v>899</v>
      </c>
      <c r="C87" s="322" t="str">
        <f>"(Line "&amp;A69&amp;" - Line "&amp;A78&amp;")"</f>
        <v>(Line 3 - Line 9)</v>
      </c>
      <c r="D87" s="320">
        <f t="shared" si="2"/>
        <v>385466713</v>
      </c>
      <c r="E87" s="327"/>
      <c r="F87" s="327"/>
      <c r="G87" s="358"/>
      <c r="H87" s="327"/>
      <c r="I87" s="320" t="s">
        <v>165</v>
      </c>
      <c r="J87" s="322"/>
      <c r="K87" s="339"/>
      <c r="L87" s="1409"/>
      <c r="M87" s="1404"/>
      <c r="N87" s="1404"/>
      <c r="O87" s="1404"/>
      <c r="P87" s="1404"/>
      <c r="Q87" s="298"/>
    </row>
    <row r="88" spans="1:17">
      <c r="A88" s="375">
        <f t="shared" si="1"/>
        <v>16</v>
      </c>
      <c r="B88" s="760" t="s">
        <v>891</v>
      </c>
      <c r="C88" s="322" t="str">
        <f>"(Line "&amp;A70&amp;" - Line "&amp;A79&amp;")"</f>
        <v>(Line 4 - Line 10)</v>
      </c>
      <c r="D88" s="320">
        <f t="shared" si="2"/>
        <v>62478528</v>
      </c>
      <c r="E88" s="327"/>
      <c r="F88" s="327"/>
      <c r="G88" s="358"/>
      <c r="H88" s="327"/>
      <c r="I88" s="320">
        <f>I70-I79</f>
        <v>6644473.706554112</v>
      </c>
      <c r="J88" s="322"/>
      <c r="K88" s="339"/>
      <c r="L88" s="1409"/>
      <c r="M88" s="1404">
        <f>M70-M79</f>
        <v>6873224.8637074605</v>
      </c>
      <c r="N88" s="1404"/>
      <c r="O88" s="1404"/>
      <c r="P88" s="1404"/>
      <c r="Q88" s="298"/>
    </row>
    <row r="89" spans="1:17" ht="13.5" thickBot="1">
      <c r="A89" s="375">
        <f t="shared" si="1"/>
        <v>17</v>
      </c>
      <c r="B89" s="760" t="s">
        <v>1155</v>
      </c>
      <c r="C89" s="322"/>
      <c r="D89" s="378"/>
      <c r="E89" s="327"/>
      <c r="F89" s="327"/>
      <c r="G89" s="358"/>
      <c r="H89" s="327"/>
      <c r="I89" s="378"/>
      <c r="J89" s="322"/>
      <c r="K89" s="339"/>
      <c r="L89" s="1409"/>
      <c r="M89" s="1404"/>
      <c r="N89" s="1404"/>
      <c r="O89" s="1404"/>
      <c r="P89" s="1404"/>
      <c r="Q89" s="298"/>
    </row>
    <row r="90" spans="1:17">
      <c r="A90" s="375">
        <f t="shared" si="1"/>
        <v>18</v>
      </c>
      <c r="B90" s="321" t="s">
        <v>658</v>
      </c>
      <c r="C90" s="312" t="str">
        <f>+"(Sum of Line "&amp;A84&amp;" to Line "&amp;A89&amp;")"</f>
        <v>(Sum of Line 13 to Line 17)</v>
      </c>
      <c r="D90" s="320">
        <f>SUM(D84:D89)</f>
        <v>488899558.6633333</v>
      </c>
      <c r="E90" s="327"/>
      <c r="F90" s="327"/>
      <c r="G90" s="379"/>
      <c r="H90" s="327"/>
      <c r="I90" s="320">
        <f>SUM(I84:I89)</f>
        <v>50617668.864991821</v>
      </c>
      <c r="J90" s="322"/>
      <c r="K90" s="339"/>
      <c r="L90" s="1408"/>
      <c r="M90" s="1404">
        <f>SUM(M84:M89)</f>
        <v>52360297.527040787</v>
      </c>
      <c r="N90" s="1404"/>
      <c r="O90" s="1404"/>
      <c r="P90" s="1404"/>
      <c r="Q90" s="298"/>
    </row>
    <row r="91" spans="1:17">
      <c r="A91" s="375"/>
      <c r="B91" s="321"/>
      <c r="C91" s="322"/>
      <c r="D91" s="320"/>
      <c r="E91" s="327"/>
      <c r="F91" s="327"/>
      <c r="G91" s="358"/>
      <c r="H91" s="327"/>
      <c r="I91" s="320"/>
      <c r="J91" s="322"/>
      <c r="K91" s="339"/>
      <c r="L91" s="1408"/>
      <c r="M91" s="1404"/>
      <c r="N91" s="1404"/>
      <c r="O91" s="1404"/>
      <c r="P91" s="1404"/>
      <c r="Q91" s="298"/>
    </row>
    <row r="92" spans="1:17" s="386" customFormat="1">
      <c r="A92" s="375" t="s">
        <v>933</v>
      </c>
      <c r="B92" s="1192" t="s">
        <v>1155</v>
      </c>
      <c r="C92" s="384"/>
      <c r="D92" s="1193"/>
      <c r="E92" s="1194"/>
      <c r="F92" s="382"/>
      <c r="G92" s="1195"/>
      <c r="H92" s="382"/>
      <c r="I92" s="383"/>
      <c r="J92" s="384"/>
      <c r="K92" s="385"/>
      <c r="L92" s="1414"/>
      <c r="M92" s="1415"/>
      <c r="N92" s="1415"/>
      <c r="O92" s="1415"/>
      <c r="P92" s="1415"/>
    </row>
    <row r="93" spans="1:17">
      <c r="A93" s="375"/>
      <c r="B93" s="333"/>
      <c r="C93" s="322"/>
      <c r="D93" s="1492"/>
      <c r="E93" s="384"/>
      <c r="F93" s="1493"/>
      <c r="G93" s="333"/>
      <c r="H93" s="322"/>
      <c r="I93" s="320"/>
      <c r="J93" s="322"/>
      <c r="K93" s="339"/>
      <c r="L93" s="1409"/>
      <c r="M93" s="1404"/>
      <c r="N93" s="1404"/>
      <c r="O93" s="1404"/>
      <c r="P93" s="1404"/>
      <c r="Q93" s="298"/>
    </row>
    <row r="94" spans="1:17">
      <c r="A94" s="375"/>
      <c r="B94" s="305" t="s">
        <v>659</v>
      </c>
      <c r="C94" s="322"/>
      <c r="D94" s="320"/>
      <c r="E94" s="322"/>
      <c r="F94" s="322"/>
      <c r="G94" s="322"/>
      <c r="H94" s="322"/>
      <c r="I94" s="320"/>
      <c r="J94" s="322"/>
      <c r="K94" s="339"/>
      <c r="L94" s="1408"/>
      <c r="M94" s="1404"/>
      <c r="N94" s="1404"/>
      <c r="O94" s="1404"/>
      <c r="P94" s="1404"/>
      <c r="Q94" s="298"/>
    </row>
    <row r="95" spans="1:17">
      <c r="A95" s="375">
        <f>+A90+1</f>
        <v>19</v>
      </c>
      <c r="B95" s="760" t="s">
        <v>246</v>
      </c>
      <c r="C95" s="322" t="str">
        <f>+"Appendix A Line "&amp;'Appendix A'!A75&amp;" "&amp;$L$6&amp;" Column"</f>
        <v>Appendix A Line 43 Projected Column</v>
      </c>
      <c r="D95" s="320">
        <f>IF($L$10=0,'Appendix A'!$H$75,'Appendix A'!$G$75)</f>
        <v>-14023670.699163156</v>
      </c>
      <c r="E95" s="322"/>
      <c r="F95" s="322" t="s">
        <v>652</v>
      </c>
      <c r="G95" s="1394">
        <f>+TP</f>
        <v>0.96671851107895235</v>
      </c>
      <c r="H95" s="327"/>
      <c r="I95" s="320">
        <f>+G95*D95</f>
        <v>-13556942.058156537</v>
      </c>
      <c r="J95" s="322"/>
      <c r="K95" s="339"/>
      <c r="L95" s="1409"/>
      <c r="M95" s="1404">
        <f>+D95</f>
        <v>-14023670.699163156</v>
      </c>
      <c r="N95" s="1404"/>
      <c r="O95" s="1404"/>
      <c r="P95" s="1404"/>
      <c r="Q95" s="298"/>
    </row>
    <row r="96" spans="1:17">
      <c r="B96" s="339"/>
      <c r="C96" s="339"/>
      <c r="D96" s="339"/>
      <c r="E96" s="339"/>
      <c r="F96" s="339"/>
      <c r="G96" s="339"/>
      <c r="H96" s="339"/>
      <c r="I96" s="339"/>
      <c r="L96" s="1404"/>
      <c r="M96" s="1404"/>
      <c r="N96" s="1404"/>
      <c r="O96" s="1405"/>
      <c r="P96" s="1404"/>
    </row>
    <row r="97" spans="1:17">
      <c r="A97" s="375">
        <f>+A95+1</f>
        <v>20</v>
      </c>
      <c r="B97" s="760" t="s">
        <v>1155</v>
      </c>
      <c r="C97" s="322"/>
      <c r="D97" s="383"/>
      <c r="E97" s="322"/>
      <c r="F97" s="322"/>
      <c r="G97" s="387"/>
      <c r="H97" s="327"/>
      <c r="I97" s="320"/>
      <c r="J97" s="322"/>
      <c r="K97" s="339"/>
      <c r="L97" s="1409"/>
      <c r="M97" s="1404"/>
      <c r="N97" s="1404"/>
      <c r="O97" s="1404"/>
      <c r="P97" s="1404"/>
      <c r="Q97" s="298"/>
    </row>
    <row r="98" spans="1:17">
      <c r="A98" s="375">
        <f t="shared" si="1"/>
        <v>21</v>
      </c>
      <c r="B98" s="760" t="s">
        <v>1155</v>
      </c>
      <c r="C98" s="322"/>
      <c r="D98" s="383"/>
      <c r="E98" s="322"/>
      <c r="F98" s="322"/>
      <c r="G98" s="387"/>
      <c r="H98" s="327"/>
      <c r="I98" s="320"/>
      <c r="J98" s="322"/>
      <c r="K98" s="339"/>
      <c r="L98" s="1409"/>
      <c r="M98" s="1404"/>
      <c r="N98" s="1404"/>
      <c r="O98" s="1404"/>
      <c r="P98" s="1404"/>
      <c r="Q98" s="298"/>
    </row>
    <row r="99" spans="1:17">
      <c r="A99" s="375">
        <f>+A98+1</f>
        <v>22</v>
      </c>
      <c r="B99" s="766" t="s">
        <v>600</v>
      </c>
      <c r="C99" s="322" t="str">
        <f>+"Appendix A Line "&amp;+'Appendix A'!A87&amp;" "&amp;$L$6&amp;" Column"</f>
        <v>Appendix A Line 52 Projected Column</v>
      </c>
      <c r="D99" s="320">
        <f>IF($L$10=0,'Appendix A'!H87,'Appendix A'!G87)</f>
        <v>-780144.26675051695</v>
      </c>
      <c r="E99" s="322"/>
      <c r="F99" s="322" t="s">
        <v>652</v>
      </c>
      <c r="G99" s="1394">
        <f>+TP</f>
        <v>0.96671851107895235</v>
      </c>
      <c r="H99" s="327"/>
      <c r="I99" s="383">
        <f>+D99*G99</f>
        <v>-754179.9039798408</v>
      </c>
      <c r="J99" s="322"/>
      <c r="K99" s="339"/>
      <c r="L99" s="1409"/>
      <c r="M99" s="1404">
        <f>+D99</f>
        <v>-780144.26675051695</v>
      </c>
      <c r="N99" s="1404"/>
      <c r="O99" s="1404"/>
      <c r="P99" s="1404"/>
      <c r="Q99" s="298"/>
    </row>
    <row r="100" spans="1:17">
      <c r="A100" s="375">
        <f>+A99+1</f>
        <v>23</v>
      </c>
      <c r="B100" s="760" t="s">
        <v>1155</v>
      </c>
      <c r="C100" s="322"/>
      <c r="D100" s="320"/>
      <c r="E100" s="382"/>
      <c r="F100" s="322"/>
      <c r="G100" s="387"/>
      <c r="H100" s="327"/>
      <c r="I100" s="383"/>
      <c r="J100" s="339"/>
      <c r="K100" s="339"/>
      <c r="L100" s="1409"/>
      <c r="M100" s="1404"/>
      <c r="N100" s="1404"/>
      <c r="O100" s="1404"/>
      <c r="P100" s="1404"/>
      <c r="Q100" s="298"/>
    </row>
    <row r="101" spans="1:17" s="386" customFormat="1" ht="13.5" thickBot="1">
      <c r="A101" s="375" t="str">
        <f>+A100&amp;"a"</f>
        <v>23a</v>
      </c>
      <c r="B101" s="1196" t="s">
        <v>1155</v>
      </c>
      <c r="C101" s="322"/>
      <c r="D101" s="378"/>
      <c r="E101" s="382"/>
      <c r="F101" s="382"/>
      <c r="G101" s="1195"/>
      <c r="H101" s="382"/>
      <c r="I101" s="378"/>
      <c r="J101" s="385"/>
      <c r="K101" s="385"/>
      <c r="L101" s="1416"/>
      <c r="M101" s="1415"/>
      <c r="N101" s="1415"/>
      <c r="O101" s="1415"/>
      <c r="P101" s="1415"/>
    </row>
    <row r="102" spans="1:17">
      <c r="A102" s="375">
        <f>+A100+1</f>
        <v>24</v>
      </c>
      <c r="B102" s="321" t="s">
        <v>660</v>
      </c>
      <c r="C102" s="312" t="str">
        <f>+"(Sum of Line "&amp;A95&amp;" to Line "&amp;A101&amp;")"</f>
        <v>(Sum of Line 19 to Line 23a)</v>
      </c>
      <c r="D102" s="320">
        <f>SUM(D95:D101)</f>
        <v>-14803814.965913672</v>
      </c>
      <c r="E102" s="322"/>
      <c r="F102" s="322"/>
      <c r="G102" s="327"/>
      <c r="H102" s="327"/>
      <c r="I102" s="320">
        <f>SUM(I95:I101)</f>
        <v>-14311121.962136379</v>
      </c>
      <c r="J102" s="322"/>
      <c r="K102" s="339"/>
      <c r="L102" s="1408"/>
      <c r="M102" s="1404">
        <f>+D102</f>
        <v>-14803814.965913672</v>
      </c>
      <c r="N102" s="1404"/>
      <c r="O102" s="1404"/>
      <c r="P102" s="1404"/>
      <c r="Q102" s="298"/>
    </row>
    <row r="103" spans="1:17">
      <c r="A103" s="375"/>
      <c r="B103" s="333"/>
      <c r="C103" s="322"/>
      <c r="D103" s="320"/>
      <c r="E103" s="322"/>
      <c r="F103" s="322"/>
      <c r="G103" s="388"/>
      <c r="H103" s="322"/>
      <c r="I103" s="320"/>
      <c r="J103" s="322"/>
      <c r="K103" s="339"/>
      <c r="L103" s="1409"/>
      <c r="M103" s="1404"/>
      <c r="N103" s="1404"/>
      <c r="O103" s="1404"/>
      <c r="P103" s="1404"/>
      <c r="Q103" s="298"/>
    </row>
    <row r="104" spans="1:17">
      <c r="A104" s="375">
        <f>+A102+1</f>
        <v>25</v>
      </c>
      <c r="B104" s="305" t="s">
        <v>661</v>
      </c>
      <c r="C104" s="322" t="str">
        <f>+"Appendix A Line "&amp;+'Appendix A'!A106&amp;" "&amp;$L$6&amp;" Column"</f>
        <v>Appendix A Line 66 Projected Column</v>
      </c>
      <c r="D104" s="320">
        <f>IF($L$10=0,'Appendix A'!H106,'Appendix A'!G106)</f>
        <v>0</v>
      </c>
      <c r="E104" s="322"/>
      <c r="F104" s="322" t="s">
        <v>652</v>
      </c>
      <c r="G104" s="326">
        <f>+TP</f>
        <v>0.96671851107895235</v>
      </c>
      <c r="H104" s="327"/>
      <c r="I104" s="320">
        <f>+G104*D104</f>
        <v>0</v>
      </c>
      <c r="J104" s="322"/>
      <c r="K104" s="339"/>
      <c r="L104" s="1408"/>
      <c r="M104" s="1404">
        <f>+D104</f>
        <v>0</v>
      </c>
      <c r="N104" s="1404"/>
      <c r="O104" s="1404"/>
      <c r="P104" s="1404"/>
      <c r="Q104" s="298"/>
    </row>
    <row r="105" spans="1:17">
      <c r="A105" s="375"/>
      <c r="B105" s="321"/>
      <c r="C105" s="322"/>
      <c r="D105" s="320"/>
      <c r="E105" s="322"/>
      <c r="F105" s="322"/>
      <c r="G105" s="326"/>
      <c r="H105" s="327"/>
      <c r="I105" s="320"/>
      <c r="J105" s="322"/>
      <c r="K105" s="339"/>
      <c r="L105" s="1408"/>
      <c r="M105" s="1404"/>
      <c r="N105" s="1404"/>
      <c r="O105" s="1404"/>
      <c r="P105" s="1404"/>
      <c r="Q105" s="298"/>
    </row>
    <row r="106" spans="1:17">
      <c r="A106" s="375"/>
      <c r="B106" s="321" t="s">
        <v>662</v>
      </c>
      <c r="C106" s="322"/>
      <c r="D106" s="320"/>
      <c r="E106" s="322"/>
      <c r="F106" s="322"/>
      <c r="G106" s="326"/>
      <c r="H106" s="327"/>
      <c r="I106" s="320"/>
      <c r="J106" s="322"/>
      <c r="K106" s="339"/>
      <c r="L106" s="1408"/>
      <c r="M106" s="1404"/>
      <c r="N106" s="1404"/>
      <c r="O106" s="1404"/>
      <c r="P106" s="1404"/>
      <c r="Q106" s="298"/>
    </row>
    <row r="107" spans="1:17">
      <c r="A107" s="375">
        <f>+A104+1</f>
        <v>26</v>
      </c>
      <c r="B107" s="760" t="s">
        <v>1155</v>
      </c>
      <c r="C107" s="333"/>
      <c r="D107" s="320"/>
      <c r="E107" s="322"/>
      <c r="F107" s="322"/>
      <c r="G107" s="389"/>
      <c r="H107" s="327"/>
      <c r="I107" s="320"/>
      <c r="J107" s="312"/>
      <c r="K107" s="339"/>
      <c r="L107" s="1409"/>
      <c r="M107" s="1404">
        <f>+I107</f>
        <v>0</v>
      </c>
      <c r="N107" s="1404"/>
      <c r="O107" s="1404"/>
      <c r="P107" s="1404"/>
      <c r="Q107" s="298"/>
    </row>
    <row r="108" spans="1:17">
      <c r="A108" s="375">
        <f t="shared" si="1"/>
        <v>27</v>
      </c>
      <c r="B108" s="760" t="s">
        <v>262</v>
      </c>
      <c r="C108" s="322" t="str">
        <f>+"Appendix A Line "&amp;+'Appendix A'!A94&amp;" "&amp;$L$6&amp;" Column"</f>
        <v>Appendix A Line 57 Projected Column</v>
      </c>
      <c r="D108" s="320">
        <f>IF($L$10=0,'Appendix A'!H94,'Appendix A'!G94)</f>
        <v>154255.43146420404</v>
      </c>
      <c r="E108" s="322"/>
      <c r="F108" s="322" t="s">
        <v>652</v>
      </c>
      <c r="G108" s="326">
        <f>+TP</f>
        <v>0.96671851107895235</v>
      </c>
      <c r="H108" s="327"/>
      <c r="I108" s="320">
        <f>+G108*D108</f>
        <v>149121.58103091671</v>
      </c>
      <c r="J108" s="322" t="s">
        <v>165</v>
      </c>
      <c r="K108" s="339"/>
      <c r="L108" s="1409"/>
      <c r="M108" s="1404">
        <f>+D108</f>
        <v>154255.43146420404</v>
      </c>
      <c r="N108" s="1404"/>
      <c r="O108" s="1404"/>
      <c r="P108" s="1404"/>
      <c r="Q108" s="298"/>
    </row>
    <row r="109" spans="1:17" ht="13.5" thickBot="1">
      <c r="A109" s="375">
        <f t="shared" si="1"/>
        <v>28</v>
      </c>
      <c r="B109" s="760" t="s">
        <v>897</v>
      </c>
      <c r="C109" s="322" t="str">
        <f>+"Appendix A Line "&amp;+'Appendix A'!A104&amp;" "&amp;$L$6&amp;" Column"</f>
        <v>Appendix A Line 65 Projected Column</v>
      </c>
      <c r="D109" s="378">
        <f>IF($L$10=0,'Appendix A'!H104,'Appendix A'!G104)</f>
        <v>855577.8237573558</v>
      </c>
      <c r="E109" s="322"/>
      <c r="F109" s="322" t="s">
        <v>652</v>
      </c>
      <c r="G109" s="326">
        <f>+TP</f>
        <v>0.96671851107895235</v>
      </c>
      <c r="H109" s="327"/>
      <c r="I109" s="378">
        <f>+G109*D109</f>
        <v>827102.91989488131</v>
      </c>
      <c r="J109" s="322"/>
      <c r="K109" s="339"/>
      <c r="L109" s="1409"/>
      <c r="M109" s="1417">
        <f>+D109</f>
        <v>855577.8237573558</v>
      </c>
      <c r="N109" s="1404"/>
      <c r="O109" s="1404"/>
      <c r="P109" s="1404"/>
      <c r="Q109" s="298"/>
    </row>
    <row r="110" spans="1:17">
      <c r="A110" s="375">
        <f t="shared" si="1"/>
        <v>29</v>
      </c>
      <c r="B110" s="321" t="s">
        <v>663</v>
      </c>
      <c r="C110" s="312" t="str">
        <f>+"(Sum of Lines "&amp;A107&amp;" to "&amp;A109&amp;")"</f>
        <v>(Sum of Lines 26 to 28)</v>
      </c>
      <c r="D110" s="320">
        <f>SUM(D107:D109)</f>
        <v>1009833.2552215599</v>
      </c>
      <c r="E110" s="312"/>
      <c r="F110" s="312"/>
      <c r="G110" s="390"/>
      <c r="H110" s="390"/>
      <c r="I110" s="320">
        <f>I107+I108+I109</f>
        <v>976224.50092579797</v>
      </c>
      <c r="J110" s="312"/>
      <c r="K110" s="339"/>
      <c r="L110" s="1418"/>
      <c r="M110" s="1404">
        <f>+M107+M108+M109</f>
        <v>1009833.2552215599</v>
      </c>
      <c r="N110" s="1404"/>
      <c r="O110" s="1404"/>
      <c r="P110" s="1404"/>
      <c r="Q110" s="298"/>
    </row>
    <row r="111" spans="1:17" ht="13.5" thickBot="1">
      <c r="A111" s="375"/>
      <c r="B111" s="333"/>
      <c r="C111" s="322"/>
      <c r="D111" s="378"/>
      <c r="E111" s="322"/>
      <c r="F111" s="322"/>
      <c r="G111" s="322"/>
      <c r="H111" s="322"/>
      <c r="I111" s="378"/>
      <c r="J111" s="322"/>
      <c r="K111" s="339"/>
      <c r="L111" s="1408"/>
      <c r="M111" s="1404"/>
      <c r="N111" s="1404"/>
      <c r="O111" s="1404"/>
      <c r="P111" s="1404"/>
      <c r="Q111" s="298"/>
    </row>
    <row r="112" spans="1:17" ht="13.5" thickBot="1">
      <c r="A112" s="375">
        <f>+A110+1</f>
        <v>30</v>
      </c>
      <c r="B112" s="321" t="s">
        <v>664</v>
      </c>
      <c r="C112" s="322" t="str">
        <f>+"(Line "&amp;A90&amp;" + Line "&amp;A92&amp;" + Line "&amp;A102&amp;" + Line "&amp;A104&amp;" + Line "&amp;A110&amp;")"</f>
        <v>(Line 18 + Line 18a + Line 24 + Line 25 + Line 29)</v>
      </c>
      <c r="D112" s="391">
        <f>+D110+D104+D102+D90+D92</f>
        <v>475105576.95264119</v>
      </c>
      <c r="E112" s="327"/>
      <c r="F112" s="327"/>
      <c r="G112" s="392"/>
      <c r="H112" s="327"/>
      <c r="I112" s="391">
        <f>+I110+I104+I102+I90+I92</f>
        <v>37282771.403781243</v>
      </c>
      <c r="J112" s="322"/>
      <c r="K112" s="339"/>
      <c r="L112" s="1409"/>
      <c r="M112" s="1419">
        <f>+M90+M92+M102+M104+M110</f>
        <v>38566315.816348672</v>
      </c>
      <c r="N112" s="1404">
        <f>IF($L$10=0,'Appendix A'!H120,'Appendix A'!G120)</f>
        <v>38566315.816348672</v>
      </c>
      <c r="O112" s="1406"/>
      <c r="P112" s="1404"/>
      <c r="Q112" s="298"/>
    </row>
    <row r="113" spans="1:18" ht="13.5" thickTop="1">
      <c r="A113" s="375"/>
      <c r="B113" s="321"/>
      <c r="C113" s="322"/>
      <c r="D113" s="393"/>
      <c r="E113" s="327"/>
      <c r="F113" s="327"/>
      <c r="G113" s="392"/>
      <c r="H113" s="327"/>
      <c r="I113" s="393"/>
      <c r="J113" s="322"/>
      <c r="K113" s="388"/>
      <c r="L113" s="1404"/>
      <c r="M113" s="1404"/>
      <c r="N113" s="1404"/>
      <c r="O113" s="1405"/>
      <c r="P113" s="1405"/>
      <c r="Q113" s="298"/>
    </row>
    <row r="114" spans="1:18">
      <c r="A114" s="375"/>
      <c r="B114" s="321"/>
      <c r="C114" s="322"/>
      <c r="D114" s="393"/>
      <c r="E114" s="327"/>
      <c r="F114" s="327"/>
      <c r="G114" s="392"/>
      <c r="H114" s="327"/>
      <c r="I114" s="393"/>
      <c r="J114" s="322"/>
      <c r="K114" s="368" t="str">
        <f>+K1</f>
        <v>Attachment O-ENOI</v>
      </c>
      <c r="L114" s="1404"/>
      <c r="M114" s="1404"/>
      <c r="N114" s="1404"/>
      <c r="O114" s="1405"/>
      <c r="P114" s="1405"/>
      <c r="Q114" s="298"/>
    </row>
    <row r="115" spans="1:18">
      <c r="A115" s="375"/>
      <c r="B115" s="321"/>
      <c r="C115" s="322"/>
      <c r="D115" s="322"/>
      <c r="E115" s="322"/>
      <c r="F115" s="322"/>
      <c r="G115" s="322"/>
      <c r="H115" s="322"/>
      <c r="I115" s="322"/>
      <c r="J115" s="322"/>
      <c r="K115" s="394" t="s">
        <v>665</v>
      </c>
      <c r="L115" s="1404"/>
      <c r="M115" s="1404"/>
      <c r="N115" s="1404"/>
      <c r="O115" s="1405"/>
      <c r="P115" s="1405"/>
      <c r="Q115" s="298"/>
    </row>
    <row r="116" spans="1:18">
      <c r="A116" s="375"/>
      <c r="B116" s="321"/>
      <c r="C116" s="397" t="str">
        <f>+C$3</f>
        <v>MISO Cover</v>
      </c>
      <c r="D116" s="322"/>
      <c r="E116" s="322"/>
      <c r="F116" s="322"/>
      <c r="G116" s="322"/>
      <c r="H116" s="322"/>
      <c r="I116" s="322"/>
      <c r="J116" s="322"/>
      <c r="K116" s="394"/>
      <c r="L116" s="1404"/>
      <c r="M116" s="1404"/>
      <c r="N116" s="1404"/>
      <c r="O116" s="1405"/>
      <c r="P116" s="1405"/>
      <c r="Q116" s="298"/>
    </row>
    <row r="117" spans="1:18">
      <c r="A117" s="375"/>
      <c r="B117" s="321" t="s">
        <v>611</v>
      </c>
      <c r="C117" s="395" t="s">
        <v>612</v>
      </c>
      <c r="D117" s="339"/>
      <c r="E117" s="322"/>
      <c r="F117" s="322"/>
      <c r="G117" s="322"/>
      <c r="H117" s="322"/>
      <c r="I117" s="396"/>
      <c r="J117" s="322"/>
      <c r="K117" s="394" t="str">
        <f>K4</f>
        <v>For  the 12 Months Ended 12/31/2014</v>
      </c>
      <c r="L117" s="1404"/>
      <c r="M117" s="1404"/>
      <c r="N117" s="1404"/>
      <c r="O117" s="1405"/>
      <c r="P117" s="1404"/>
    </row>
    <row r="118" spans="1:18">
      <c r="A118" s="375"/>
      <c r="B118" s="321"/>
      <c r="C118" s="395" t="s">
        <v>613</v>
      </c>
      <c r="D118" s="339"/>
      <c r="E118" s="322"/>
      <c r="F118" s="322"/>
      <c r="G118" s="322"/>
      <c r="H118" s="322"/>
      <c r="I118" s="322"/>
      <c r="J118" s="322"/>
      <c r="K118" s="322"/>
      <c r="L118" s="1404"/>
      <c r="M118" s="1404"/>
      <c r="N118" s="1404"/>
      <c r="O118" s="1405"/>
      <c r="P118" s="1404"/>
    </row>
    <row r="119" spans="1:18">
      <c r="A119" s="375"/>
      <c r="B119" s="333"/>
      <c r="C119" s="395" t="str">
        <f>+C59</f>
        <v>Entergy New Orleans, Inc.</v>
      </c>
      <c r="D119" s="339"/>
      <c r="E119" s="322"/>
      <c r="F119" s="322"/>
      <c r="G119" s="322"/>
      <c r="H119" s="322"/>
      <c r="I119" s="322"/>
      <c r="J119" s="322"/>
      <c r="K119" s="322"/>
      <c r="L119" s="1404"/>
      <c r="M119" s="1404"/>
      <c r="N119" s="1404"/>
      <c r="O119" s="1405"/>
      <c r="P119" s="1404"/>
    </row>
    <row r="120" spans="1:18">
      <c r="A120" s="1010"/>
      <c r="B120" s="1010"/>
      <c r="C120" s="395" t="str">
        <f>+C60</f>
        <v>Projected Rate</v>
      </c>
      <c r="D120" s="1010"/>
      <c r="E120" s="1010"/>
      <c r="F120" s="1010"/>
      <c r="G120" s="1010"/>
      <c r="H120" s="1010"/>
      <c r="I120" s="1010"/>
      <c r="J120" s="1010"/>
      <c r="K120" s="1010"/>
      <c r="L120" s="1404"/>
      <c r="M120" s="1404"/>
      <c r="N120" s="1404"/>
      <c r="O120" s="1405"/>
      <c r="P120" s="1404"/>
    </row>
    <row r="121" spans="1:18">
      <c r="A121" s="375"/>
      <c r="B121" s="397" t="s">
        <v>271</v>
      </c>
      <c r="C121" s="397" t="s">
        <v>615</v>
      </c>
      <c r="D121" s="397" t="s">
        <v>616</v>
      </c>
      <c r="E121" s="322" t="s">
        <v>165</v>
      </c>
      <c r="F121" s="322"/>
      <c r="G121" s="398" t="s">
        <v>617</v>
      </c>
      <c r="H121" s="322"/>
      <c r="I121" s="398" t="s">
        <v>618</v>
      </c>
      <c r="J121" s="322"/>
      <c r="K121" s="322"/>
      <c r="L121" s="1404"/>
      <c r="M121" s="1404"/>
      <c r="N121" s="1404"/>
      <c r="O121" s="1405"/>
      <c r="P121" s="1404"/>
    </row>
    <row r="122" spans="1:18">
      <c r="A122" s="375" t="s">
        <v>619</v>
      </c>
      <c r="B122" s="321"/>
      <c r="C122" s="399"/>
      <c r="D122" s="322"/>
      <c r="E122" s="322"/>
      <c r="F122" s="322"/>
      <c r="G122" s="375"/>
      <c r="H122" s="322"/>
      <c r="I122" s="400"/>
      <c r="J122" s="322"/>
      <c r="K122" s="400"/>
      <c r="L122" s="1404"/>
      <c r="M122" s="1404"/>
      <c r="N122" s="1404"/>
      <c r="O122" s="1405"/>
      <c r="P122" s="1404"/>
    </row>
    <row r="123" spans="1:18" ht="13.5" thickBot="1">
      <c r="A123" s="323" t="s">
        <v>621</v>
      </c>
      <c r="B123" s="321"/>
      <c r="C123" s="401" t="s">
        <v>259</v>
      </c>
      <c r="D123" s="400" t="s">
        <v>1279</v>
      </c>
      <c r="E123" s="402"/>
      <c r="F123" s="400" t="s">
        <v>648</v>
      </c>
      <c r="G123" s="333"/>
      <c r="H123" s="402"/>
      <c r="I123" s="375" t="s">
        <v>649</v>
      </c>
      <c r="J123" s="322"/>
      <c r="K123" s="339"/>
      <c r="L123" s="1420"/>
      <c r="M123" s="1404"/>
      <c r="N123" s="1404"/>
      <c r="O123" s="1404"/>
      <c r="P123" s="1404"/>
    </row>
    <row r="124" spans="1:18">
      <c r="A124" s="375"/>
      <c r="B124" s="321" t="s">
        <v>227</v>
      </c>
      <c r="C124" s="322"/>
      <c r="D124" s="322"/>
      <c r="E124" s="322"/>
      <c r="F124" s="322"/>
      <c r="G124" s="322"/>
      <c r="H124" s="322"/>
      <c r="I124" s="322"/>
      <c r="J124" s="322"/>
      <c r="K124" s="339"/>
      <c r="L124" s="1408"/>
      <c r="M124" s="1404"/>
      <c r="N124" s="1404"/>
      <c r="O124" s="1404"/>
      <c r="P124" s="1404"/>
      <c r="Q124" s="377"/>
      <c r="R124" s="403"/>
    </row>
    <row r="125" spans="1:18">
      <c r="A125" s="375">
        <v>1</v>
      </c>
      <c r="B125" s="321" t="s">
        <v>666</v>
      </c>
      <c r="C125" s="322" t="str">
        <f>+"Appendix A Line "&amp;+'Appendix A'!A125&amp;" "&amp;$L$6&amp;" Column"</f>
        <v>Appendix A Line 75 Projected Column</v>
      </c>
      <c r="D125" s="320">
        <f>IF($L$10=0,'Appendix A'!H125,'Appendix A'!G125)</f>
        <v>14388782</v>
      </c>
      <c r="E125" s="322"/>
      <c r="F125" s="322" t="s">
        <v>652</v>
      </c>
      <c r="G125" s="326">
        <f>+TP</f>
        <v>0.96671851107895235</v>
      </c>
      <c r="H125" s="327"/>
      <c r="I125" s="320">
        <f t="shared" ref="I125:I132" si="4">+G125*D125</f>
        <v>13909901.91127963</v>
      </c>
      <c r="J125" s="404"/>
      <c r="K125" s="339"/>
      <c r="L125" s="1408"/>
      <c r="M125" s="1404">
        <f>+D125</f>
        <v>14388782</v>
      </c>
      <c r="N125" s="1404"/>
      <c r="O125" s="1404"/>
      <c r="P125" s="1404"/>
      <c r="Q125" s="377"/>
      <c r="R125" s="403"/>
    </row>
    <row r="126" spans="1:18">
      <c r="A126" s="405" t="s">
        <v>934</v>
      </c>
      <c r="B126" s="763" t="s">
        <v>893</v>
      </c>
      <c r="C126" s="436" t="str">
        <f>+"Appendix A Lines "&amp;+'Appendix A'!A126&amp;" - Line "&amp;'Appendix A'!A128&amp;" - Line "&amp;'Appendix A'!A129&amp;" "&amp;$L$6&amp;" Column"</f>
        <v>Appendix A Lines 76 - Line 78 - Line 79 Projected Column</v>
      </c>
      <c r="D126" s="1469">
        <f>IF($L$10=0,'Appendix A'!H126-'Appendix A'!H128-'Appendix A'!H129,'Appendix A'!G126-'Appendix A'!G128-'Appendix A'!G129)</f>
        <v>2293024.71</v>
      </c>
      <c r="E126" s="342"/>
      <c r="F126" s="342" t="str">
        <f>+F125</f>
        <v>TP</v>
      </c>
      <c r="G126" s="326">
        <f>+TP</f>
        <v>0.96671851107895235</v>
      </c>
      <c r="H126" s="342"/>
      <c r="I126" s="320">
        <f>+G126*D126</f>
        <v>2216709.4335184465</v>
      </c>
      <c r="J126" s="406"/>
      <c r="K126" s="339"/>
      <c r="L126" s="1408"/>
      <c r="M126" s="1404">
        <f>+D126</f>
        <v>2293024.71</v>
      </c>
      <c r="N126" s="1404"/>
      <c r="O126" s="1404"/>
      <c r="P126" s="1404"/>
      <c r="Q126" s="377"/>
      <c r="R126" s="403"/>
    </row>
    <row r="127" spans="1:18">
      <c r="A127" s="405">
        <f>+A125+1</f>
        <v>2</v>
      </c>
      <c r="B127" s="760" t="s">
        <v>894</v>
      </c>
      <c r="C127" s="322" t="str">
        <f>+"Appendix A Line "&amp;+'Appendix A'!A127&amp;" "&amp;$L$6&amp;" Column"</f>
        <v>Appendix A Line 77 Projected Column</v>
      </c>
      <c r="D127" s="320">
        <f>IF($L$10=0,'Appendix A'!H127,'Appendix A'!G127)</f>
        <v>10360669</v>
      </c>
      <c r="E127" s="322"/>
      <c r="F127" s="322" t="str">
        <f>+F126</f>
        <v>TP</v>
      </c>
      <c r="G127" s="326">
        <f>+TP</f>
        <v>0.96671851107895235</v>
      </c>
      <c r="H127" s="327"/>
      <c r="I127" s="320">
        <f t="shared" si="4"/>
        <v>10015850.509461857</v>
      </c>
      <c r="J127" s="406"/>
      <c r="K127" s="339"/>
      <c r="L127" s="1408"/>
      <c r="M127" s="1404">
        <f>+D127</f>
        <v>10360669</v>
      </c>
      <c r="N127" s="1404">
        <f>+M125-M126-M127</f>
        <v>1735088.2899999991</v>
      </c>
      <c r="O127" s="1404">
        <f>+M125-M126-M127-N127</f>
        <v>0</v>
      </c>
      <c r="P127" s="1404"/>
      <c r="Q127" s="377"/>
      <c r="R127" s="403"/>
    </row>
    <row r="128" spans="1:18">
      <c r="A128" s="405">
        <f t="shared" ref="A128:A137" si="5">+A127+1</f>
        <v>3</v>
      </c>
      <c r="B128" s="321" t="s">
        <v>667</v>
      </c>
      <c r="C128" s="322" t="str">
        <f>+"Appendix A Line "&amp;+'Appendix A'!A133&amp;" "&amp;$L$6&amp;" Column"</f>
        <v>Appendix A Line 81 Projected Column</v>
      </c>
      <c r="D128" s="320">
        <f>IF($L$10=0,+'Appendix A'!H133,'Appendix A'!G133)</f>
        <v>42465893</v>
      </c>
      <c r="E128" s="322"/>
      <c r="F128" s="322" t="s">
        <v>653</v>
      </c>
      <c r="G128" s="326">
        <f>+WS</f>
        <v>0.10634811541261202</v>
      </c>
      <c r="H128" s="327"/>
      <c r="I128" s="320">
        <f t="shared" si="4"/>
        <v>4516167.6898636334</v>
      </c>
      <c r="J128" s="404"/>
      <c r="K128" s="407"/>
      <c r="L128" s="1410">
        <f>+L79</f>
        <v>0.11000939176587933</v>
      </c>
      <c r="M128" s="1404">
        <f>+L128*D128</f>
        <v>4671647.059724913</v>
      </c>
      <c r="N128" s="1404"/>
      <c r="O128" s="1404"/>
      <c r="P128" s="1404"/>
      <c r="Q128" s="377"/>
      <c r="R128" s="403"/>
    </row>
    <row r="129" spans="1:18">
      <c r="A129" s="405">
        <f t="shared" si="5"/>
        <v>4</v>
      </c>
      <c r="B129" s="760" t="s">
        <v>892</v>
      </c>
      <c r="C129" s="322" t="str">
        <f>+"Appendix A Line "&amp;+'Appendix A'!A154&amp;" "&amp;$L$6&amp;" Column"</f>
        <v>Appendix A Line 100 Projected Column</v>
      </c>
      <c r="D129" s="320">
        <f>IF($L$10=0,'Appendix A'!H154,'Appendix A'!G154)</f>
        <v>200252.22125755824</v>
      </c>
      <c r="E129" s="322"/>
      <c r="F129" s="322" t="str">
        <f>+F127</f>
        <v>TP</v>
      </c>
      <c r="G129" s="326">
        <f>+TP</f>
        <v>0.96671851107895235</v>
      </c>
      <c r="H129" s="327"/>
      <c r="I129" s="320">
        <f>+D129*G129</f>
        <v>193587.52917435963</v>
      </c>
      <c r="J129" s="404"/>
      <c r="K129" s="320"/>
      <c r="L129" s="1421"/>
      <c r="M129" s="1404">
        <f>+D129</f>
        <v>200252.22125755824</v>
      </c>
      <c r="N129" s="1404"/>
      <c r="O129" s="1404"/>
      <c r="P129" s="1404"/>
      <c r="Q129" s="377"/>
      <c r="R129" s="403"/>
    </row>
    <row r="130" spans="1:18" s="758" customFormat="1" ht="25.9" customHeight="1">
      <c r="A130" s="892">
        <f t="shared" si="5"/>
        <v>5</v>
      </c>
      <c r="B130" s="1063" t="s">
        <v>1115</v>
      </c>
      <c r="C130" s="1062" t="str">
        <f>+"Appendix A Sum of Lines "&amp;+'Appendix A'!A135&amp;" to Line "&amp;'Appendix A'!A139&amp;" - Line "&amp;'Appendix A'!A140&amp;" "&amp;$L$6&amp;" Column"</f>
        <v>Appendix A Sum of Lines 83 to Line 87 - Line 88 Projected Column</v>
      </c>
      <c r="D130" s="751">
        <f>IF($L$10=0,SUM('Appendix A'!H135:H139)-'Appendix A'!H140,SUM('Appendix A'!G135:G139)-'Appendix A'!G140)</f>
        <v>15241865.710000001</v>
      </c>
      <c r="E130" s="779"/>
      <c r="F130" s="779" t="s">
        <v>653</v>
      </c>
      <c r="G130" s="780">
        <f>+WS</f>
        <v>0.10634811541261202</v>
      </c>
      <c r="H130" s="781"/>
      <c r="I130" s="751">
        <f t="shared" si="4"/>
        <v>1620943.6936306139</v>
      </c>
      <c r="J130" s="1064"/>
      <c r="K130" s="756"/>
      <c r="L130" s="1422">
        <f>+L128</f>
        <v>0.11000939176587933</v>
      </c>
      <c r="M130" s="1423">
        <f>+L130*D130</f>
        <v>1676748.3761343127</v>
      </c>
      <c r="N130" s="1423"/>
      <c r="O130" s="1423"/>
      <c r="P130" s="1423"/>
      <c r="Q130" s="783"/>
      <c r="R130" s="784"/>
    </row>
    <row r="131" spans="1:18" s="758" customFormat="1">
      <c r="A131" s="892" t="s">
        <v>935</v>
      </c>
      <c r="B131" s="785" t="s">
        <v>943</v>
      </c>
      <c r="C131" s="779" t="str">
        <f>+"Appendix A Lines "&amp;+'Appendix A'!A146&amp;" to "&amp;'Appendix A'!A147&amp;" "&amp;$L$6&amp;" Column"</f>
        <v>Appendix A Lines 92 to 93 Projected Column</v>
      </c>
      <c r="D131" s="751">
        <f>IF($L$10=0,SUM('Appendix A'!H146:H147),SUM('Appendix A'!G146:G147))</f>
        <v>102916</v>
      </c>
      <c r="E131" s="779"/>
      <c r="F131" s="779" t="str">
        <f>+F127</f>
        <v>TP</v>
      </c>
      <c r="G131" s="780">
        <f>+TP</f>
        <v>0.96671851107895235</v>
      </c>
      <c r="H131" s="781"/>
      <c r="I131" s="751">
        <f>+D131*G131</f>
        <v>99490.802286201462</v>
      </c>
      <c r="J131" s="782"/>
      <c r="K131" s="756"/>
      <c r="L131" s="1424"/>
      <c r="M131" s="1423">
        <f>+D131</f>
        <v>102916</v>
      </c>
      <c r="N131" s="1423"/>
      <c r="O131" s="1423"/>
      <c r="P131" s="1423"/>
      <c r="Q131" s="783"/>
      <c r="R131" s="784"/>
    </row>
    <row r="132" spans="1:18" s="412" customFormat="1">
      <c r="A132" s="405" t="s">
        <v>936</v>
      </c>
      <c r="B132" s="760" t="s">
        <v>1078</v>
      </c>
      <c r="C132" s="322" t="str">
        <f>+"Appendix A Line "&amp;+'Appendix A'!A134&amp;" "&amp;$L$6&amp;" Column"</f>
        <v>Appendix A Line 82 Projected Column</v>
      </c>
      <c r="D132" s="320">
        <f>IF($L$10=0,'Appendix A'!H134,'Appendix A'!G134)</f>
        <v>0</v>
      </c>
      <c r="E132" s="322"/>
      <c r="F132" s="322" t="str">
        <f>+F130</f>
        <v>W/S</v>
      </c>
      <c r="G132" s="326">
        <f>+WS</f>
        <v>0.10634811541261202</v>
      </c>
      <c r="H132" s="408"/>
      <c r="I132" s="320">
        <f t="shared" si="4"/>
        <v>0</v>
      </c>
      <c r="J132" s="409"/>
      <c r="K132" s="410"/>
      <c r="L132" s="1410">
        <f>+L130</f>
        <v>0.11000939176587933</v>
      </c>
      <c r="M132" s="1404">
        <f>+L132*D132</f>
        <v>0</v>
      </c>
      <c r="N132" s="1425"/>
      <c r="O132" s="1425"/>
      <c r="P132" s="1404"/>
      <c r="Q132" s="377"/>
      <c r="R132" s="403"/>
    </row>
    <row r="133" spans="1:18">
      <c r="A133" s="405">
        <f>+A130+1</f>
        <v>6</v>
      </c>
      <c r="B133" s="760" t="s">
        <v>1155</v>
      </c>
      <c r="C133" s="322"/>
      <c r="D133" s="322"/>
      <c r="E133" s="322"/>
      <c r="F133" s="322"/>
      <c r="G133" s="328"/>
      <c r="H133" s="327"/>
      <c r="I133" s="320"/>
      <c r="J133" s="308"/>
      <c r="L133" s="1408"/>
      <c r="M133" s="1404">
        <f>+D133</f>
        <v>0</v>
      </c>
      <c r="N133" s="1404"/>
      <c r="O133" s="1404"/>
      <c r="P133" s="1405"/>
      <c r="Q133" s="298"/>
    </row>
    <row r="134" spans="1:18">
      <c r="A134" s="405" t="s">
        <v>1033</v>
      </c>
      <c r="B134" s="1197" t="s">
        <v>1063</v>
      </c>
      <c r="C134" s="322" t="str">
        <f>+"Appendix A Line "&amp;'Appendix A'!A189&amp;" "&amp;$L$6&amp;" Column"</f>
        <v>Appendix A Line 125 Projected Column</v>
      </c>
      <c r="D134" s="320">
        <f>IF($L$10=0,'Appendix A'!H189,'Appendix A'!G189)</f>
        <v>0</v>
      </c>
      <c r="E134" s="320"/>
      <c r="F134" s="320" t="s">
        <v>652</v>
      </c>
      <c r="G134" s="326">
        <f>+TP</f>
        <v>0.96671851107895235</v>
      </c>
      <c r="H134" s="320"/>
      <c r="I134" s="320">
        <f>+D134*G134</f>
        <v>0</v>
      </c>
      <c r="J134" s="308"/>
      <c r="L134" s="1408"/>
      <c r="M134" s="1404">
        <f>+D134</f>
        <v>0</v>
      </c>
      <c r="N134" s="1404"/>
      <c r="O134" s="1404"/>
      <c r="P134" s="1405"/>
      <c r="Q134" s="298"/>
    </row>
    <row r="135" spans="1:18">
      <c r="A135" s="405" t="s">
        <v>1034</v>
      </c>
      <c r="B135" s="1197" t="s">
        <v>1064</v>
      </c>
      <c r="C135" s="322" t="str">
        <f>+"Appendix A Line "&amp;'Appendix A'!A192&amp;" "&amp;$L$6&amp;" Column"</f>
        <v>Appendix A Line 128 Projected Column</v>
      </c>
      <c r="D135" s="383">
        <f>IF($L$10=0,'Appendix A'!H192,'Appendix A'!G192)</f>
        <v>0</v>
      </c>
      <c r="E135" s="383"/>
      <c r="F135" s="383" t="s">
        <v>652</v>
      </c>
      <c r="G135" s="984">
        <f>+TP</f>
        <v>0.96671851107895235</v>
      </c>
      <c r="H135" s="383"/>
      <c r="I135" s="383">
        <f>+D135*G135</f>
        <v>0</v>
      </c>
      <c r="J135" s="308"/>
      <c r="L135" s="1408"/>
      <c r="M135" s="1404"/>
      <c r="N135" s="1404"/>
      <c r="O135" s="1404"/>
      <c r="P135" s="1405"/>
      <c r="Q135" s="298"/>
    </row>
    <row r="136" spans="1:18" ht="13.5" thickBot="1">
      <c r="A136" s="405">
        <f>+A133+1</f>
        <v>7</v>
      </c>
      <c r="B136" s="760" t="s">
        <v>1155</v>
      </c>
      <c r="C136" s="322"/>
      <c r="D136" s="378"/>
      <c r="E136" s="1198"/>
      <c r="F136" s="1198"/>
      <c r="G136" s="984"/>
      <c r="H136" s="393"/>
      <c r="I136" s="378"/>
      <c r="J136" s="308"/>
      <c r="L136" s="1408"/>
      <c r="M136" s="1404">
        <f>+D136</f>
        <v>0</v>
      </c>
      <c r="N136" s="1404"/>
      <c r="O136" s="1404"/>
      <c r="P136" s="1405"/>
      <c r="Q136" s="298"/>
    </row>
    <row r="137" spans="1:18">
      <c r="A137" s="405">
        <f t="shared" si="5"/>
        <v>8</v>
      </c>
      <c r="B137" s="1011" t="s">
        <v>668</v>
      </c>
      <c r="C137" s="1632"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20">
        <f>+D125 - D126 - D127 + D128 + D129 - D130 + D131 - D132 + D133 + D134 + D135 + D136</f>
        <v>29262283.801257558</v>
      </c>
      <c r="E137" s="320"/>
      <c r="F137" s="320"/>
      <c r="G137" s="320"/>
      <c r="H137" s="320"/>
      <c r="I137" s="320">
        <f>+I125 - I126 - I127 + I128 + I129 - I130 + I131 - I132 + I133 + I134 + I135 + I136</f>
        <v>4865644.2959929062</v>
      </c>
      <c r="J137" s="308"/>
      <c r="K137" s="299"/>
      <c r="L137" s="1411">
        <f>+I137/M137</f>
        <v>0.96671851107895257</v>
      </c>
      <c r="M137" s="1404">
        <f>+M125-M126-M127+M128+M129-M130+M131-M132+M133+M134+M136</f>
        <v>5033155.1948481575</v>
      </c>
      <c r="N137" s="1404">
        <f>IF($L$10=0,'Appendix A'!H156,'Appendix A'!G156)</f>
        <v>5033155.1948481584</v>
      </c>
      <c r="O137" s="1404">
        <f>+M137-N137</f>
        <v>0</v>
      </c>
      <c r="P137" s="1426" t="s">
        <v>1067</v>
      </c>
      <c r="Q137" s="298"/>
    </row>
    <row r="138" spans="1:18">
      <c r="A138" s="405"/>
      <c r="B138" s="333"/>
      <c r="C138" s="1632"/>
      <c r="D138" s="320"/>
      <c r="E138" s="320"/>
      <c r="F138" s="320"/>
      <c r="G138" s="320"/>
      <c r="H138" s="320"/>
      <c r="I138" s="320"/>
      <c r="J138" s="308"/>
      <c r="L138" s="1408"/>
      <c r="M138" s="1405"/>
      <c r="N138" s="1404"/>
      <c r="O138" s="1404"/>
      <c r="P138" s="1405"/>
      <c r="Q138" s="298"/>
    </row>
    <row r="139" spans="1:18">
      <c r="A139" s="405"/>
      <c r="B139" s="321" t="s">
        <v>669</v>
      </c>
      <c r="C139" s="322"/>
      <c r="D139" s="320"/>
      <c r="E139" s="320"/>
      <c r="F139" s="320"/>
      <c r="G139" s="320"/>
      <c r="H139" s="320"/>
      <c r="I139" s="320"/>
      <c r="J139" s="322"/>
      <c r="K139" s="339"/>
      <c r="L139" s="1408"/>
      <c r="M139" s="1404"/>
      <c r="N139" s="1404"/>
      <c r="O139" s="1404"/>
      <c r="P139" s="1405"/>
      <c r="Q139" s="298"/>
    </row>
    <row r="140" spans="1:18">
      <c r="A140" s="405">
        <f>+A137+1</f>
        <v>9</v>
      </c>
      <c r="B140" s="760" t="s">
        <v>890</v>
      </c>
      <c r="C140" s="322" t="str">
        <f>+"Appendix A Line "&amp;'Appendix A'!A161&amp;" "&amp;$L$6&amp;" Column"</f>
        <v>Appendix A Line 103 Projected Column</v>
      </c>
      <c r="D140" s="320">
        <f>IF($L$10=0,'Appendix A'!H161,'Appendix A'!G161)</f>
        <v>2828678</v>
      </c>
      <c r="E140" s="320"/>
      <c r="F140" s="320" t="s">
        <v>652</v>
      </c>
      <c r="G140" s="326">
        <f>+TP</f>
        <v>0.96671851107895235</v>
      </c>
      <c r="H140" s="320"/>
      <c r="I140" s="320">
        <f>+G140*D140</f>
        <v>2734535.3844817886</v>
      </c>
      <c r="J140" s="322"/>
      <c r="K140" s="339"/>
      <c r="L140" s="1409"/>
      <c r="M140" s="1404">
        <f>+D140</f>
        <v>2828678</v>
      </c>
      <c r="N140" s="1404"/>
      <c r="O140" s="1404"/>
      <c r="P140" s="1405"/>
      <c r="Q140" s="298"/>
    </row>
    <row r="141" spans="1:18">
      <c r="A141" s="405">
        <f t="shared" ref="A141:A153" si="6">+A140+1</f>
        <v>10</v>
      </c>
      <c r="B141" s="762" t="s">
        <v>891</v>
      </c>
      <c r="C141" s="322" t="str">
        <f>+"Appendix A Line "&amp;+'Appendix A'!A168&amp;" "&amp;$L$6&amp;" Column"</f>
        <v>Appendix A Line 110 Projected Column</v>
      </c>
      <c r="D141" s="320">
        <f>IF($L$10=0,'Appendix A'!H168,'Appendix A'!G168)</f>
        <v>865895.46697480802</v>
      </c>
      <c r="E141" s="320"/>
      <c r="F141" s="320" t="str">
        <f>+F140</f>
        <v>TP</v>
      </c>
      <c r="G141" s="326">
        <f>+TP</f>
        <v>0.96671851107895235</v>
      </c>
      <c r="H141" s="320"/>
      <c r="I141" s="320">
        <f>+G141*D141</f>
        <v>837077.17658390058</v>
      </c>
      <c r="J141" s="322"/>
      <c r="K141" s="339"/>
      <c r="L141" s="1409"/>
      <c r="M141" s="1404">
        <f>+D141</f>
        <v>865895.46697480802</v>
      </c>
      <c r="N141" s="1404"/>
      <c r="O141" s="1404"/>
      <c r="P141" s="1405"/>
      <c r="Q141" s="298"/>
    </row>
    <row r="142" spans="1:18" ht="13.5" thickBot="1">
      <c r="A142" s="405">
        <f t="shared" si="6"/>
        <v>11</v>
      </c>
      <c r="B142" s="760" t="s">
        <v>1155</v>
      </c>
      <c r="C142" s="322"/>
      <c r="D142" s="378"/>
      <c r="E142" s="383"/>
      <c r="F142" s="320"/>
      <c r="G142" s="326"/>
      <c r="H142" s="383"/>
      <c r="I142" s="378"/>
      <c r="J142" s="322"/>
      <c r="K142" s="339"/>
      <c r="L142" s="1409"/>
      <c r="M142" s="1404">
        <f>+D142</f>
        <v>0</v>
      </c>
      <c r="N142" s="1404"/>
      <c r="O142" s="1404"/>
      <c r="P142" s="1405"/>
      <c r="Q142" s="298"/>
    </row>
    <row r="143" spans="1:18">
      <c r="A143" s="405">
        <f>+A142+1</f>
        <v>12</v>
      </c>
      <c r="B143" s="321" t="s">
        <v>670</v>
      </c>
      <c r="C143" s="322" t="str">
        <f>+"(Sum of Lines "&amp;A140&amp;" to Line "&amp;A142&amp;")"</f>
        <v>(Sum of Lines 9 to Line 11)</v>
      </c>
      <c r="D143" s="320">
        <f>SUM(D140:D142)</f>
        <v>3694573.4669748079</v>
      </c>
      <c r="E143" s="320"/>
      <c r="F143" s="320"/>
      <c r="G143" s="326"/>
      <c r="H143" s="320"/>
      <c r="I143" s="320">
        <f>SUM(I140:I142)</f>
        <v>3571612.5610656892</v>
      </c>
      <c r="J143" s="322"/>
      <c r="K143" s="339"/>
      <c r="L143" s="1411">
        <f>+I143/M143</f>
        <v>0.96671851107895235</v>
      </c>
      <c r="M143" s="1404">
        <f>SUM(M140:M142)</f>
        <v>3694573.4669748079</v>
      </c>
      <c r="N143" s="1404">
        <f>IF($L$10=0,'Appendix A'!H170,'Appendix A'!G170)</f>
        <v>3694573.4669748079</v>
      </c>
      <c r="O143" s="1404">
        <f>+M143-N143</f>
        <v>0</v>
      </c>
      <c r="P143" s="1405"/>
      <c r="Q143" s="298"/>
    </row>
    <row r="144" spans="1:18">
      <c r="A144" s="405"/>
      <c r="B144" s="321"/>
      <c r="C144" s="322"/>
      <c r="D144" s="320"/>
      <c r="E144" s="320"/>
      <c r="F144" s="320"/>
      <c r="G144" s="326"/>
      <c r="H144" s="320"/>
      <c r="I144" s="320"/>
      <c r="J144" s="322"/>
      <c r="K144" s="339"/>
      <c r="L144" s="1408"/>
      <c r="M144" s="1404"/>
      <c r="N144" s="1404"/>
      <c r="O144" s="1404"/>
      <c r="P144" s="1405"/>
      <c r="Q144" s="298"/>
    </row>
    <row r="145" spans="1:17">
      <c r="A145" s="405"/>
      <c r="B145" s="321" t="s">
        <v>671</v>
      </c>
      <c r="C145" s="333"/>
      <c r="D145" s="320"/>
      <c r="E145" s="320"/>
      <c r="F145" s="320"/>
      <c r="G145" s="326"/>
      <c r="H145" s="320"/>
      <c r="I145" s="320"/>
      <c r="J145" s="322"/>
      <c r="K145" s="339"/>
      <c r="L145" s="1408"/>
      <c r="M145" s="1404"/>
      <c r="N145" s="1404"/>
      <c r="O145" s="1404"/>
      <c r="P145" s="1405"/>
      <c r="Q145" s="298"/>
    </row>
    <row r="146" spans="1:17">
      <c r="A146" s="405">
        <f>+A143+1</f>
        <v>13</v>
      </c>
      <c r="B146" s="760" t="s">
        <v>672</v>
      </c>
      <c r="C146" s="322" t="str">
        <f>+"Appendix A Line "&amp;+'Appendix A'!A185&amp;" "&amp;$L$6&amp;" Column"</f>
        <v>Appendix A Line 124 Projected Column</v>
      </c>
      <c r="D146" s="320">
        <f>IF($L$10=0,'Appendix A'!H185,'Appendix A'!G185)</f>
        <v>1711138.3241615968</v>
      </c>
      <c r="E146" s="320"/>
      <c r="F146" s="320" t="s">
        <v>652</v>
      </c>
      <c r="G146" s="379">
        <f>+TP</f>
        <v>0.96671851107895235</v>
      </c>
      <c r="H146" s="320"/>
      <c r="I146" s="320">
        <f>+G146*D146</f>
        <v>1654189.0929836326</v>
      </c>
      <c r="J146" s="322"/>
      <c r="K146" s="339"/>
      <c r="L146" s="1409"/>
      <c r="M146" s="1404">
        <f t="shared" ref="M146:M152" si="7">+D146</f>
        <v>1711138.3241615968</v>
      </c>
      <c r="N146" s="1404"/>
      <c r="O146" s="1404"/>
      <c r="P146" s="1405"/>
      <c r="Q146" s="298"/>
    </row>
    <row r="147" spans="1:17">
      <c r="A147" s="405">
        <f t="shared" si="6"/>
        <v>14</v>
      </c>
      <c r="B147" s="760" t="s">
        <v>1155</v>
      </c>
      <c r="C147" s="322"/>
      <c r="D147" s="320"/>
      <c r="E147" s="320"/>
      <c r="F147" s="327"/>
      <c r="G147" s="389"/>
      <c r="H147" s="320"/>
      <c r="I147" s="1199"/>
      <c r="J147" s="322"/>
      <c r="K147" s="339"/>
      <c r="L147" s="1409"/>
      <c r="M147" s="1404">
        <f t="shared" si="7"/>
        <v>0</v>
      </c>
      <c r="N147" s="1404"/>
      <c r="O147" s="1404"/>
      <c r="P147" s="1405"/>
      <c r="Q147" s="298"/>
    </row>
    <row r="148" spans="1:17">
      <c r="A148" s="405">
        <f t="shared" si="6"/>
        <v>15</v>
      </c>
      <c r="B148" s="433" t="s">
        <v>937</v>
      </c>
      <c r="C148" s="322"/>
      <c r="D148" s="320"/>
      <c r="E148" s="320"/>
      <c r="F148" s="320"/>
      <c r="G148" s="326"/>
      <c r="H148" s="320"/>
      <c r="I148" s="320"/>
      <c r="J148" s="322"/>
      <c r="K148" s="339"/>
      <c r="L148" s="1409"/>
      <c r="M148" s="1404">
        <f t="shared" si="7"/>
        <v>0</v>
      </c>
      <c r="N148" s="1404"/>
      <c r="O148" s="1404"/>
      <c r="P148" s="1405"/>
      <c r="Q148" s="298"/>
    </row>
    <row r="149" spans="1:17">
      <c r="A149" s="405">
        <f t="shared" si="6"/>
        <v>16</v>
      </c>
      <c r="B149" s="760" t="s">
        <v>1155</v>
      </c>
      <c r="C149" s="322"/>
      <c r="D149" s="320"/>
      <c r="E149" s="320"/>
      <c r="F149" s="327"/>
      <c r="G149" s="389"/>
      <c r="H149" s="320"/>
      <c r="I149" s="320"/>
      <c r="J149" s="322"/>
      <c r="K149" s="339"/>
      <c r="L149" s="1409"/>
      <c r="M149" s="1404">
        <f t="shared" si="7"/>
        <v>0</v>
      </c>
      <c r="N149" s="1404"/>
      <c r="O149" s="1404"/>
      <c r="P149" s="1405"/>
      <c r="Q149" s="298"/>
    </row>
    <row r="150" spans="1:17">
      <c r="A150" s="405">
        <f t="shared" si="6"/>
        <v>17</v>
      </c>
      <c r="B150" s="760" t="s">
        <v>1155</v>
      </c>
      <c r="C150" s="322"/>
      <c r="D150" s="320"/>
      <c r="E150" s="320"/>
      <c r="F150" s="327"/>
      <c r="G150" s="389"/>
      <c r="H150" s="320"/>
      <c r="I150" s="320"/>
      <c r="J150" s="322"/>
      <c r="K150" s="339"/>
      <c r="L150" s="1409"/>
      <c r="M150" s="1404">
        <f>+D150</f>
        <v>0</v>
      </c>
      <c r="N150" s="1404"/>
      <c r="O150" s="1404"/>
      <c r="P150" s="1405"/>
      <c r="Q150" s="298"/>
    </row>
    <row r="151" spans="1:17">
      <c r="A151" s="405">
        <f t="shared" si="6"/>
        <v>18</v>
      </c>
      <c r="B151" s="760" t="s">
        <v>1155</v>
      </c>
      <c r="C151" s="322"/>
      <c r="D151" s="320"/>
      <c r="E151" s="320"/>
      <c r="F151" s="327"/>
      <c r="G151" s="389"/>
      <c r="H151" s="320"/>
      <c r="I151" s="320"/>
      <c r="J151" s="322"/>
      <c r="K151" s="339"/>
      <c r="L151" s="1409"/>
      <c r="M151" s="1404">
        <f>+D151</f>
        <v>0</v>
      </c>
      <c r="N151" s="1404"/>
      <c r="O151" s="1404"/>
      <c r="P151" s="1405"/>
      <c r="Q151" s="298"/>
    </row>
    <row r="152" spans="1:17" ht="13.5" thickBot="1">
      <c r="A152" s="405">
        <f t="shared" si="6"/>
        <v>19</v>
      </c>
      <c r="B152" s="760" t="s">
        <v>1155</v>
      </c>
      <c r="C152" s="322"/>
      <c r="D152" s="378"/>
      <c r="E152" s="320"/>
      <c r="F152" s="327"/>
      <c r="G152" s="389"/>
      <c r="H152" s="320"/>
      <c r="I152" s="378"/>
      <c r="J152" s="322"/>
      <c r="K152" s="339"/>
      <c r="L152" s="1409"/>
      <c r="M152" s="1404">
        <f t="shared" si="7"/>
        <v>0</v>
      </c>
      <c r="N152" s="1404"/>
      <c r="O152" s="1404"/>
      <c r="P152" s="1405"/>
      <c r="Q152" s="298"/>
    </row>
    <row r="153" spans="1:17">
      <c r="A153" s="405">
        <f t="shared" si="6"/>
        <v>20</v>
      </c>
      <c r="B153" s="321" t="s">
        <v>673</v>
      </c>
      <c r="C153" s="322" t="str">
        <f>+"(Sum of Line "&amp;A146&amp;" to Line "&amp;A152&amp;")"</f>
        <v>(Sum of Line 13 to Line 19)</v>
      </c>
      <c r="D153" s="320">
        <f>SUM(D146:D152)</f>
        <v>1711138.3241615968</v>
      </c>
      <c r="E153" s="320"/>
      <c r="F153" s="320"/>
      <c r="G153" s="320"/>
      <c r="H153" s="320"/>
      <c r="I153" s="320">
        <f>SUM(I146:I152)</f>
        <v>1654189.0929836326</v>
      </c>
      <c r="J153" s="322"/>
      <c r="K153" s="339"/>
      <c r="L153" s="1411">
        <f>+I153/M153</f>
        <v>0.96671851107895235</v>
      </c>
      <c r="M153" s="1404">
        <f>SUM(M146:M152)</f>
        <v>1711138.3241615968</v>
      </c>
      <c r="N153" s="1404">
        <f>IF($L$10=0,'Appendix A'!H185,'Appendix A'!G185)</f>
        <v>1711138.3241615968</v>
      </c>
      <c r="O153" s="1404">
        <f>+M153-N153</f>
        <v>0</v>
      </c>
      <c r="P153" s="1405"/>
      <c r="Q153" s="298"/>
    </row>
    <row r="154" spans="1:17">
      <c r="A154" s="405"/>
      <c r="B154" s="321"/>
      <c r="C154" s="322"/>
      <c r="D154" s="320"/>
      <c r="E154" s="320"/>
      <c r="F154" s="320"/>
      <c r="G154" s="320"/>
      <c r="H154" s="320"/>
      <c r="I154" s="320"/>
      <c r="J154" s="322"/>
      <c r="K154" s="339"/>
      <c r="L154" s="1411"/>
      <c r="M154" s="1404"/>
      <c r="N154" s="1404"/>
      <c r="O154" s="1404"/>
      <c r="P154" s="1405"/>
      <c r="Q154" s="298"/>
    </row>
    <row r="155" spans="1:17">
      <c r="A155" s="339"/>
      <c r="B155" s="321" t="s">
        <v>674</v>
      </c>
      <c r="C155" s="322" t="str">
        <f>""</f>
        <v/>
      </c>
      <c r="D155" s="322"/>
      <c r="E155" s="322"/>
      <c r="F155" s="333"/>
      <c r="G155" s="413"/>
      <c r="H155" s="322"/>
      <c r="I155" s="333"/>
      <c r="J155" s="322"/>
      <c r="K155" s="339"/>
      <c r="L155" s="1427"/>
      <c r="M155" s="1404"/>
      <c r="N155" s="1404"/>
      <c r="O155" s="1404"/>
      <c r="P155" s="1405"/>
      <c r="Q155" s="298"/>
    </row>
    <row r="156" spans="1:17">
      <c r="A156" s="405">
        <f>+A153+1</f>
        <v>21</v>
      </c>
      <c r="B156" s="760" t="s">
        <v>220</v>
      </c>
      <c r="C156" s="322" t="str">
        <f>+"Appendix A Line "&amp;+'Appendix A'!A237&amp;" "&amp;$L$6&amp;" Column"</f>
        <v>Appendix A Line 157 Projected Column</v>
      </c>
      <c r="D156" s="383">
        <f>IF($L$10=0,'Appendix A'!H237,'Appendix A'!G237)</f>
        <v>1454686.6837784147</v>
      </c>
      <c r="E156" s="393"/>
      <c r="F156" s="383" t="s">
        <v>652</v>
      </c>
      <c r="G156" s="984">
        <f>+TP</f>
        <v>0.96671851107895235</v>
      </c>
      <c r="H156" s="393"/>
      <c r="I156" s="985">
        <f>+D156*G156</f>
        <v>1406272.5450286479</v>
      </c>
      <c r="J156" s="322"/>
      <c r="K156" s="339"/>
      <c r="L156" s="1411">
        <f>+I156/M156</f>
        <v>0.96671851107895235</v>
      </c>
      <c r="M156" s="1404">
        <f>+D156</f>
        <v>1454686.6837784147</v>
      </c>
      <c r="N156" s="1404">
        <f>IF($L$10=0,'Appendix A'!H237,'Appendix A'!G237)</f>
        <v>1454686.6837784147</v>
      </c>
      <c r="O156" s="1404"/>
      <c r="P156" s="1405"/>
      <c r="Q156" s="298"/>
    </row>
    <row r="157" spans="1:17">
      <c r="A157" s="405">
        <f>+A156+1</f>
        <v>22</v>
      </c>
      <c r="B157" s="760" t="s">
        <v>1155</v>
      </c>
      <c r="C157" s="322"/>
      <c r="D157" s="320"/>
      <c r="E157" s="393"/>
      <c r="F157" s="327"/>
      <c r="G157" s="389"/>
      <c r="H157" s="320"/>
      <c r="I157" s="320"/>
      <c r="J157" s="322"/>
      <c r="K157" s="339"/>
      <c r="L157" s="1411"/>
      <c r="M157" s="1404"/>
      <c r="N157" s="1404"/>
      <c r="O157" s="1404"/>
      <c r="P157" s="1405"/>
      <c r="Q157" s="298"/>
    </row>
    <row r="158" spans="1:17">
      <c r="A158" s="405">
        <f t="shared" ref="A158:A162" si="8">+A157+1</f>
        <v>23</v>
      </c>
      <c r="B158" s="760" t="s">
        <v>1155</v>
      </c>
      <c r="C158" s="322"/>
      <c r="D158" s="320"/>
      <c r="E158" s="393"/>
      <c r="F158" s="327"/>
      <c r="G158" s="389"/>
      <c r="H158" s="320"/>
      <c r="I158" s="320"/>
      <c r="J158" s="322"/>
      <c r="K158" s="339"/>
      <c r="L158" s="1411"/>
      <c r="M158" s="1404"/>
      <c r="N158" s="1404"/>
      <c r="O158" s="1404"/>
      <c r="P158" s="1405"/>
      <c r="Q158" s="298"/>
    </row>
    <row r="159" spans="1:17">
      <c r="A159" s="405">
        <f t="shared" si="8"/>
        <v>24</v>
      </c>
      <c r="B159" s="760" t="s">
        <v>1155</v>
      </c>
      <c r="C159" s="322"/>
      <c r="D159" s="320"/>
      <c r="E159" s="393"/>
      <c r="F159" s="327"/>
      <c r="G159" s="389"/>
      <c r="H159" s="320"/>
      <c r="I159" s="320"/>
      <c r="J159" s="322"/>
      <c r="K159" s="339"/>
      <c r="L159" s="1411"/>
      <c r="M159" s="1404"/>
      <c r="N159" s="1404"/>
      <c r="O159" s="1404"/>
      <c r="P159" s="1405"/>
      <c r="Q159" s="298"/>
    </row>
    <row r="160" spans="1:17">
      <c r="A160" s="405">
        <f t="shared" si="8"/>
        <v>25</v>
      </c>
      <c r="B160" s="760" t="s">
        <v>1155</v>
      </c>
      <c r="C160" s="322"/>
      <c r="D160" s="320"/>
      <c r="E160" s="393"/>
      <c r="F160" s="327"/>
      <c r="G160" s="389"/>
      <c r="H160" s="320"/>
      <c r="I160" s="320"/>
      <c r="J160" s="322"/>
      <c r="K160" s="339"/>
      <c r="L160" s="1411"/>
      <c r="M160" s="1404"/>
      <c r="N160" s="1404"/>
      <c r="O160" s="1404"/>
      <c r="P160" s="1405"/>
      <c r="Q160" s="298"/>
    </row>
    <row r="161" spans="1:17" ht="13.5" thickBot="1">
      <c r="A161" s="405">
        <f t="shared" si="8"/>
        <v>26</v>
      </c>
      <c r="B161" s="760" t="s">
        <v>1155</v>
      </c>
      <c r="C161" s="322"/>
      <c r="D161" s="378"/>
      <c r="E161" s="393"/>
      <c r="F161" s="327"/>
      <c r="G161" s="389"/>
      <c r="H161" s="320"/>
      <c r="I161" s="378"/>
      <c r="J161" s="322"/>
      <c r="K161" s="339"/>
      <c r="L161" s="1411"/>
      <c r="M161" s="1404"/>
      <c r="N161" s="1404"/>
      <c r="O161" s="1404"/>
      <c r="P161" s="1405"/>
      <c r="Q161" s="298"/>
    </row>
    <row r="162" spans="1:17">
      <c r="A162" s="405">
        <f t="shared" si="8"/>
        <v>27</v>
      </c>
      <c r="B162" s="760" t="s">
        <v>150</v>
      </c>
      <c r="C162" s="322" t="str">
        <f>+"(Sum of Line "&amp;A156&amp;" to Line "&amp;A161&amp;")"</f>
        <v>(Sum of Line 21 to Line 26)</v>
      </c>
      <c r="D162" s="320">
        <f>SUM(D156:D161)</f>
        <v>1454686.6837784147</v>
      </c>
      <c r="E162" s="339"/>
      <c r="F162" s="339"/>
      <c r="G162" s="339"/>
      <c r="H162" s="339"/>
      <c r="I162" s="320">
        <f>SUM(I156:I161)</f>
        <v>1406272.5450286479</v>
      </c>
      <c r="L162" s="1405"/>
      <c r="M162" s="1405"/>
      <c r="N162" s="1405"/>
      <c r="O162" s="1405"/>
      <c r="P162" s="1405"/>
      <c r="Q162" s="298"/>
    </row>
    <row r="163" spans="1:17">
      <c r="A163" s="405"/>
      <c r="B163" s="333"/>
      <c r="C163" s="414"/>
      <c r="D163" s="320"/>
      <c r="E163" s="322"/>
      <c r="F163" s="322"/>
      <c r="G163" s="334"/>
      <c r="H163" s="322"/>
      <c r="I163" s="320"/>
      <c r="J163" s="322"/>
      <c r="K163" s="339"/>
      <c r="L163" s="1408"/>
      <c r="M163" s="1404"/>
      <c r="N163" s="1404"/>
      <c r="O163" s="1404"/>
      <c r="P163" s="1405"/>
      <c r="Q163" s="298"/>
    </row>
    <row r="164" spans="1:17">
      <c r="A164" s="405"/>
      <c r="B164" s="321" t="s">
        <v>675</v>
      </c>
      <c r="C164" s="339"/>
      <c r="D164" s="339"/>
      <c r="E164" s="339"/>
      <c r="F164" s="339"/>
      <c r="G164" s="339"/>
      <c r="H164" s="339"/>
      <c r="I164" s="1300"/>
      <c r="J164" s="322"/>
      <c r="K164" s="339"/>
      <c r="L164" s="1427"/>
      <c r="M164" s="1404"/>
      <c r="N164" s="1404"/>
      <c r="O164" s="1404"/>
      <c r="P164" s="1405"/>
      <c r="Q164" s="298"/>
    </row>
    <row r="165" spans="1:17">
      <c r="A165" s="405">
        <v>28</v>
      </c>
      <c r="B165" s="761" t="s">
        <v>676</v>
      </c>
      <c r="C165" s="322" t="str">
        <f>+"Appendix A Line "&amp;+'Appendix A'!A218&amp;" "&amp;$L$6&amp;" Column"</f>
        <v>Appendix A Line 146 Projected Column</v>
      </c>
      <c r="D165" s="320">
        <f>IF($L$10=0,'Appendix A'!H218,'Appendix A'!G218)</f>
        <v>3344412.8785856562</v>
      </c>
      <c r="E165" s="327"/>
      <c r="F165" s="320" t="s">
        <v>652</v>
      </c>
      <c r="G165" s="326">
        <f>+TP</f>
        <v>0.96671851107895235</v>
      </c>
      <c r="H165" s="327"/>
      <c r="I165" s="320">
        <f>+D165*G165</f>
        <v>3233105.8384195985</v>
      </c>
      <c r="J165" s="339"/>
      <c r="K165" s="339"/>
      <c r="L165" s="1411">
        <f>+I165/M165</f>
        <v>0.96671851107895235</v>
      </c>
      <c r="M165" s="1404">
        <f>+D165</f>
        <v>3344412.8785856562</v>
      </c>
      <c r="N165" s="1404">
        <f>IF($L$10=0,'Appendix A'!H218,'Appendix A'!G218)</f>
        <v>3344412.8785856562</v>
      </c>
      <c r="O165" s="1404">
        <f>+M165-N165</f>
        <v>0</v>
      </c>
      <c r="P165" s="1405"/>
      <c r="Q165" s="298"/>
    </row>
    <row r="166" spans="1:17">
      <c r="A166" s="405"/>
      <c r="B166" s="321"/>
      <c r="C166" s="333"/>
      <c r="D166" s="383"/>
      <c r="E166" s="327"/>
      <c r="F166" s="327"/>
      <c r="G166" s="415"/>
      <c r="H166" s="327"/>
      <c r="I166" s="383"/>
      <c r="J166" s="322"/>
      <c r="K166" s="339"/>
      <c r="L166" s="1409"/>
      <c r="M166" s="1404"/>
      <c r="N166" s="1404"/>
      <c r="O166" s="1404"/>
      <c r="P166" s="1405"/>
      <c r="Q166" s="298"/>
    </row>
    <row r="167" spans="1:17" ht="13.5" thickBot="1">
      <c r="A167" s="405">
        <f>A165+1</f>
        <v>29</v>
      </c>
      <c r="B167" s="321" t="s">
        <v>677</v>
      </c>
      <c r="C167" s="322" t="str">
        <f>+"(Line "&amp;A137&amp;" + Line "&amp;A143&amp;" + Line "&amp;A153&amp;" + Line "&amp;A162&amp;" + Line "&amp;A165&amp;")"</f>
        <v>(Line 8 + Line 12 + Line 20 + Line 27 + Line 28)</v>
      </c>
      <c r="D167" s="416">
        <f>+D137+D143+D153+D162+D165</f>
        <v>39467095.154758036</v>
      </c>
      <c r="E167" s="327"/>
      <c r="F167" s="327"/>
      <c r="G167" s="393"/>
      <c r="H167" s="327"/>
      <c r="I167" s="416">
        <f>+I137+I143+I153+I162+I165</f>
        <v>14730824.333490476</v>
      </c>
      <c r="J167" s="312"/>
      <c r="K167" s="339"/>
      <c r="L167" s="1418"/>
      <c r="M167" s="1428">
        <f>+M137+M143+M153+M156+M165</f>
        <v>15237966.548348632</v>
      </c>
      <c r="N167" s="1404">
        <f>IF($L$10=0,'Appendix A'!H255,'Appendix A'!G255)</f>
        <v>15237966.548348634</v>
      </c>
      <c r="O167" s="1404">
        <f>+M167-N167</f>
        <v>0</v>
      </c>
      <c r="P167" s="1405"/>
      <c r="Q167" s="298"/>
    </row>
    <row r="168" spans="1:17" ht="13.5" thickTop="1">
      <c r="A168" s="405"/>
      <c r="B168" s="321"/>
      <c r="C168" s="322"/>
      <c r="D168" s="393"/>
      <c r="E168" s="327"/>
      <c r="F168" s="327"/>
      <c r="G168" s="393"/>
      <c r="H168" s="327"/>
      <c r="I168" s="383"/>
      <c r="J168" s="312"/>
      <c r="K168" s="339"/>
      <c r="L168" s="1418"/>
      <c r="M168" s="1404"/>
      <c r="N168" s="1404"/>
      <c r="O168" s="1404"/>
      <c r="P168" s="1405"/>
      <c r="Q168" s="298"/>
    </row>
    <row r="169" spans="1:17" s="758" customFormat="1">
      <c r="A169" s="893">
        <f>+A167+1</f>
        <v>30</v>
      </c>
      <c r="B169" s="752" t="s">
        <v>1049</v>
      </c>
      <c r="C169" s="895"/>
      <c r="D169" s="750"/>
      <c r="E169" s="751"/>
      <c r="F169" s="751"/>
      <c r="G169" s="751"/>
      <c r="H169" s="751"/>
      <c r="I169" s="750"/>
      <c r="J169" s="756"/>
      <c r="K169" s="756"/>
      <c r="L169" s="1429"/>
      <c r="M169" s="1423"/>
      <c r="N169" s="1423"/>
      <c r="O169" s="1423"/>
      <c r="P169" s="1430"/>
    </row>
    <row r="170" spans="1:17" s="758" customFormat="1">
      <c r="A170" s="893"/>
      <c r="B170" s="752" t="s">
        <v>1050</v>
      </c>
      <c r="C170" s="779" t="str">
        <f>+"Appendix A Line "&amp;+'Appendix A'!A252&amp;" "&amp;$L$6&amp;" Column"</f>
        <v>Appendix A Line 167 Projected Column</v>
      </c>
      <c r="D170" s="751">
        <f>IF($L$10=0,'Appendix A'!H252,'Appendix A'!G252)</f>
        <v>0</v>
      </c>
      <c r="E170" s="751"/>
      <c r="F170" s="751" t="s">
        <v>625</v>
      </c>
      <c r="G170" s="1037">
        <v>1</v>
      </c>
      <c r="H170" s="751"/>
      <c r="I170" s="750">
        <f>+D170</f>
        <v>0</v>
      </c>
      <c r="J170" s="756"/>
      <c r="K170" s="1038"/>
      <c r="L170" s="1423"/>
      <c r="M170" s="1423"/>
      <c r="N170" s="1423"/>
      <c r="O170" s="1430"/>
      <c r="P170" s="1430"/>
    </row>
    <row r="171" spans="1:17">
      <c r="A171" s="363"/>
      <c r="B171" s="348"/>
      <c r="C171" s="354"/>
      <c r="D171" s="383"/>
      <c r="E171" s="320"/>
      <c r="F171" s="320"/>
      <c r="G171" s="320"/>
      <c r="H171" s="320"/>
      <c r="I171" s="383"/>
      <c r="J171" s="339"/>
      <c r="K171" s="349"/>
      <c r="L171" s="1404"/>
      <c r="M171" s="1404"/>
      <c r="N171" s="1404"/>
      <c r="O171" s="1405"/>
      <c r="P171" s="1405"/>
      <c r="Q171" s="298"/>
    </row>
    <row r="172" spans="1:17">
      <c r="A172" s="894" t="s">
        <v>938</v>
      </c>
      <c r="B172" s="752" t="s">
        <v>1048</v>
      </c>
      <c r="C172" s="753"/>
      <c r="D172" s="754"/>
      <c r="E172" s="755"/>
      <c r="F172" s="755"/>
      <c r="G172" s="755"/>
      <c r="H172" s="755"/>
      <c r="I172" s="754"/>
      <c r="J172" s="339"/>
      <c r="K172" s="349"/>
      <c r="L172" s="1404"/>
      <c r="M172" s="1404"/>
      <c r="N172" s="1404"/>
      <c r="O172" s="1405"/>
      <c r="P172" s="1405"/>
      <c r="Q172" s="298"/>
    </row>
    <row r="173" spans="1:17" s="758" customFormat="1" ht="26.25" thickBot="1">
      <c r="A173" s="893"/>
      <c r="B173" s="752" t="s">
        <v>1051</v>
      </c>
      <c r="C173" s="779" t="str">
        <f>+"Appendix A Line "&amp;+'Appendix A'!A253&amp;" "&amp;$L$6&amp;" Column"</f>
        <v>Appendix A Line 168 Projected Column</v>
      </c>
      <c r="D173" s="1200">
        <f>IF($L$10=0,'Appendix A'!H253,'Appendix A'!G253)</f>
        <v>0</v>
      </c>
      <c r="E173" s="751"/>
      <c r="F173" s="751" t="s">
        <v>625</v>
      </c>
      <c r="G173" s="1037">
        <v>1</v>
      </c>
      <c r="H173" s="751"/>
      <c r="I173" s="750">
        <f>+D173</f>
        <v>0</v>
      </c>
      <c r="J173" s="756"/>
      <c r="K173" s="1038"/>
      <c r="L173" s="1423"/>
      <c r="M173" s="1423"/>
      <c r="N173" s="1423"/>
      <c r="O173" s="1430"/>
      <c r="P173" s="1423"/>
      <c r="Q173" s="757"/>
    </row>
    <row r="174" spans="1:17" ht="13.5" thickBot="1">
      <c r="A174" s="363">
        <f>+A169+1</f>
        <v>31</v>
      </c>
      <c r="B174" s="348" t="s">
        <v>678</v>
      </c>
      <c r="C174" s="348" t="str">
        <f>+"(Line "&amp;A167&amp;" - Line "&amp;A169&amp;" - Line "&amp;A172&amp;")"</f>
        <v>(Line 29 - Line 30 - Line 30a)</v>
      </c>
      <c r="D174" s="417">
        <f>+D167-D170-D173</f>
        <v>39467095.154758036</v>
      </c>
      <c r="E174" s="320"/>
      <c r="F174" s="320"/>
      <c r="G174" s="320"/>
      <c r="H174" s="320"/>
      <c r="I174" s="417">
        <f>+I167-I170-I173</f>
        <v>14730824.333490476</v>
      </c>
      <c r="J174" s="339"/>
      <c r="K174" s="349"/>
      <c r="L174" s="1404">
        <f>+'Appendix A'!H263</f>
        <v>14730824.333490474</v>
      </c>
      <c r="M174" s="1404">
        <f>+L174-I174</f>
        <v>0</v>
      </c>
      <c r="N174" s="1404"/>
      <c r="O174" s="1404"/>
      <c r="P174" s="1404"/>
    </row>
    <row r="175" spans="1:17" ht="13.5" thickTop="1">
      <c r="L175" s="1404"/>
      <c r="M175" s="1404"/>
      <c r="N175" s="1404"/>
      <c r="O175" s="1405"/>
      <c r="P175" s="1404"/>
    </row>
    <row r="176" spans="1:17">
      <c r="A176" s="405"/>
      <c r="B176" s="321"/>
      <c r="C176" s="322"/>
      <c r="D176" s="393"/>
      <c r="E176" s="327"/>
      <c r="F176" s="327"/>
      <c r="G176" s="393"/>
      <c r="H176" s="327"/>
      <c r="I176" s="383"/>
      <c r="J176" s="312"/>
      <c r="K176" s="312"/>
      <c r="L176" s="1404"/>
      <c r="M176" s="1404"/>
      <c r="N176" s="1404"/>
      <c r="O176" s="1405"/>
      <c r="P176" s="1404"/>
    </row>
    <row r="177" spans="1:19">
      <c r="A177" s="405"/>
      <c r="B177" s="418"/>
      <c r="C177" s="327"/>
      <c r="D177" s="393"/>
      <c r="E177" s="393"/>
      <c r="F177" s="393"/>
      <c r="G177" s="393"/>
      <c r="H177" s="393"/>
      <c r="I177" s="393"/>
      <c r="J177" s="312"/>
      <c r="K177" s="368" t="str">
        <f>+K1</f>
        <v>Attachment O-ENOI</v>
      </c>
      <c r="L177" s="1404"/>
      <c r="M177" s="1404"/>
      <c r="N177" s="1404"/>
      <c r="O177" s="1405"/>
      <c r="P177" s="1404"/>
    </row>
    <row r="178" spans="1:19">
      <c r="A178" s="375"/>
      <c r="B178" s="333"/>
      <c r="C178" s="333"/>
      <c r="D178" s="333"/>
      <c r="E178" s="333"/>
      <c r="F178" s="333"/>
      <c r="G178" s="333"/>
      <c r="H178" s="333"/>
      <c r="I178" s="333"/>
      <c r="J178" s="322"/>
      <c r="K178" s="394" t="s">
        <v>679</v>
      </c>
    </row>
    <row r="179" spans="1:19">
      <c r="A179" s="375"/>
      <c r="B179" s="333"/>
      <c r="C179" s="397" t="str">
        <f>+C$3</f>
        <v>MISO Cover</v>
      </c>
      <c r="D179" s="333"/>
      <c r="E179" s="333"/>
      <c r="F179" s="333"/>
      <c r="G179" s="333"/>
      <c r="H179" s="333"/>
      <c r="I179" s="333"/>
      <c r="J179" s="322"/>
      <c r="K179" s="322"/>
    </row>
    <row r="180" spans="1:19">
      <c r="A180" s="375"/>
      <c r="B180" s="321" t="s">
        <v>611</v>
      </c>
      <c r="C180" s="419" t="s">
        <v>612</v>
      </c>
      <c r="D180" s="339"/>
      <c r="E180" s="333"/>
      <c r="F180" s="333"/>
      <c r="G180" s="333"/>
      <c r="H180" s="333"/>
      <c r="I180" s="396"/>
      <c r="J180" s="322"/>
      <c r="K180" s="420" t="str">
        <f>K4</f>
        <v>For  the 12 Months Ended 12/31/2014</v>
      </c>
    </row>
    <row r="181" spans="1:19">
      <c r="A181" s="375"/>
      <c r="B181" s="321"/>
      <c r="C181" s="419" t="s">
        <v>613</v>
      </c>
      <c r="D181" s="339"/>
      <c r="E181" s="333"/>
      <c r="F181" s="333"/>
      <c r="G181" s="333"/>
      <c r="H181" s="333"/>
      <c r="I181" s="333"/>
      <c r="J181" s="322"/>
      <c r="K181" s="322"/>
    </row>
    <row r="182" spans="1:19">
      <c r="A182" s="375"/>
      <c r="B182" s="333"/>
      <c r="C182" s="419" t="str">
        <f>+C119</f>
        <v>Entergy New Orleans, Inc.</v>
      </c>
      <c r="D182" s="339"/>
      <c r="E182" s="333"/>
      <c r="F182" s="333"/>
      <c r="G182" s="333"/>
      <c r="H182" s="333"/>
      <c r="I182" s="333"/>
      <c r="J182" s="322"/>
      <c r="K182" s="322"/>
    </row>
    <row r="183" spans="1:19">
      <c r="A183" s="1010"/>
      <c r="B183" s="1010"/>
      <c r="C183" s="419" t="str">
        <f>+C120</f>
        <v>Projected Rate</v>
      </c>
      <c r="D183" s="1010"/>
      <c r="E183" s="1010"/>
      <c r="F183" s="1010"/>
      <c r="G183" s="1010"/>
      <c r="H183" s="1010"/>
      <c r="I183" s="1010"/>
      <c r="J183" s="1010"/>
      <c r="K183" s="1010"/>
    </row>
    <row r="184" spans="1:19" s="412" customFormat="1">
      <c r="A184" s="421"/>
      <c r="B184" s="397" t="s">
        <v>271</v>
      </c>
      <c r="C184" s="397" t="s">
        <v>615</v>
      </c>
      <c r="D184" s="397" t="s">
        <v>616</v>
      </c>
      <c r="E184" s="322" t="s">
        <v>165</v>
      </c>
      <c r="F184" s="322"/>
      <c r="G184" s="398" t="s">
        <v>617</v>
      </c>
      <c r="H184" s="322"/>
      <c r="I184" s="398" t="s">
        <v>618</v>
      </c>
      <c r="J184" s="409"/>
      <c r="K184" s="409"/>
      <c r="L184" s="411"/>
      <c r="M184" s="411"/>
      <c r="N184" s="411"/>
      <c r="P184" s="411"/>
      <c r="Q184" s="411"/>
    </row>
    <row r="185" spans="1:19">
      <c r="A185" s="375"/>
      <c r="B185" s="333"/>
      <c r="C185" s="321"/>
      <c r="D185" s="321"/>
      <c r="E185" s="321"/>
      <c r="F185" s="321"/>
      <c r="G185" s="321"/>
      <c r="H185" s="321"/>
      <c r="I185" s="321"/>
      <c r="J185" s="321"/>
      <c r="K185" s="321"/>
    </row>
    <row r="186" spans="1:19">
      <c r="A186" s="1631" t="s">
        <v>680</v>
      </c>
      <c r="B186" s="1631"/>
      <c r="C186" s="1631"/>
      <c r="D186" s="1631"/>
      <c r="E186" s="1631"/>
      <c r="F186" s="1631"/>
      <c r="G186" s="1631"/>
      <c r="H186" s="1631"/>
      <c r="I186" s="1631"/>
      <c r="J186" s="1631"/>
      <c r="K186" s="1631"/>
    </row>
    <row r="187" spans="1:19">
      <c r="A187" s="375" t="s">
        <v>619</v>
      </c>
      <c r="B187" s="422"/>
      <c r="C187" s="312"/>
      <c r="D187" s="312"/>
      <c r="E187" s="312"/>
      <c r="F187" s="312"/>
      <c r="G187" s="312"/>
      <c r="H187" s="312"/>
      <c r="I187" s="312"/>
      <c r="J187" s="322"/>
      <c r="K187" s="322"/>
    </row>
    <row r="188" spans="1:19" ht="13.5" thickBot="1">
      <c r="A188" s="323" t="s">
        <v>621</v>
      </c>
      <c r="B188" s="305" t="s">
        <v>681</v>
      </c>
      <c r="C188" s="312"/>
      <c r="D188" s="312"/>
      <c r="E188" s="312"/>
      <c r="F188" s="312"/>
      <c r="G188" s="312"/>
      <c r="H188" s="333"/>
      <c r="I188" s="333"/>
      <c r="J188" s="322"/>
      <c r="K188" s="322"/>
    </row>
    <row r="189" spans="1:19">
      <c r="A189" s="375">
        <v>1</v>
      </c>
      <c r="B189" s="759" t="s">
        <v>682</v>
      </c>
      <c r="C189" s="322" t="str">
        <f>+"Appendix A Line "&amp;+'Appendix A'!A258&amp;" "&amp;$L$6&amp;" Column"</f>
        <v>Appendix A Line 170 Projected Column</v>
      </c>
      <c r="D189" s="322"/>
      <c r="E189" s="322"/>
      <c r="F189" s="322"/>
      <c r="G189" s="322"/>
      <c r="H189" s="322"/>
      <c r="I189" s="320">
        <f>IF($L$10=0,'Appendix A'!H258,'Appendix A'!G258)</f>
        <v>106586216.99333332</v>
      </c>
      <c r="J189" s="322"/>
      <c r="K189" s="322"/>
      <c r="N189" s="386"/>
      <c r="O189" s="386"/>
      <c r="P189" s="386"/>
      <c r="Q189" s="386"/>
      <c r="R189" s="386"/>
      <c r="S189" s="386"/>
    </row>
    <row r="190" spans="1:19">
      <c r="A190" s="375">
        <f>+A189+1</f>
        <v>2</v>
      </c>
      <c r="B190" s="759" t="s">
        <v>683</v>
      </c>
      <c r="C190" s="322" t="str">
        <f>+"Appendix A Line "&amp;+'Appendix A'!A259&amp;" "&amp;$L$6&amp;" Column"</f>
        <v>Appendix A Line 171 Projected Column</v>
      </c>
      <c r="D190" s="333"/>
      <c r="E190" s="333"/>
      <c r="F190" s="333"/>
      <c r="G190" s="333"/>
      <c r="H190" s="333"/>
      <c r="I190" s="320">
        <f>IF($L$10=0,'Appendix A'!H259,'Appendix A'!G259)</f>
        <v>3547348</v>
      </c>
      <c r="J190" s="322"/>
      <c r="K190" s="322"/>
      <c r="N190" s="386"/>
      <c r="O190" s="386"/>
      <c r="P190" s="386"/>
      <c r="Q190" s="386"/>
      <c r="R190" s="386"/>
      <c r="S190" s="386"/>
    </row>
    <row r="191" spans="1:19" ht="13.5" thickBot="1">
      <c r="A191" s="375">
        <f t="shared" ref="A191:A215" si="9">+A190+1</f>
        <v>3</v>
      </c>
      <c r="B191" s="760" t="s">
        <v>1155</v>
      </c>
      <c r="C191" s="423"/>
      <c r="D191" s="396"/>
      <c r="E191" s="322"/>
      <c r="F191" s="322"/>
      <c r="G191" s="395"/>
      <c r="H191" s="322"/>
      <c r="I191" s="378"/>
      <c r="J191" s="322"/>
      <c r="K191" s="322"/>
      <c r="N191" s="386"/>
      <c r="O191" s="386"/>
      <c r="P191" s="386"/>
      <c r="Q191" s="386"/>
      <c r="R191" s="386"/>
      <c r="S191" s="386"/>
    </row>
    <row r="192" spans="1:19">
      <c r="A192" s="375">
        <f t="shared" si="9"/>
        <v>4</v>
      </c>
      <c r="B192" s="759" t="s">
        <v>684</v>
      </c>
      <c r="C192" s="312" t="str">
        <f>+"(Line "&amp;A189&amp;" - Line "&amp;A190&amp;" - Line "&amp;A191&amp;")"</f>
        <v>(Line 1 - Line 2 - Line 3)</v>
      </c>
      <c r="D192" s="322"/>
      <c r="E192" s="322"/>
      <c r="F192" s="322"/>
      <c r="G192" s="395"/>
      <c r="H192" s="322"/>
      <c r="I192" s="320">
        <f>I189-I190-I191</f>
        <v>103038868.99333332</v>
      </c>
      <c r="J192" s="322"/>
      <c r="K192" s="322"/>
      <c r="N192" s="386"/>
      <c r="O192" s="386"/>
      <c r="P192" s="386"/>
      <c r="Q192" s="386"/>
      <c r="R192" s="386"/>
      <c r="S192" s="386"/>
    </row>
    <row r="193" spans="1:19">
      <c r="A193" s="375"/>
      <c r="B193" s="333"/>
      <c r="C193" s="312"/>
      <c r="D193" s="322"/>
      <c r="E193" s="322"/>
      <c r="F193" s="322"/>
      <c r="G193" s="395"/>
      <c r="H193" s="322"/>
      <c r="I193" s="320"/>
      <c r="J193" s="322"/>
      <c r="K193" s="322"/>
      <c r="N193" s="386"/>
      <c r="O193" s="386"/>
      <c r="P193" s="386"/>
      <c r="Q193" s="386"/>
      <c r="R193" s="386"/>
      <c r="S193" s="386"/>
    </row>
    <row r="194" spans="1:19">
      <c r="A194" s="375">
        <f>+A192+1</f>
        <v>5</v>
      </c>
      <c r="B194" s="759" t="s">
        <v>685</v>
      </c>
      <c r="C194" s="312" t="str">
        <f>+"(Line "&amp;A192&amp;" / Line "&amp;A189&amp;")"</f>
        <v>(Line 4 / Line 1)</v>
      </c>
      <c r="D194" s="424"/>
      <c r="E194" s="424"/>
      <c r="F194" s="424"/>
      <c r="G194" s="1201" t="s">
        <v>1146</v>
      </c>
      <c r="H194" s="322" t="s">
        <v>686</v>
      </c>
      <c r="I194" s="389">
        <f>IF(I189&gt;0,I192/I189,0)</f>
        <v>0.96671851107895235</v>
      </c>
      <c r="J194" s="322"/>
      <c r="K194" s="322"/>
      <c r="N194" s="386"/>
      <c r="O194" s="386"/>
      <c r="P194" s="386"/>
      <c r="Q194" s="386"/>
      <c r="R194" s="386"/>
      <c r="S194" s="386"/>
    </row>
    <row r="195" spans="1:19">
      <c r="A195" s="375"/>
      <c r="B195" s="759"/>
      <c r="C195" s="312"/>
      <c r="D195" s="424"/>
      <c r="E195" s="424"/>
      <c r="F195" s="424"/>
      <c r="G195" s="398"/>
      <c r="H195" s="322"/>
      <c r="I195" s="389"/>
      <c r="J195" s="322"/>
      <c r="K195" s="322"/>
      <c r="N195" s="386"/>
      <c r="O195" s="386"/>
      <c r="P195" s="386"/>
      <c r="Q195" s="386"/>
      <c r="R195" s="386"/>
      <c r="S195" s="386"/>
    </row>
    <row r="196" spans="1:19">
      <c r="A196" s="888" t="s">
        <v>944</v>
      </c>
      <c r="B196" s="321" t="s">
        <v>687</v>
      </c>
      <c r="C196" s="333"/>
      <c r="D196" s="333"/>
      <c r="E196" s="333"/>
      <c r="F196" s="333"/>
      <c r="G196" s="333"/>
      <c r="H196" s="333"/>
      <c r="I196" s="333"/>
      <c r="J196" s="333"/>
      <c r="K196" s="333"/>
      <c r="N196" s="386"/>
      <c r="O196" s="386"/>
      <c r="P196" s="386"/>
      <c r="Q196" s="386"/>
      <c r="R196" s="386"/>
      <c r="S196" s="386"/>
    </row>
    <row r="197" spans="1:19" ht="13.5" thickBot="1">
      <c r="B197" s="339"/>
      <c r="C197" s="425" t="s">
        <v>688</v>
      </c>
      <c r="D197" s="426" t="s">
        <v>689</v>
      </c>
      <c r="E197" s="339"/>
      <c r="F197" s="426" t="s">
        <v>652</v>
      </c>
      <c r="G197" s="426" t="s">
        <v>221</v>
      </c>
      <c r="H197" s="322"/>
      <c r="I197" s="322"/>
      <c r="J197" s="322"/>
      <c r="K197" s="322"/>
      <c r="N197" s="386"/>
      <c r="O197" s="386"/>
      <c r="P197" s="386"/>
      <c r="Q197" s="386"/>
      <c r="R197" s="386"/>
      <c r="S197" s="386"/>
    </row>
    <row r="198" spans="1:19">
      <c r="A198" s="375">
        <v>12</v>
      </c>
      <c r="B198" s="760" t="s">
        <v>888</v>
      </c>
      <c r="C198" s="322" t="str">
        <f>+"Appendix A Line "&amp;+'Appendix A'!A11&amp;" "&amp;$L$6&amp;" Column"</f>
        <v>Appendix A Line 1 Projected Column</v>
      </c>
      <c r="D198" s="320">
        <f>IF($L$10=0,'Appendix A'!H11,'Appendix A'!G11)</f>
        <v>1711851</v>
      </c>
      <c r="E198" s="339"/>
      <c r="F198" s="326">
        <f>+TP</f>
        <v>0.96671851107895235</v>
      </c>
      <c r="G198" s="320">
        <f>+D198*F198</f>
        <v>1654878.0499090157</v>
      </c>
      <c r="H198" s="327"/>
      <c r="I198" s="327"/>
      <c r="J198" s="322"/>
      <c r="K198" s="322"/>
      <c r="N198" s="386"/>
      <c r="O198" s="386"/>
      <c r="P198" s="386"/>
      <c r="Q198" s="386"/>
      <c r="R198" s="386"/>
      <c r="S198" s="386"/>
    </row>
    <row r="199" spans="1:19">
      <c r="A199" s="375">
        <f t="shared" si="9"/>
        <v>13</v>
      </c>
      <c r="B199" s="760" t="s">
        <v>889</v>
      </c>
      <c r="C199" s="322" t="str">
        <f>+"Appendix A Line "&amp;+'Appendix A'!A12&amp;" "&amp;$L$6&amp;" Column"</f>
        <v>Appendix A Line 2 Projected Column</v>
      </c>
      <c r="D199" s="320">
        <f>IF($L$10=0,'Appendix A'!H12,'Appendix A'!G12)</f>
        <v>-558.01</v>
      </c>
      <c r="E199" s="339"/>
      <c r="F199" s="326">
        <f>+TP</f>
        <v>0.96671851107895235</v>
      </c>
      <c r="G199" s="320">
        <f>+D199*F199</f>
        <v>-539.43859636716616</v>
      </c>
      <c r="H199" s="327"/>
      <c r="I199" s="327"/>
      <c r="J199" s="322"/>
      <c r="K199" s="322"/>
      <c r="L199" s="299">
        <f>+D199/D202</f>
        <v>-3.5871321309671418E-5</v>
      </c>
      <c r="N199" s="386"/>
      <c r="O199" s="386"/>
      <c r="P199" s="386"/>
      <c r="Q199" s="386"/>
      <c r="R199" s="386"/>
      <c r="S199" s="386"/>
    </row>
    <row r="200" spans="1:19">
      <c r="A200" s="375">
        <f t="shared" si="9"/>
        <v>14</v>
      </c>
      <c r="B200" s="760" t="s">
        <v>1155</v>
      </c>
      <c r="C200" s="322"/>
      <c r="D200" s="320"/>
      <c r="E200" s="339"/>
      <c r="F200" s="427"/>
      <c r="G200" s="320"/>
      <c r="H200" s="327"/>
      <c r="I200" s="428" t="s">
        <v>690</v>
      </c>
      <c r="J200" s="322"/>
      <c r="K200" s="322"/>
      <c r="L200" s="299">
        <f>+I194</f>
        <v>0.96671851107895235</v>
      </c>
      <c r="N200" s="386"/>
      <c r="O200" s="386"/>
      <c r="P200" s="386"/>
      <c r="Q200" s="386"/>
      <c r="R200" s="386"/>
      <c r="S200" s="386"/>
    </row>
    <row r="201" spans="1:19" ht="13.5" thickBot="1">
      <c r="A201" s="375">
        <f t="shared" si="9"/>
        <v>15</v>
      </c>
      <c r="B201" s="760" t="s">
        <v>1155</v>
      </c>
      <c r="C201" s="322"/>
      <c r="D201" s="378"/>
      <c r="E201" s="339"/>
      <c r="F201" s="427"/>
      <c r="G201" s="378"/>
      <c r="H201" s="327"/>
      <c r="I201" s="429" t="s">
        <v>691</v>
      </c>
      <c r="J201" s="322"/>
      <c r="K201" s="322"/>
      <c r="L201" s="299">
        <f>+L199*L200</f>
        <v>-3.4677470326920246E-5</v>
      </c>
      <c r="N201" s="386"/>
      <c r="O201" s="386"/>
      <c r="P201" s="386"/>
      <c r="Q201" s="386"/>
      <c r="R201" s="386"/>
      <c r="S201" s="386"/>
    </row>
    <row r="202" spans="1:19">
      <c r="A202" s="375">
        <f t="shared" si="9"/>
        <v>16</v>
      </c>
      <c r="B202" s="760" t="s">
        <v>795</v>
      </c>
      <c r="C202" s="322" t="str">
        <f>+"Appendix A Line "&amp;+'Appendix A'!A23&amp;" "&amp;$L$6&amp;" Column"</f>
        <v>Appendix A Line 10 Projected Column</v>
      </c>
      <c r="D202" s="320">
        <f>IF($L$10=0,'Appendix A'!H23,'Appendix A'!G23)</f>
        <v>15555880.84371881</v>
      </c>
      <c r="E202" s="322"/>
      <c r="F202" s="322"/>
      <c r="G202" s="320">
        <f>SUM(G198:G201)</f>
        <v>1654338.6113126485</v>
      </c>
      <c r="H202" s="430" t="s">
        <v>692</v>
      </c>
      <c r="I202" s="431">
        <f>IF(G202&gt;0,G202/D202,0)</f>
        <v>0.10634811541261202</v>
      </c>
      <c r="J202" s="395" t="s">
        <v>692</v>
      </c>
      <c r="K202" s="322" t="s">
        <v>693</v>
      </c>
      <c r="N202" s="386"/>
      <c r="O202" s="386"/>
      <c r="P202" s="386"/>
      <c r="Q202" s="386"/>
      <c r="R202" s="386"/>
      <c r="S202" s="386"/>
    </row>
    <row r="203" spans="1:19">
      <c r="A203" s="375"/>
      <c r="B203" s="321" t="s">
        <v>165</v>
      </c>
      <c r="C203" s="322" t="s">
        <v>165</v>
      </c>
      <c r="D203" s="333"/>
      <c r="E203" s="322"/>
      <c r="F203" s="322"/>
      <c r="G203" s="333"/>
      <c r="H203" s="333"/>
      <c r="I203" s="333"/>
      <c r="J203" s="333"/>
      <c r="K203" s="322"/>
      <c r="N203" s="386"/>
      <c r="O203" s="386"/>
      <c r="P203" s="386"/>
      <c r="Q203" s="386"/>
      <c r="R203" s="386"/>
      <c r="S203" s="386"/>
    </row>
    <row r="204" spans="1:19">
      <c r="A204" s="375"/>
      <c r="B204" s="321" t="s">
        <v>1155</v>
      </c>
      <c r="C204" s="339"/>
      <c r="D204" s="399" t="s">
        <v>689</v>
      </c>
      <c r="E204" s="322"/>
      <c r="F204" s="322"/>
      <c r="G204" s="394"/>
      <c r="H204" s="413"/>
      <c r="I204" s="388"/>
      <c r="J204" s="322"/>
      <c r="K204" s="322"/>
      <c r="M204" s="298"/>
      <c r="N204" s="386"/>
      <c r="O204" s="386"/>
      <c r="P204" s="386"/>
      <c r="Q204" s="386"/>
      <c r="R204" s="386"/>
      <c r="S204" s="386"/>
    </row>
    <row r="205" spans="1:19">
      <c r="A205" s="375">
        <f>+A202+1</f>
        <v>17</v>
      </c>
      <c r="B205" s="760" t="s">
        <v>1155</v>
      </c>
      <c r="C205" s="322"/>
      <c r="D205" s="320">
        <v>0</v>
      </c>
      <c r="E205" s="322"/>
      <c r="F205" s="333"/>
      <c r="G205" s="890"/>
      <c r="H205" s="432"/>
      <c r="I205" s="375"/>
      <c r="J205" s="322"/>
      <c r="K205" s="433"/>
      <c r="M205" s="298"/>
      <c r="N205" s="298"/>
      <c r="P205" s="298"/>
      <c r="Q205" s="298"/>
    </row>
    <row r="206" spans="1:19">
      <c r="A206" s="375">
        <f t="shared" si="9"/>
        <v>18</v>
      </c>
      <c r="B206" s="760" t="s">
        <v>1155</v>
      </c>
      <c r="C206" s="322"/>
      <c r="D206" s="320">
        <v>0</v>
      </c>
      <c r="E206" s="322"/>
      <c r="F206" s="333"/>
      <c r="G206" s="431"/>
      <c r="H206" s="434" t="s">
        <v>490</v>
      </c>
      <c r="I206" s="431"/>
      <c r="J206" s="434"/>
      <c r="K206" s="431"/>
      <c r="L206" s="298"/>
      <c r="M206" s="298"/>
      <c r="N206" s="298"/>
      <c r="P206" s="298"/>
      <c r="Q206" s="298"/>
    </row>
    <row r="207" spans="1:19" ht="13.5" thickBot="1">
      <c r="A207" s="375">
        <f t="shared" si="9"/>
        <v>19</v>
      </c>
      <c r="B207" s="764" t="s">
        <v>1155</v>
      </c>
      <c r="C207" s="425"/>
      <c r="D207" s="378">
        <v>0</v>
      </c>
      <c r="E207" s="322"/>
      <c r="F207" s="322"/>
      <c r="G207" s="322" t="s">
        <v>165</v>
      </c>
      <c r="H207" s="322"/>
      <c r="I207" s="322"/>
      <c r="J207" s="322"/>
      <c r="K207" s="322"/>
      <c r="L207" s="298"/>
      <c r="M207" s="298"/>
      <c r="N207" s="298"/>
      <c r="P207" s="298"/>
      <c r="Q207" s="298"/>
    </row>
    <row r="208" spans="1:19">
      <c r="A208" s="375">
        <f t="shared" si="9"/>
        <v>20</v>
      </c>
      <c r="B208" s="321" t="s">
        <v>214</v>
      </c>
      <c r="C208" s="333" t="str">
        <f>+"(Sum of Line "&amp;A205&amp;" to Line "&amp;A207&amp;")"</f>
        <v>(Sum of Line 17 to Line 19)</v>
      </c>
      <c r="D208" s="320">
        <f>D205+D206+D207</f>
        <v>0</v>
      </c>
      <c r="E208" s="322"/>
      <c r="F208" s="322"/>
      <c r="G208" s="322"/>
      <c r="H208" s="322"/>
      <c r="I208" s="322"/>
      <c r="J208" s="322"/>
      <c r="K208" s="322"/>
      <c r="L208" s="298"/>
      <c r="M208" s="298"/>
      <c r="N208" s="298"/>
      <c r="P208" s="298"/>
      <c r="Q208" s="298"/>
    </row>
    <row r="209" spans="1:17">
      <c r="A209" s="375"/>
      <c r="B209" s="321"/>
      <c r="C209" s="322"/>
      <c r="D209" s="333"/>
      <c r="E209" s="322"/>
      <c r="F209" s="322"/>
      <c r="G209" s="322"/>
      <c r="H209" s="322"/>
      <c r="I209" s="322"/>
      <c r="J209" s="322"/>
      <c r="K209" s="322"/>
      <c r="L209" s="298"/>
      <c r="M209" s="298"/>
      <c r="N209" s="298"/>
      <c r="P209" s="298"/>
      <c r="Q209" s="298"/>
    </row>
    <row r="210" spans="1:17">
      <c r="A210" s="889" t="s">
        <v>945</v>
      </c>
      <c r="B210" s="305" t="s">
        <v>694</v>
      </c>
      <c r="C210" s="322"/>
      <c r="D210" s="322"/>
      <c r="E210" s="322"/>
      <c r="F210" s="322"/>
      <c r="G210" s="395" t="s">
        <v>695</v>
      </c>
      <c r="H210" s="322"/>
      <c r="I210" s="322"/>
      <c r="J210" s="322"/>
      <c r="K210" s="322"/>
      <c r="L210" s="298"/>
      <c r="M210" s="298"/>
      <c r="N210" s="298"/>
      <c r="P210" s="298"/>
      <c r="Q210" s="298"/>
    </row>
    <row r="211" spans="1:17" ht="13.5" thickBot="1">
      <c r="A211" s="375"/>
      <c r="B211" s="321"/>
      <c r="C211" s="322"/>
      <c r="D211" s="323" t="s">
        <v>689</v>
      </c>
      <c r="E211" s="339"/>
      <c r="F211" s="323" t="s">
        <v>696</v>
      </c>
      <c r="G211" s="419"/>
      <c r="H211" s="322"/>
      <c r="I211" s="323" t="s">
        <v>697</v>
      </c>
      <c r="J211" s="322"/>
      <c r="K211" s="322"/>
      <c r="L211" s="298"/>
      <c r="M211" s="298"/>
      <c r="N211" s="298"/>
      <c r="P211" s="298"/>
      <c r="Q211" s="298"/>
    </row>
    <row r="212" spans="1:17">
      <c r="A212" s="375">
        <v>27</v>
      </c>
      <c r="B212" s="759" t="s">
        <v>895</v>
      </c>
      <c r="C212" s="322" t="str">
        <f>+"Appendix A Line "&amp;+'Appendix A'!A197&amp;" "&amp;$L$6&amp;" Column"</f>
        <v>Appendix A Line 130 Projected Column</v>
      </c>
      <c r="D212" s="320">
        <f>IF($L$10=0,'Appendix A'!H197,'Appendix A'!G197)</f>
        <v>226162000</v>
      </c>
      <c r="E212" s="339"/>
      <c r="F212" s="1395">
        <f>IF(D$215=0,0,+D212/D$215)</f>
        <v>0.47716879035247334</v>
      </c>
      <c r="G212" s="407">
        <f>IF($L$10=0,'Appendix A'!H209,'Appendix A'!G209)</f>
        <v>5.2772733493262225E-2</v>
      </c>
      <c r="H212" s="328"/>
      <c r="I212" s="435">
        <f>F212*G212</f>
        <v>2.5181501404573391E-2</v>
      </c>
      <c r="J212" s="434" t="s">
        <v>692</v>
      </c>
      <c r="K212" s="436" t="s">
        <v>698</v>
      </c>
      <c r="L212" s="298"/>
      <c r="M212" s="298"/>
      <c r="N212" s="298"/>
      <c r="P212" s="298"/>
      <c r="Q212" s="298"/>
    </row>
    <row r="213" spans="1:17">
      <c r="A213" s="375">
        <f t="shared" si="9"/>
        <v>28</v>
      </c>
      <c r="B213" s="759" t="s">
        <v>896</v>
      </c>
      <c r="C213" s="322" t="str">
        <f>+"Appendix A Line "&amp;+'Appendix A'!A200&amp;" "&amp;$L$6&amp;" Column"</f>
        <v>Appendix A Line 133 Projected Column</v>
      </c>
      <c r="D213" s="320">
        <f>IF($L$10=0,'Appendix A'!H200,'Appendix A'!G200)</f>
        <v>20003721</v>
      </c>
      <c r="E213" s="339"/>
      <c r="F213" s="1395">
        <f t="shared" ref="F213:F214" si="10">IF(D$215=0,0,+D213/D$215)</f>
        <v>4.220492988264328E-2</v>
      </c>
      <c r="G213" s="407">
        <f>IF($L$10=0,'Appendix A'!H210,'Appendix A'!G210)</f>
        <v>4.8228027175543989E-2</v>
      </c>
      <c r="H213" s="328"/>
      <c r="I213" s="435">
        <f>F213*G213</f>
        <v>2.0354605053220487E-3</v>
      </c>
      <c r="J213" s="322"/>
      <c r="K213" s="333"/>
      <c r="L213" s="298"/>
      <c r="M213" s="298"/>
      <c r="N213" s="298"/>
      <c r="P213" s="298"/>
      <c r="Q213" s="298"/>
    </row>
    <row r="214" spans="1:17" ht="13.5" thickBot="1">
      <c r="A214" s="375">
        <f t="shared" si="9"/>
        <v>29</v>
      </c>
      <c r="B214" s="759" t="s">
        <v>153</v>
      </c>
      <c r="C214" s="322" t="str">
        <f>+"Appendix A Line "&amp;+'Appendix A'!A202&amp;" "&amp;$L$6&amp;" Column"</f>
        <v>Appendix A Line 135 Projected Column</v>
      </c>
      <c r="D214" s="378">
        <f>IF($L$10=0,'Appendix A'!H202,'Appendix A'!G202)</f>
        <v>227800734</v>
      </c>
      <c r="E214" s="339"/>
      <c r="F214" s="1395">
        <f t="shared" si="10"/>
        <v>0.48062627976488337</v>
      </c>
      <c r="G214" s="407">
        <f>IF($L$10=0,'Appendix A'!H211,'Appendix A'!G211)</f>
        <v>0.12379999999999999</v>
      </c>
      <c r="H214" s="333"/>
      <c r="I214" s="437">
        <f>F214*G214</f>
        <v>5.9501533434892555E-2</v>
      </c>
      <c r="J214" s="322"/>
      <c r="K214" s="333"/>
      <c r="L214" s="298"/>
      <c r="M214" s="298"/>
      <c r="N214" s="298"/>
      <c r="P214" s="298"/>
      <c r="Q214" s="298"/>
    </row>
    <row r="215" spans="1:17">
      <c r="A215" s="375">
        <f t="shared" si="9"/>
        <v>30</v>
      </c>
      <c r="B215" s="321" t="s">
        <v>106</v>
      </c>
      <c r="C215" s="333" t="str">
        <f>+"(Sum of Lines "&amp;A212&amp;" to "&amp;A214&amp;")"</f>
        <v>(Sum of Lines 27 to 29)</v>
      </c>
      <c r="D215" s="438">
        <f>SUM(D212:D214)</f>
        <v>473966455</v>
      </c>
      <c r="E215" s="328" t="s">
        <v>165</v>
      </c>
      <c r="F215" s="328"/>
      <c r="G215" s="322"/>
      <c r="H215" s="322"/>
      <c r="I215" s="435">
        <f>SUM(I212:I214)</f>
        <v>8.6718495344787996E-2</v>
      </c>
      <c r="J215" s="434" t="s">
        <v>692</v>
      </c>
      <c r="K215" s="333" t="s">
        <v>442</v>
      </c>
      <c r="L215" s="298"/>
      <c r="M215" s="298"/>
      <c r="N215" s="298"/>
      <c r="P215" s="298"/>
      <c r="Q215" s="298"/>
    </row>
    <row r="216" spans="1:17">
      <c r="A216" s="375"/>
      <c r="B216" s="333"/>
      <c r="C216" s="333"/>
      <c r="D216" s="333"/>
      <c r="E216" s="322"/>
      <c r="F216" s="322"/>
      <c r="G216" s="322"/>
      <c r="H216" s="322"/>
      <c r="I216" s="333"/>
      <c r="J216" s="333"/>
      <c r="K216" s="333"/>
      <c r="L216" s="298"/>
      <c r="M216" s="298"/>
      <c r="N216" s="298"/>
      <c r="P216" s="298"/>
      <c r="Q216" s="298"/>
    </row>
    <row r="217" spans="1:17">
      <c r="A217" s="375"/>
      <c r="B217" s="305" t="s">
        <v>699</v>
      </c>
      <c r="C217" s="306"/>
      <c r="D217" s="306"/>
      <c r="E217" s="306"/>
      <c r="F217" s="306"/>
      <c r="G217" s="306"/>
      <c r="H217" s="306"/>
      <c r="I217" s="306"/>
      <c r="J217" s="306"/>
      <c r="K217" s="306"/>
      <c r="L217" s="298"/>
      <c r="M217" s="298"/>
      <c r="N217" s="298"/>
      <c r="P217" s="298"/>
      <c r="Q217" s="298"/>
    </row>
    <row r="218" spans="1:17">
      <c r="A218" s="375"/>
      <c r="B218" s="305"/>
      <c r="C218" s="305"/>
      <c r="D218" s="305"/>
      <c r="E218" s="305"/>
      <c r="F218" s="305"/>
      <c r="G218" s="305"/>
      <c r="H218" s="305"/>
      <c r="I218" s="441"/>
      <c r="J218" s="343"/>
      <c r="K218" s="333"/>
      <c r="L218" s="298"/>
      <c r="M218" s="298"/>
      <c r="N218" s="298"/>
      <c r="P218" s="298"/>
      <c r="Q218" s="298"/>
    </row>
    <row r="219" spans="1:17">
      <c r="A219" s="375"/>
      <c r="B219" s="305" t="s">
        <v>700</v>
      </c>
      <c r="C219" s="306"/>
      <c r="D219" s="306"/>
      <c r="E219" s="306"/>
      <c r="F219" s="306"/>
      <c r="G219" s="439" t="s">
        <v>165</v>
      </c>
      <c r="H219" s="440"/>
      <c r="I219" s="441"/>
      <c r="J219" s="441"/>
      <c r="K219" s="333"/>
      <c r="L219" s="298"/>
      <c r="M219" s="298"/>
      <c r="N219" s="298"/>
      <c r="P219" s="298"/>
      <c r="Q219" s="298"/>
    </row>
    <row r="220" spans="1:17">
      <c r="A220" s="375">
        <f>+A215+1</f>
        <v>31</v>
      </c>
      <c r="B220" s="760" t="s">
        <v>1155</v>
      </c>
      <c r="C220" s="306"/>
      <c r="D220" s="306"/>
      <c r="E220" s="333"/>
      <c r="F220" s="306"/>
      <c r="G220" s="333"/>
      <c r="H220" s="440"/>
      <c r="I220" s="442"/>
      <c r="J220" s="443"/>
      <c r="K220" s="333"/>
      <c r="L220" s="298"/>
      <c r="M220" s="298"/>
      <c r="N220" s="298"/>
      <c r="P220" s="298"/>
      <c r="Q220" s="298"/>
    </row>
    <row r="221" spans="1:17" ht="13.5" thickBot="1">
      <c r="A221" s="375">
        <f>+A220+1</f>
        <v>32</v>
      </c>
      <c r="B221" s="764" t="s">
        <v>1155</v>
      </c>
      <c r="C221" s="425"/>
      <c r="D221" s="1029"/>
      <c r="E221" s="1030"/>
      <c r="F221" s="1030"/>
      <c r="G221" s="1030"/>
      <c r="H221" s="306"/>
      <c r="I221" s="444"/>
      <c r="J221" s="445"/>
      <c r="K221" s="333"/>
      <c r="N221" s="298"/>
      <c r="P221" s="298"/>
      <c r="Q221" s="298"/>
    </row>
    <row r="222" spans="1:17">
      <c r="A222" s="375">
        <f>+A221+1</f>
        <v>33</v>
      </c>
      <c r="B222" s="345" t="s">
        <v>214</v>
      </c>
      <c r="C222" s="333" t="str">
        <f>+"(Sum of Line "&amp;A220&amp;" + Line "&amp;A221&amp;")"</f>
        <v>(Sum of Line 31 + Line 32)</v>
      </c>
      <c r="D222" s="333"/>
      <c r="E222" s="306"/>
      <c r="F222" s="306"/>
      <c r="G222" s="306"/>
      <c r="H222" s="306"/>
      <c r="I222" s="1202">
        <f>I220+I221</f>
        <v>0</v>
      </c>
      <c r="J222" s="443"/>
      <c r="K222" s="333"/>
      <c r="N222" s="298"/>
      <c r="P222" s="298"/>
      <c r="Q222" s="298"/>
    </row>
    <row r="223" spans="1:17">
      <c r="A223" s="375"/>
      <c r="B223" s="345"/>
      <c r="C223" s="312"/>
      <c r="D223" s="333"/>
      <c r="E223" s="306"/>
      <c r="F223" s="306"/>
      <c r="G223" s="306"/>
      <c r="H223" s="306"/>
      <c r="I223" s="446"/>
      <c r="J223" s="441"/>
      <c r="K223" s="333"/>
      <c r="N223" s="298"/>
      <c r="P223" s="298"/>
      <c r="Q223" s="298"/>
    </row>
    <row r="224" spans="1:17">
      <c r="A224" s="375">
        <f>+A222+1</f>
        <v>34</v>
      </c>
      <c r="B224" s="1012" t="s">
        <v>1035</v>
      </c>
      <c r="C224" s="312" t="str">
        <f>+"Appendix A Line "&amp;+'Appendix A'!A271&amp;" "&amp;$L$6&amp;" Column"</f>
        <v>Appendix A Line 180 Projected Column</v>
      </c>
      <c r="D224" s="339"/>
      <c r="E224" s="306"/>
      <c r="F224" s="306"/>
      <c r="G224" s="447"/>
      <c r="H224" s="306"/>
      <c r="I224" s="320">
        <f>IF($L$10=0,'Appendix A'!H271,'Appendix A'!G271)</f>
        <v>1021121.5063036365</v>
      </c>
      <c r="J224" s="441"/>
      <c r="K224" s="448"/>
      <c r="N224" s="298"/>
      <c r="P224" s="298"/>
      <c r="Q224" s="298"/>
    </row>
    <row r="225" spans="1:17">
      <c r="A225" s="375"/>
      <c r="B225" s="1012"/>
      <c r="C225" s="312"/>
      <c r="D225" s="339"/>
      <c r="E225" s="306"/>
      <c r="F225" s="306"/>
      <c r="G225" s="447"/>
      <c r="H225" s="306"/>
      <c r="I225" s="320"/>
      <c r="J225" s="441"/>
      <c r="K225" s="448"/>
      <c r="N225" s="298"/>
      <c r="P225" s="298"/>
      <c r="Q225" s="298"/>
    </row>
    <row r="226" spans="1:17">
      <c r="A226" s="375"/>
      <c r="B226" s="1012" t="s">
        <v>1073</v>
      </c>
      <c r="C226" s="306"/>
      <c r="D226" s="306"/>
      <c r="E226" s="306"/>
      <c r="F226" s="306"/>
      <c r="G226" s="306"/>
      <c r="H226" s="306"/>
      <c r="I226" s="446"/>
      <c r="J226" s="441"/>
      <c r="K226" s="448"/>
      <c r="N226" s="298"/>
      <c r="P226" s="298"/>
      <c r="Q226" s="298"/>
    </row>
    <row r="227" spans="1:17">
      <c r="A227" s="375">
        <f>+A224+1</f>
        <v>35</v>
      </c>
      <c r="B227" s="759" t="s">
        <v>1095</v>
      </c>
      <c r="C227" s="322" t="str">
        <f>+"Appendix A Line "&amp;+'Appendix A'!A280&amp;" "&amp;$L$6&amp;" Column"</f>
        <v>Appendix A Line 187 Projected Column</v>
      </c>
      <c r="D227" s="339"/>
      <c r="E227" s="322"/>
      <c r="F227" s="322"/>
      <c r="G227" s="322"/>
      <c r="H227" s="322"/>
      <c r="I227" s="320">
        <f>IF($L$10=0,'Appendix A'!H280,'Appendix A'!G280)</f>
        <v>6387819</v>
      </c>
      <c r="J227" s="450"/>
      <c r="K227" s="449"/>
      <c r="N227" s="298"/>
      <c r="P227" s="298"/>
      <c r="Q227" s="298"/>
    </row>
    <row r="228" spans="1:17">
      <c r="A228" s="375">
        <f>+A227+1</f>
        <v>36</v>
      </c>
      <c r="B228" s="760" t="s">
        <v>1099</v>
      </c>
      <c r="C228" s="322" t="str">
        <f>+"Appendix A Line "&amp;+'Appendix A'!A281&amp;" "&amp;$L$6&amp;" Column"</f>
        <v>Appendix A Line 188 Projected Column</v>
      </c>
      <c r="D228" s="322"/>
      <c r="E228" s="322"/>
      <c r="F228" s="322"/>
      <c r="G228" s="322"/>
      <c r="H228" s="322"/>
      <c r="I228" s="320">
        <f>IF($L$10=0,'Appendix A'!H281,'Appendix A'!G281)</f>
        <v>6297746</v>
      </c>
      <c r="J228" s="450"/>
      <c r="K228" s="449"/>
      <c r="N228" s="298"/>
      <c r="P228" s="298"/>
      <c r="Q228" s="298"/>
    </row>
    <row r="229" spans="1:17">
      <c r="A229" s="375" t="s">
        <v>946</v>
      </c>
      <c r="B229" s="760" t="s">
        <v>1036</v>
      </c>
      <c r="C229" s="322" t="str">
        <f>+"Appendix A Line "&amp;+'Appendix A'!A282&amp;" "&amp;$L$6&amp;" Column"</f>
        <v>Appendix A Line 189 Projected Column</v>
      </c>
      <c r="D229" s="322"/>
      <c r="E229" s="322"/>
      <c r="F229" s="322"/>
      <c r="G229" s="322"/>
      <c r="H229" s="322"/>
      <c r="I229" s="320">
        <f>IF($L$10=0,'Appendix A'!H282,'Appendix A'!G282)</f>
        <v>0</v>
      </c>
      <c r="J229" s="450"/>
      <c r="K229" s="449"/>
      <c r="N229" s="298"/>
      <c r="P229" s="298"/>
      <c r="Q229" s="298"/>
    </row>
    <row r="230" spans="1:17" ht="13.5" thickBot="1">
      <c r="A230" s="375" t="s">
        <v>947</v>
      </c>
      <c r="B230" s="764" t="s">
        <v>1037</v>
      </c>
      <c r="C230" s="425" t="str">
        <f>+"Appendix A Line "&amp;+'Appendix A'!A283&amp;" "&amp;$L$6&amp;" Column"</f>
        <v>Appendix A Line 190 Projected Column</v>
      </c>
      <c r="D230" s="425"/>
      <c r="E230" s="425"/>
      <c r="F230" s="425"/>
      <c r="G230" s="425"/>
      <c r="H230" s="322"/>
      <c r="I230" s="444">
        <f>IF($L$10=0,'Appendix A'!H283,'Appendix A'!G283)</f>
        <v>0</v>
      </c>
      <c r="J230" s="450"/>
      <c r="K230" s="449"/>
      <c r="N230" s="298"/>
      <c r="P230" s="298"/>
      <c r="Q230" s="298"/>
    </row>
    <row r="231" spans="1:17">
      <c r="A231" s="375">
        <f>+A228+1</f>
        <v>37</v>
      </c>
      <c r="B231" s="891" t="s">
        <v>214</v>
      </c>
      <c r="C231" s="322" t="str">
        <f>+"(Line "&amp;A227&amp;" - Line "&amp;A228&amp;" - Line "&amp;A229&amp;" - Line "&amp;A230&amp;")"</f>
        <v>(Line 35 - Line 36 - Line 36a - Line 36b)</v>
      </c>
      <c r="D231" s="322"/>
      <c r="E231" s="322"/>
      <c r="F231" s="322"/>
      <c r="G231" s="322"/>
      <c r="H231" s="306"/>
      <c r="I231" s="451">
        <f>+I227-I228-I229-I230</f>
        <v>90073</v>
      </c>
      <c r="J231" s="450"/>
      <c r="K231" s="450"/>
      <c r="N231" s="298"/>
      <c r="P231" s="298"/>
      <c r="Q231" s="298"/>
    </row>
    <row r="232" spans="1:17">
      <c r="A232" s="375"/>
      <c r="B232" s="339"/>
      <c r="C232" s="375"/>
      <c r="D232" s="322"/>
      <c r="E232" s="322"/>
      <c r="F232" s="322"/>
      <c r="G232" s="322"/>
      <c r="H232" s="306"/>
      <c r="I232" s="452"/>
      <c r="J232" s="450"/>
      <c r="K232" s="450"/>
      <c r="N232" s="298"/>
      <c r="P232" s="298"/>
      <c r="Q232" s="298"/>
    </row>
    <row r="233" spans="1:17">
      <c r="A233" s="339"/>
      <c r="B233" s="339" t="s">
        <v>701</v>
      </c>
      <c r="C233" s="339"/>
      <c r="D233" s="339"/>
      <c r="E233" s="339"/>
      <c r="F233" s="339"/>
      <c r="G233" s="339"/>
      <c r="H233" s="339"/>
      <c r="I233" s="339"/>
      <c r="J233" s="339"/>
      <c r="K233" s="339"/>
      <c r="N233" s="298"/>
      <c r="P233" s="298"/>
      <c r="Q233" s="298"/>
    </row>
    <row r="234" spans="1:17" ht="15.75">
      <c r="A234" s="375">
        <f>+A231+1</f>
        <v>38</v>
      </c>
      <c r="B234" s="765" t="s">
        <v>702</v>
      </c>
      <c r="C234" s="322" t="str">
        <f>+"Appendix A Line "&amp;+'Appendix A'!A223&amp;" "&amp;$L$6&amp;" Column"</f>
        <v>Appendix A Line 147 Projected Column</v>
      </c>
      <c r="D234" s="407">
        <f>IF($L$10=0,'Appendix A'!H223,'Appendix A'!G223)</f>
        <v>0.35</v>
      </c>
      <c r="E234" s="453"/>
      <c r="F234" s="339"/>
      <c r="G234" s="453"/>
      <c r="H234" s="454"/>
      <c r="I234" s="454"/>
      <c r="J234" s="454"/>
      <c r="K234" s="454"/>
      <c r="N234" s="298"/>
      <c r="P234" s="298"/>
      <c r="Q234" s="298"/>
    </row>
    <row r="235" spans="1:17" ht="15.75">
      <c r="A235" s="375">
        <f>+A234+1</f>
        <v>39</v>
      </c>
      <c r="B235" s="765" t="s">
        <v>703</v>
      </c>
      <c r="C235" s="322" t="str">
        <f>+"Appendix A Line "&amp;+'Appendix A'!A224&amp;" "&amp;$L$6&amp;" Column"</f>
        <v>Appendix A Line 148 Projected Column</v>
      </c>
      <c r="D235" s="407">
        <f>IF($L$10=0,'Appendix A'!H224,'Appendix A'!G224)</f>
        <v>0.08</v>
      </c>
      <c r="E235" s="339"/>
      <c r="F235" s="863" t="s">
        <v>704</v>
      </c>
      <c r="G235" s="453"/>
      <c r="H235" s="453"/>
      <c r="I235" s="453"/>
      <c r="J235" s="453"/>
      <c r="K235" s="453"/>
      <c r="L235" s="455"/>
      <c r="M235" s="455"/>
      <c r="N235" s="298"/>
      <c r="P235" s="298"/>
      <c r="Q235" s="298"/>
    </row>
    <row r="236" spans="1:17" ht="15.75">
      <c r="A236" s="375">
        <f>+A235+1</f>
        <v>40</v>
      </c>
      <c r="B236" s="765" t="s">
        <v>705</v>
      </c>
      <c r="C236" s="322" t="str">
        <f>+"Appendix A Line "&amp;+'Appendix A'!A225&amp;" "&amp;$L$6&amp;" Column"</f>
        <v>Appendix A Line 149 Projected Column</v>
      </c>
      <c r="D236" s="407">
        <f>IF($L$10=0,'Appendix A'!H225,'Appendix A'!G225)</f>
        <v>1</v>
      </c>
      <c r="E236" s="339"/>
      <c r="F236" s="863" t="s">
        <v>900</v>
      </c>
      <c r="G236" s="453"/>
      <c r="H236" s="453"/>
      <c r="I236" s="453"/>
      <c r="J236" s="453"/>
      <c r="K236" s="453"/>
      <c r="L236" s="456"/>
      <c r="M236" s="456"/>
      <c r="N236" s="298"/>
      <c r="P236" s="298"/>
      <c r="Q236" s="298"/>
    </row>
    <row r="237" spans="1:17" ht="15.75">
      <c r="A237" s="339"/>
      <c r="B237" s="339"/>
      <c r="C237" s="339"/>
      <c r="D237" s="339"/>
      <c r="E237" s="339"/>
      <c r="F237" s="339"/>
      <c r="G237" s="339"/>
      <c r="H237" s="339"/>
      <c r="I237" s="339"/>
      <c r="J237" s="339"/>
      <c r="L237" s="456"/>
      <c r="M237" s="456"/>
    </row>
    <row r="238" spans="1:17">
      <c r="A238" s="339" t="s">
        <v>592</v>
      </c>
      <c r="B238" s="339"/>
      <c r="C238" s="339"/>
      <c r="D238" s="339"/>
      <c r="E238" s="339"/>
      <c r="F238" s="339"/>
      <c r="G238" s="339"/>
      <c r="H238" s="339"/>
      <c r="I238" s="339"/>
      <c r="J238" s="339"/>
    </row>
    <row r="239" spans="1:17">
      <c r="A239" s="1203" t="s">
        <v>271</v>
      </c>
      <c r="B239" s="339" t="s">
        <v>1156</v>
      </c>
      <c r="C239" s="339"/>
      <c r="D239" s="339"/>
      <c r="E239" s="339"/>
      <c r="F239" s="339"/>
      <c r="G239" s="339"/>
      <c r="H239" s="339"/>
      <c r="I239" s="339"/>
      <c r="J239" s="339"/>
    </row>
    <row r="240" spans="1:17">
      <c r="A240" s="339"/>
      <c r="B240" s="339"/>
      <c r="C240" s="339"/>
      <c r="D240" s="339"/>
      <c r="E240" s="339"/>
      <c r="F240" s="339"/>
      <c r="G240" s="339"/>
      <c r="H240" s="339"/>
      <c r="I240" s="339"/>
      <c r="J240" s="339"/>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1" fitToHeight="6" orientation="landscape" r:id="rId1"/>
  <rowBreaks count="3" manualBreakCount="3">
    <brk id="53" max="10" man="1"/>
    <brk id="113" max="10" man="1"/>
    <brk id="1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zoomScaleNormal="100" workbookViewId="0">
      <selection activeCell="D22" sqref="D22"/>
    </sheetView>
  </sheetViews>
  <sheetFormatPr defaultColWidth="9.140625" defaultRowHeight="12.75"/>
  <cols>
    <col min="1" max="1" width="3.140625" style="771" bestFit="1" customWidth="1"/>
    <col min="2" max="2" width="5.28515625" style="44" customWidth="1"/>
    <col min="3" max="3" width="19.7109375" style="44" bestFit="1" customWidth="1"/>
    <col min="4" max="15" width="11.28515625" style="44" bestFit="1" customWidth="1"/>
    <col min="16" max="17" width="11.42578125" style="44" bestFit="1" customWidth="1"/>
    <col min="18" max="16384" width="9.140625" style="44"/>
  </cols>
  <sheetData>
    <row r="1" spans="1:19" s="66" customFormat="1">
      <c r="A1" s="1660" t="str">
        <f>+'MISO Cover'!C6</f>
        <v>Entergy New Orleans, Inc.</v>
      </c>
      <c r="B1" s="1660"/>
      <c r="C1" s="1660"/>
      <c r="D1" s="1660"/>
      <c r="E1" s="1660"/>
      <c r="F1" s="1660"/>
      <c r="G1" s="1660"/>
      <c r="H1" s="1660"/>
      <c r="I1" s="1660"/>
      <c r="J1" s="1660"/>
      <c r="K1" s="1660"/>
      <c r="L1" s="1660"/>
      <c r="M1" s="1660"/>
      <c r="N1" s="1660"/>
      <c r="O1" s="1660"/>
      <c r="P1" s="1660"/>
      <c r="Q1" s="1660"/>
    </row>
    <row r="2" spans="1:19" s="66" customFormat="1">
      <c r="A2" s="1652" t="s">
        <v>1222</v>
      </c>
      <c r="B2" s="1652"/>
      <c r="C2" s="1652"/>
      <c r="D2" s="1652"/>
      <c r="E2" s="1652"/>
      <c r="F2" s="1652"/>
      <c r="G2" s="1652"/>
      <c r="H2" s="1652"/>
      <c r="I2" s="1652"/>
      <c r="J2" s="1652"/>
      <c r="K2" s="1652"/>
      <c r="L2" s="1652"/>
      <c r="M2" s="1652"/>
      <c r="N2" s="1652"/>
      <c r="O2" s="1652"/>
      <c r="P2" s="1652"/>
      <c r="Q2" s="1652"/>
    </row>
    <row r="3" spans="1:19" s="66" customFormat="1">
      <c r="A3" s="1660" t="str">
        <f>+'MISO Cover'!K4</f>
        <v>For  the 12 Months Ended 12/31/2014</v>
      </c>
      <c r="B3" s="1660"/>
      <c r="C3" s="1660"/>
      <c r="D3" s="1660"/>
      <c r="E3" s="1660"/>
      <c r="F3" s="1660"/>
      <c r="G3" s="1660"/>
      <c r="H3" s="1660"/>
      <c r="I3" s="1660"/>
      <c r="J3" s="1660"/>
      <c r="K3" s="1660"/>
      <c r="L3" s="1660"/>
      <c r="M3" s="1660"/>
      <c r="N3" s="1660"/>
      <c r="O3" s="1660"/>
      <c r="P3" s="1660"/>
      <c r="Q3" s="1660"/>
    </row>
    <row r="4" spans="1:19" s="66" customFormat="1">
      <c r="A4" s="231"/>
      <c r="B4" s="807"/>
      <c r="C4" s="44"/>
      <c r="D4" s="44"/>
      <c r="E4" s="229"/>
      <c r="F4" s="80"/>
      <c r="G4" s="80"/>
      <c r="H4" s="80"/>
      <c r="I4" s="80"/>
    </row>
    <row r="5" spans="1:19" s="66" customFormat="1">
      <c r="A5" s="231"/>
      <c r="B5" s="767"/>
      <c r="C5" s="767"/>
      <c r="D5" s="767"/>
      <c r="E5" s="767"/>
      <c r="F5" s="767"/>
      <c r="G5" s="767"/>
      <c r="H5" s="767"/>
      <c r="I5" s="767"/>
      <c r="J5" s="767"/>
      <c r="K5" s="767"/>
      <c r="L5" s="767"/>
      <c r="M5" s="767"/>
      <c r="N5" s="767"/>
      <c r="O5" s="767"/>
      <c r="P5" s="767"/>
      <c r="Q5" s="767"/>
    </row>
    <row r="6" spans="1:19" s="771" customFormat="1">
      <c r="A6" s="771" t="s">
        <v>525</v>
      </c>
      <c r="B6" s="771" t="s">
        <v>167</v>
      </c>
      <c r="C6" s="771" t="s">
        <v>215</v>
      </c>
      <c r="D6" s="771" t="s">
        <v>155</v>
      </c>
      <c r="E6" s="771" t="s">
        <v>168</v>
      </c>
      <c r="F6" s="771" t="s">
        <v>166</v>
      </c>
      <c r="G6" s="771" t="s">
        <v>257</v>
      </c>
      <c r="H6" s="771" t="s">
        <v>169</v>
      </c>
      <c r="I6" s="771" t="s">
        <v>270</v>
      </c>
      <c r="J6" s="771" t="s">
        <v>159</v>
      </c>
      <c r="K6" s="771" t="s">
        <v>160</v>
      </c>
      <c r="L6" s="771" t="s">
        <v>171</v>
      </c>
      <c r="M6" s="771" t="s">
        <v>199</v>
      </c>
      <c r="N6" s="771" t="s">
        <v>200</v>
      </c>
      <c r="O6" s="771" t="s">
        <v>258</v>
      </c>
      <c r="P6" s="771" t="s">
        <v>439</v>
      </c>
      <c r="Q6" s="771" t="s">
        <v>440</v>
      </c>
    </row>
    <row r="7" spans="1:19" s="66" customFormat="1">
      <c r="A7" s="231"/>
      <c r="B7" s="275"/>
      <c r="C7" s="272"/>
      <c r="D7" s="45"/>
      <c r="E7" s="45"/>
      <c r="F7" s="45"/>
      <c r="G7" s="45"/>
      <c r="H7" s="45"/>
      <c r="I7" s="45"/>
      <c r="J7" s="45"/>
      <c r="K7" s="45"/>
      <c r="L7" s="45"/>
      <c r="M7" s="45"/>
      <c r="N7" s="45"/>
      <c r="O7" s="45"/>
      <c r="P7" s="45"/>
      <c r="Q7" s="487" t="s">
        <v>148</v>
      </c>
      <c r="R7" s="81"/>
    </row>
    <row r="8" spans="1:19" s="231" customFormat="1">
      <c r="A8" s="231">
        <v>1</v>
      </c>
      <c r="B8" s="1178" t="s">
        <v>743</v>
      </c>
      <c r="C8" s="1178" t="s">
        <v>213</v>
      </c>
      <c r="D8" s="1494" t="s">
        <v>137</v>
      </c>
      <c r="E8" s="1494" t="s">
        <v>127</v>
      </c>
      <c r="F8" s="1494" t="s">
        <v>128</v>
      </c>
      <c r="G8" s="1494" t="s">
        <v>129</v>
      </c>
      <c r="H8" s="1494" t="s">
        <v>130</v>
      </c>
      <c r="I8" s="1494" t="s">
        <v>126</v>
      </c>
      <c r="J8" s="1494" t="s">
        <v>131</v>
      </c>
      <c r="K8" s="1494" t="s">
        <v>132</v>
      </c>
      <c r="L8" s="1494" t="s">
        <v>133</v>
      </c>
      <c r="M8" s="1494" t="s">
        <v>134</v>
      </c>
      <c r="N8" s="1494" t="s">
        <v>135</v>
      </c>
      <c r="O8" s="1494" t="s">
        <v>136</v>
      </c>
      <c r="P8" s="1494" t="s">
        <v>137</v>
      </c>
      <c r="Q8" s="1178" t="s">
        <v>242</v>
      </c>
      <c r="R8" s="239"/>
    </row>
    <row r="9" spans="1:19" s="66" customFormat="1">
      <c r="A9" s="231">
        <f>+A8+1</f>
        <v>2</v>
      </c>
      <c r="B9" s="545">
        <v>154</v>
      </c>
      <c r="C9" s="273" t="s">
        <v>800</v>
      </c>
      <c r="D9" s="195">
        <v>0</v>
      </c>
      <c r="E9" s="195">
        <v>0</v>
      </c>
      <c r="F9" s="195">
        <v>0</v>
      </c>
      <c r="G9" s="195">
        <v>0</v>
      </c>
      <c r="H9" s="195">
        <v>0</v>
      </c>
      <c r="I9" s="195">
        <v>0</v>
      </c>
      <c r="J9" s="195">
        <v>0</v>
      </c>
      <c r="K9" s="195">
        <v>0</v>
      </c>
      <c r="L9" s="195">
        <v>0</v>
      </c>
      <c r="M9" s="195">
        <v>0</v>
      </c>
      <c r="N9" s="195">
        <v>0</v>
      </c>
      <c r="O9" s="195">
        <v>0</v>
      </c>
      <c r="P9" s="195">
        <v>0</v>
      </c>
      <c r="Q9" s="269">
        <f>+SUM(D9:P9)/13</f>
        <v>0</v>
      </c>
      <c r="R9" s="81"/>
      <c r="S9" s="231"/>
    </row>
    <row r="10" spans="1:19" s="66" customFormat="1">
      <c r="A10" s="231">
        <f>+A9+1</f>
        <v>3</v>
      </c>
      <c r="B10" s="269">
        <v>163</v>
      </c>
      <c r="C10" s="268" t="s">
        <v>801</v>
      </c>
      <c r="D10" s="195">
        <v>1132231</v>
      </c>
      <c r="E10" s="195">
        <v>1104740</v>
      </c>
      <c r="F10" s="195">
        <v>1177273</v>
      </c>
      <c r="G10" s="195">
        <v>1323022</v>
      </c>
      <c r="H10" s="195">
        <v>1286801</v>
      </c>
      <c r="I10" s="195">
        <v>1385266</v>
      </c>
      <c r="J10" s="195">
        <v>1469943</v>
      </c>
      <c r="K10" s="195">
        <v>1449786</v>
      </c>
      <c r="L10" s="195">
        <v>1554058</v>
      </c>
      <c r="M10" s="195">
        <v>1506052</v>
      </c>
      <c r="N10" s="195">
        <v>1525923</v>
      </c>
      <c r="O10" s="195">
        <v>1586623</v>
      </c>
      <c r="P10" s="195">
        <v>1726913</v>
      </c>
      <c r="Q10" s="269">
        <f>+SUM(D10:P10)/13</f>
        <v>1402202.3846153845</v>
      </c>
      <c r="R10" s="81"/>
    </row>
    <row r="11" spans="1:19" s="66" customFormat="1">
      <c r="A11" s="231"/>
      <c r="B11" s="274"/>
      <c r="C11" s="274"/>
      <c r="D11" s="685"/>
      <c r="E11" s="268"/>
      <c r="F11" s="268"/>
      <c r="G11" s="268"/>
      <c r="H11" s="226"/>
      <c r="I11" s="226"/>
      <c r="J11" s="204"/>
      <c r="K11" s="226"/>
      <c r="L11" s="226"/>
      <c r="M11" s="550"/>
      <c r="N11" s="550"/>
      <c r="O11" s="268"/>
      <c r="P11" s="685"/>
      <c r="Q11" s="268"/>
      <c r="R11" s="81"/>
    </row>
    <row r="12" spans="1:19">
      <c r="A12" s="189" t="s">
        <v>592</v>
      </c>
      <c r="C12" s="189"/>
      <c r="D12" s="189"/>
      <c r="E12" s="189"/>
      <c r="F12" s="189"/>
      <c r="G12" s="189"/>
      <c r="H12" s="189"/>
      <c r="I12" s="189"/>
      <c r="J12" s="189"/>
      <c r="K12" s="189"/>
      <c r="L12" s="189"/>
      <c r="M12" s="189"/>
      <c r="N12" s="189"/>
      <c r="O12" s="189"/>
      <c r="P12" s="189"/>
      <c r="Q12" s="189"/>
      <c r="R12" s="189"/>
    </row>
    <row r="13" spans="1:19">
      <c r="A13" s="795" t="s">
        <v>271</v>
      </c>
      <c r="B13" s="43" t="s">
        <v>884</v>
      </c>
      <c r="C13" s="43"/>
    </row>
    <row r="14" spans="1:19">
      <c r="A14" s="718" t="s">
        <v>615</v>
      </c>
      <c r="B14" s="43" t="s">
        <v>885</v>
      </c>
      <c r="C14" s="43"/>
    </row>
    <row r="15" spans="1:19">
      <c r="A15" s="231"/>
      <c r="B15" s="43"/>
      <c r="C15" s="43"/>
    </row>
  </sheetData>
  <mergeCells count="3">
    <mergeCell ref="A2:Q2"/>
    <mergeCell ref="A1:Q1"/>
    <mergeCell ref="A3:Q3"/>
  </mergeCells>
  <pageMargins left="0.7" right="0.7" top="0.7" bottom="0.7" header="0.3" footer="0.5"/>
  <pageSetup scale="67" orientation="landscape" r:id="rId1"/>
  <headerFooter>
    <oddFooter>&amp;CPage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50"/>
  <sheetViews>
    <sheetView topLeftCell="A10" zoomScaleNormal="100" workbookViewId="0">
      <selection activeCell="C36" sqref="C36"/>
    </sheetView>
  </sheetViews>
  <sheetFormatPr defaultColWidth="8.85546875" defaultRowHeight="12.75"/>
  <cols>
    <col min="1" max="1" width="4.85546875" style="1257" customWidth="1"/>
    <col min="2" max="2" width="8.5703125" style="1243" bestFit="1" customWidth="1"/>
    <col min="3" max="3" width="34.5703125" style="1243" bestFit="1" customWidth="1"/>
    <col min="4" max="4" width="11.7109375" style="1243" customWidth="1"/>
    <col min="5" max="5" width="11.42578125" style="1243" bestFit="1" customWidth="1"/>
    <col min="6" max="6" width="12.28515625" style="1243" bestFit="1" customWidth="1"/>
    <col min="7" max="12" width="11.42578125" style="1243" bestFit="1" customWidth="1"/>
    <col min="13" max="13" width="10.42578125" style="1243" bestFit="1" customWidth="1"/>
    <col min="14" max="15" width="11.42578125" style="1243" bestFit="1" customWidth="1"/>
    <col min="16" max="16" width="10.42578125" style="1243" bestFit="1" customWidth="1"/>
    <col min="17" max="17" width="11.42578125" style="1243" bestFit="1" customWidth="1"/>
    <col min="18" max="18" width="8.85546875" style="1241"/>
    <col min="19" max="16384" width="8.85546875" style="1243"/>
  </cols>
  <sheetData>
    <row r="1" spans="1:21" s="44" customFormat="1">
      <c r="A1" s="1660" t="str">
        <f>+'MISO Cover'!C6</f>
        <v>Entergy New Orleans, Inc.</v>
      </c>
      <c r="B1" s="1660"/>
      <c r="C1" s="1660"/>
      <c r="D1" s="1660"/>
      <c r="E1" s="1660"/>
      <c r="F1" s="1660"/>
      <c r="G1" s="1660"/>
      <c r="H1" s="1660"/>
      <c r="I1" s="1660"/>
      <c r="J1" s="1660"/>
      <c r="K1" s="1660"/>
      <c r="L1" s="1660"/>
      <c r="M1" s="1660"/>
      <c r="N1" s="1660"/>
      <c r="O1" s="1660"/>
      <c r="P1" s="1660"/>
      <c r="Q1" s="1660"/>
      <c r="R1" s="43"/>
    </row>
    <row r="2" spans="1:21" s="44" customFormat="1">
      <c r="A2" s="1652" t="s">
        <v>1223</v>
      </c>
      <c r="B2" s="1652"/>
      <c r="C2" s="1652"/>
      <c r="D2" s="1652"/>
      <c r="E2" s="1652"/>
      <c r="F2" s="1652"/>
      <c r="G2" s="1652"/>
      <c r="H2" s="1652"/>
      <c r="I2" s="1652"/>
      <c r="J2" s="1652"/>
      <c r="K2" s="1652"/>
      <c r="L2" s="1652"/>
      <c r="M2" s="1652"/>
      <c r="N2" s="1652"/>
      <c r="O2" s="1652"/>
      <c r="P2" s="1652"/>
      <c r="Q2" s="1652"/>
      <c r="R2" s="43"/>
    </row>
    <row r="3" spans="1:21" s="44" customFormat="1">
      <c r="A3" s="1660" t="str">
        <f>+'MISO Cover'!K4</f>
        <v>For  the 12 Months Ended 12/31/2014</v>
      </c>
      <c r="B3" s="1660"/>
      <c r="C3" s="1660"/>
      <c r="D3" s="1660"/>
      <c r="E3" s="1660"/>
      <c r="F3" s="1660"/>
      <c r="G3" s="1660"/>
      <c r="H3" s="1660"/>
      <c r="I3" s="1660"/>
      <c r="J3" s="1660"/>
      <c r="K3" s="1660"/>
      <c r="L3" s="1660"/>
      <c r="M3" s="1660"/>
      <c r="N3" s="1660"/>
      <c r="O3" s="1660"/>
      <c r="P3" s="1660"/>
      <c r="Q3" s="1660"/>
      <c r="R3" s="43"/>
    </row>
    <row r="4" spans="1:21" s="44" customFormat="1">
      <c r="A4" s="1235"/>
      <c r="B4" s="221"/>
      <c r="C4" s="221"/>
      <c r="D4" s="221"/>
      <c r="E4" s="1236"/>
      <c r="F4" s="1236"/>
      <c r="G4" s="1236"/>
      <c r="H4" s="1236"/>
      <c r="I4" s="1236"/>
      <c r="J4" s="1236"/>
      <c r="K4" s="1236"/>
      <c r="L4" s="1236"/>
      <c r="M4" s="1236"/>
      <c r="R4" s="43"/>
    </row>
    <row r="5" spans="1:21" s="1235" customFormat="1">
      <c r="A5" s="1235" t="s">
        <v>525</v>
      </c>
      <c r="B5" s="1235" t="s">
        <v>167</v>
      </c>
      <c r="C5" s="1235" t="s">
        <v>215</v>
      </c>
      <c r="D5" s="1235" t="s">
        <v>155</v>
      </c>
      <c r="E5" s="1235" t="s">
        <v>168</v>
      </c>
      <c r="F5" s="1235" t="s">
        <v>166</v>
      </c>
      <c r="G5" s="1235" t="s">
        <v>257</v>
      </c>
      <c r="H5" s="1235" t="s">
        <v>169</v>
      </c>
      <c r="I5" s="1235" t="s">
        <v>270</v>
      </c>
      <c r="J5" s="1235" t="s">
        <v>159</v>
      </c>
      <c r="K5" s="1235" t="s">
        <v>160</v>
      </c>
      <c r="L5" s="1235" t="s">
        <v>171</v>
      </c>
      <c r="M5" s="1235" t="s">
        <v>199</v>
      </c>
      <c r="N5" s="1235" t="s">
        <v>200</v>
      </c>
      <c r="O5" s="1235" t="s">
        <v>258</v>
      </c>
      <c r="P5" s="1235" t="s">
        <v>439</v>
      </c>
      <c r="Q5" s="1235" t="s">
        <v>440</v>
      </c>
      <c r="R5" s="1234"/>
    </row>
    <row r="6" spans="1:21" s="44" customFormat="1" ht="13.15" customHeight="1">
      <c r="B6" s="221"/>
      <c r="C6" s="221"/>
      <c r="D6" s="221"/>
      <c r="E6" s="221"/>
      <c r="F6" s="221"/>
      <c r="G6" s="221"/>
      <c r="H6" s="221"/>
      <c r="I6" s="221"/>
      <c r="J6" s="221"/>
      <c r="Q6" s="1693" t="s">
        <v>491</v>
      </c>
      <c r="R6" s="43"/>
    </row>
    <row r="7" spans="1:21" s="1241" customFormat="1">
      <c r="A7" s="1238">
        <v>1</v>
      </c>
      <c r="B7" s="1495" t="s">
        <v>276</v>
      </c>
      <c r="C7" s="1495" t="s">
        <v>498</v>
      </c>
      <c r="D7" s="1494" t="s">
        <v>137</v>
      </c>
      <c r="E7" s="1494" t="s">
        <v>127</v>
      </c>
      <c r="F7" s="1494" t="s">
        <v>128</v>
      </c>
      <c r="G7" s="1494" t="s">
        <v>129</v>
      </c>
      <c r="H7" s="1494" t="s">
        <v>130</v>
      </c>
      <c r="I7" s="1494" t="s">
        <v>126</v>
      </c>
      <c r="J7" s="1494" t="s">
        <v>131</v>
      </c>
      <c r="K7" s="1494" t="s">
        <v>132</v>
      </c>
      <c r="L7" s="1494" t="s">
        <v>133</v>
      </c>
      <c r="M7" s="1494" t="s">
        <v>134</v>
      </c>
      <c r="N7" s="1494" t="s">
        <v>135</v>
      </c>
      <c r="O7" s="1494" t="s">
        <v>136</v>
      </c>
      <c r="P7" s="1494" t="s">
        <v>137</v>
      </c>
      <c r="Q7" s="1694"/>
    </row>
    <row r="8" spans="1:21">
      <c r="A8" s="1242">
        <f>+A7+1</f>
        <v>2</v>
      </c>
    </row>
    <row r="9" spans="1:21">
      <c r="A9" s="1244">
        <f>+A8+0.01</f>
        <v>2.0099999999999998</v>
      </c>
      <c r="B9" s="43" t="s">
        <v>492</v>
      </c>
      <c r="C9" s="1442" t="s">
        <v>184</v>
      </c>
      <c r="D9" s="209">
        <v>132741.76999999999</v>
      </c>
      <c r="E9" s="209">
        <v>135937.56</v>
      </c>
      <c r="F9" s="209">
        <v>130929.77</v>
      </c>
      <c r="G9" s="209">
        <v>130203.54</v>
      </c>
      <c r="H9" s="209">
        <v>126960.2</v>
      </c>
      <c r="I9" s="209">
        <v>127716.4</v>
      </c>
      <c r="J9" s="209">
        <v>129241.14</v>
      </c>
      <c r="K9" s="209">
        <v>123711.12</v>
      </c>
      <c r="L9" s="209">
        <v>124322.47</v>
      </c>
      <c r="M9" s="209">
        <v>120108.32</v>
      </c>
      <c r="N9" s="209">
        <v>116949.51000000001</v>
      </c>
      <c r="O9" s="209">
        <v>124705.28</v>
      </c>
      <c r="P9" s="209">
        <v>127311.97</v>
      </c>
      <c r="Q9" s="79">
        <f t="shared" ref="Q9:Q21" si="0">SUM(D9:P9)/13</f>
        <v>126987.61923076924</v>
      </c>
      <c r="R9" s="528"/>
    </row>
    <row r="10" spans="1:21">
      <c r="A10" s="1244">
        <f t="shared" ref="A10:A18" si="1">+A9+0.01</f>
        <v>2.0199999999999996</v>
      </c>
      <c r="B10" s="43" t="s">
        <v>493</v>
      </c>
      <c r="C10" s="1442" t="s">
        <v>1196</v>
      </c>
      <c r="D10" s="209">
        <v>0</v>
      </c>
      <c r="E10" s="209">
        <v>51233.15</v>
      </c>
      <c r="F10" s="209">
        <v>46573.15</v>
      </c>
      <c r="G10" s="209">
        <v>41913.15</v>
      </c>
      <c r="H10" s="209">
        <v>37253.15</v>
      </c>
      <c r="I10" s="209">
        <v>32593.15</v>
      </c>
      <c r="J10" s="209">
        <v>27933.15</v>
      </c>
      <c r="K10" s="209">
        <v>23273.15</v>
      </c>
      <c r="L10" s="209">
        <v>18613.150000000001</v>
      </c>
      <c r="M10" s="209">
        <v>13953.150000000001</v>
      </c>
      <c r="N10" s="209">
        <v>9293.1500000000015</v>
      </c>
      <c r="O10" s="209">
        <v>4633.1500000000015</v>
      </c>
      <c r="P10" s="209">
        <v>0</v>
      </c>
      <c r="Q10" s="79">
        <f t="shared" si="0"/>
        <v>23635.742307692315</v>
      </c>
      <c r="R10" s="528"/>
    </row>
    <row r="11" spans="1:21">
      <c r="A11" s="1244">
        <f t="shared" si="1"/>
        <v>2.0299999999999994</v>
      </c>
      <c r="B11" s="43" t="s">
        <v>1300</v>
      </c>
      <c r="C11" s="1442" t="s">
        <v>1301</v>
      </c>
      <c r="D11" s="209">
        <v>1</v>
      </c>
      <c r="E11" s="209">
        <v>-104165.99999999988</v>
      </c>
      <c r="F11" s="209">
        <v>-208332.99999999988</v>
      </c>
      <c r="G11" s="209">
        <v>986276.99999999988</v>
      </c>
      <c r="H11" s="209">
        <v>876690.99999999988</v>
      </c>
      <c r="I11" s="209">
        <v>767104.99999999988</v>
      </c>
      <c r="J11" s="209">
        <v>657518.99999999988</v>
      </c>
      <c r="K11" s="209">
        <v>547932.99999999988</v>
      </c>
      <c r="L11" s="209">
        <v>438346.99999999988</v>
      </c>
      <c r="M11" s="209">
        <v>328760.99999999988</v>
      </c>
      <c r="N11" s="209">
        <v>219174.99999999988</v>
      </c>
      <c r="O11" s="209">
        <v>99945</v>
      </c>
      <c r="P11" s="209">
        <v>0</v>
      </c>
      <c r="Q11" s="79">
        <f t="shared" si="0"/>
        <v>354558.07692307694</v>
      </c>
      <c r="R11" s="1245"/>
      <c r="U11" s="1246"/>
    </row>
    <row r="12" spans="1:21">
      <c r="A12" s="1244">
        <f t="shared" si="1"/>
        <v>2.0399999999999991</v>
      </c>
      <c r="B12" s="43" t="s">
        <v>494</v>
      </c>
      <c r="C12" s="1442" t="s">
        <v>1197</v>
      </c>
      <c r="D12" s="209">
        <v>1001903.9800000001</v>
      </c>
      <c r="E12" s="209">
        <v>833860.15</v>
      </c>
      <c r="F12" s="209">
        <v>669887.98</v>
      </c>
      <c r="G12" s="209">
        <v>505915.80999999994</v>
      </c>
      <c r="H12" s="209">
        <v>341943.63999999996</v>
      </c>
      <c r="I12" s="209">
        <v>177971.55</v>
      </c>
      <c r="J12" s="209">
        <v>1628646.42</v>
      </c>
      <c r="K12" s="209">
        <v>1457936.72</v>
      </c>
      <c r="L12" s="209">
        <v>1287227.02</v>
      </c>
      <c r="M12" s="209">
        <v>1116517.3</v>
      </c>
      <c r="N12" s="209">
        <v>945807.59000000008</v>
      </c>
      <c r="O12" s="209">
        <v>791070.55</v>
      </c>
      <c r="P12" s="209">
        <v>661086.51</v>
      </c>
      <c r="Q12" s="79">
        <f t="shared" si="0"/>
        <v>878444.24769230769</v>
      </c>
      <c r="R12" s="528"/>
    </row>
    <row r="13" spans="1:21">
      <c r="A13" s="1244">
        <f>+A12+0.01</f>
        <v>2.0499999999999989</v>
      </c>
      <c r="B13" s="43" t="s">
        <v>495</v>
      </c>
      <c r="C13" s="1442" t="s">
        <v>1198</v>
      </c>
      <c r="D13" s="209">
        <v>69582.01999999999</v>
      </c>
      <c r="E13" s="209">
        <v>57984.98</v>
      </c>
      <c r="F13" s="209">
        <v>46387.939999999995</v>
      </c>
      <c r="G13" s="209">
        <v>34790.9</v>
      </c>
      <c r="H13" s="209">
        <v>23193.86</v>
      </c>
      <c r="I13" s="209">
        <v>11596.82</v>
      </c>
      <c r="J13" s="209">
        <v>0</v>
      </c>
      <c r="K13" s="209">
        <v>126314.85</v>
      </c>
      <c r="L13" s="209">
        <v>114831.68000000001</v>
      </c>
      <c r="M13" s="209">
        <v>103348.51000000001</v>
      </c>
      <c r="N13" s="209">
        <v>91865.340000000011</v>
      </c>
      <c r="O13" s="209">
        <v>80382.170000000013</v>
      </c>
      <c r="P13" s="209">
        <v>68899</v>
      </c>
      <c r="Q13" s="79">
        <f t="shared" si="0"/>
        <v>63782.928461538468</v>
      </c>
      <c r="R13" s="528"/>
    </row>
    <row r="14" spans="1:21">
      <c r="A14" s="1244">
        <f t="shared" si="1"/>
        <v>2.0599999999999987</v>
      </c>
      <c r="B14" s="43" t="s">
        <v>496</v>
      </c>
      <c r="C14" s="1442" t="s">
        <v>1199</v>
      </c>
      <c r="D14" s="209">
        <v>0</v>
      </c>
      <c r="E14" s="209">
        <v>0</v>
      </c>
      <c r="F14" s="209">
        <v>50080.87</v>
      </c>
      <c r="G14" s="209">
        <v>45072.78</v>
      </c>
      <c r="H14" s="209">
        <v>40064.69</v>
      </c>
      <c r="I14" s="209">
        <v>35056.6</v>
      </c>
      <c r="J14" s="209">
        <v>30048.51</v>
      </c>
      <c r="K14" s="209">
        <v>25040.42</v>
      </c>
      <c r="L14" s="209">
        <v>20032.330000000002</v>
      </c>
      <c r="M14" s="209">
        <v>15024.24</v>
      </c>
      <c r="N14" s="209">
        <v>10016.15</v>
      </c>
      <c r="O14" s="209">
        <v>5008.0600000000004</v>
      </c>
      <c r="P14" s="209">
        <v>0</v>
      </c>
      <c r="Q14" s="79">
        <f t="shared" si="0"/>
        <v>21188.050000000003</v>
      </c>
      <c r="R14" s="528"/>
    </row>
    <row r="15" spans="1:21">
      <c r="A15" s="1244">
        <f t="shared" si="1"/>
        <v>2.0699999999999985</v>
      </c>
      <c r="B15" s="43" t="s">
        <v>1302</v>
      </c>
      <c r="C15" s="1442" t="s">
        <v>1303</v>
      </c>
      <c r="D15" s="209">
        <v>0</v>
      </c>
      <c r="E15" s="209">
        <v>13758411.17</v>
      </c>
      <c r="F15" s="209">
        <v>12507646.17</v>
      </c>
      <c r="G15" s="209">
        <v>11256881.17</v>
      </c>
      <c r="H15" s="209">
        <v>10006116.17</v>
      </c>
      <c r="I15" s="209">
        <v>8755351.1699999999</v>
      </c>
      <c r="J15" s="209">
        <v>7504586.1699999999</v>
      </c>
      <c r="K15" s="209">
        <v>6253821.1699999999</v>
      </c>
      <c r="L15" s="209">
        <v>5003056.17</v>
      </c>
      <c r="M15" s="209">
        <v>3752291.17</v>
      </c>
      <c r="N15" s="209">
        <v>2501526.17</v>
      </c>
      <c r="O15" s="209">
        <v>1250761.17</v>
      </c>
      <c r="P15" s="209">
        <v>0</v>
      </c>
      <c r="Q15" s="79">
        <f t="shared" si="0"/>
        <v>6350034.4515384622</v>
      </c>
      <c r="R15" s="528"/>
    </row>
    <row r="16" spans="1:21">
      <c r="A16" s="1244">
        <f t="shared" si="1"/>
        <v>2.0799999999999983</v>
      </c>
      <c r="B16" s="43" t="s">
        <v>1200</v>
      </c>
      <c r="C16" s="1528" t="s">
        <v>1201</v>
      </c>
      <c r="D16" s="209">
        <v>0</v>
      </c>
      <c r="E16" s="209">
        <v>0</v>
      </c>
      <c r="F16" s="209">
        <v>0</v>
      </c>
      <c r="G16" s="209">
        <v>0</v>
      </c>
      <c r="H16" s="209">
        <v>0</v>
      </c>
      <c r="I16" s="209">
        <v>0</v>
      </c>
      <c r="J16" s="209">
        <v>0</v>
      </c>
      <c r="K16" s="209">
        <v>0</v>
      </c>
      <c r="L16" s="209">
        <v>0</v>
      </c>
      <c r="M16" s="209">
        <v>0</v>
      </c>
      <c r="N16" s="209">
        <v>42379.199999999997</v>
      </c>
      <c r="O16" s="209">
        <v>36493.199999999997</v>
      </c>
      <c r="P16" s="209">
        <v>35316</v>
      </c>
      <c r="Q16" s="79">
        <f t="shared" si="0"/>
        <v>8783.7230769230773</v>
      </c>
      <c r="R16" s="528"/>
    </row>
    <row r="17" spans="1:18">
      <c r="A17" s="1244">
        <f t="shared" si="1"/>
        <v>2.0899999999999981</v>
      </c>
      <c r="B17" s="43" t="s">
        <v>547</v>
      </c>
      <c r="C17" s="1442" t="s">
        <v>1202</v>
      </c>
      <c r="D17" s="209">
        <v>27103.32</v>
      </c>
      <c r="E17" s="209">
        <v>24930.43</v>
      </c>
      <c r="F17" s="209">
        <v>19885.84</v>
      </c>
      <c r="G17" s="209">
        <v>19644.11</v>
      </c>
      <c r="H17" s="209">
        <v>24992.58</v>
      </c>
      <c r="I17" s="209">
        <v>24377.69</v>
      </c>
      <c r="J17" s="209">
        <v>21744.5</v>
      </c>
      <c r="K17" s="209">
        <v>19111.309999999998</v>
      </c>
      <c r="L17" s="209">
        <v>19890.32</v>
      </c>
      <c r="M17" s="209">
        <v>17532.57</v>
      </c>
      <c r="N17" s="209">
        <v>14873.53</v>
      </c>
      <c r="O17" s="209">
        <v>12214.49</v>
      </c>
      <c r="P17" s="209">
        <v>15224.849999999999</v>
      </c>
      <c r="Q17" s="79">
        <f t="shared" si="0"/>
        <v>20117.349230769232</v>
      </c>
      <c r="R17" s="528"/>
    </row>
    <row r="18" spans="1:18">
      <c r="A18" s="1244">
        <f t="shared" si="1"/>
        <v>2.0999999999999979</v>
      </c>
      <c r="B18" s="43" t="s">
        <v>274</v>
      </c>
      <c r="C18" s="1442" t="s">
        <v>1203</v>
      </c>
      <c r="D18" s="209">
        <v>0</v>
      </c>
      <c r="E18" s="209">
        <v>281969.52</v>
      </c>
      <c r="F18" s="209">
        <v>140984.78</v>
      </c>
      <c r="G18" s="209">
        <v>0</v>
      </c>
      <c r="H18" s="209">
        <v>286279.64</v>
      </c>
      <c r="I18" s="209">
        <v>145892.53999999998</v>
      </c>
      <c r="J18" s="209">
        <v>5505.4400000000005</v>
      </c>
      <c r="K18" s="209">
        <v>280318.65000000002</v>
      </c>
      <c r="L18" s="209">
        <v>140159.34</v>
      </c>
      <c r="M18" s="209">
        <v>0.02</v>
      </c>
      <c r="N18" s="209">
        <v>272983.49</v>
      </c>
      <c r="O18" s="209">
        <v>138042.72</v>
      </c>
      <c r="P18" s="209">
        <v>205513.11000000002</v>
      </c>
      <c r="Q18" s="79">
        <f t="shared" si="0"/>
        <v>145973.01923076922</v>
      </c>
      <c r="R18" s="528"/>
    </row>
    <row r="19" spans="1:18">
      <c r="A19" s="1374">
        <f>+A18+0.01</f>
        <v>2.1099999999999977</v>
      </c>
      <c r="B19" s="792"/>
      <c r="C19" s="1326" t="s">
        <v>1272</v>
      </c>
      <c r="D19" s="195">
        <v>0</v>
      </c>
      <c r="E19" s="195">
        <v>0</v>
      </c>
      <c r="F19" s="195">
        <v>0</v>
      </c>
      <c r="G19" s="195">
        <v>0</v>
      </c>
      <c r="H19" s="195">
        <v>0</v>
      </c>
      <c r="I19" s="195">
        <v>0</v>
      </c>
      <c r="J19" s="195">
        <v>0</v>
      </c>
      <c r="K19" s="195">
        <v>0</v>
      </c>
      <c r="L19" s="195">
        <v>0</v>
      </c>
      <c r="M19" s="195">
        <v>0</v>
      </c>
      <c r="N19" s="195">
        <v>0</v>
      </c>
      <c r="O19" s="195">
        <v>0</v>
      </c>
      <c r="P19" s="195">
        <v>0</v>
      </c>
      <c r="Q19" s="269">
        <f t="shared" si="0"/>
        <v>0</v>
      </c>
      <c r="R19" s="528"/>
    </row>
    <row r="20" spans="1:18">
      <c r="A20" s="1374" t="s">
        <v>1266</v>
      </c>
      <c r="B20" s="792"/>
      <c r="C20" s="1326" t="s">
        <v>1272</v>
      </c>
      <c r="D20" s="195">
        <v>0</v>
      </c>
      <c r="E20" s="195">
        <v>0</v>
      </c>
      <c r="F20" s="195">
        <v>0</v>
      </c>
      <c r="G20" s="195">
        <v>0</v>
      </c>
      <c r="H20" s="195">
        <v>0</v>
      </c>
      <c r="I20" s="195">
        <v>0</v>
      </c>
      <c r="J20" s="195">
        <v>0</v>
      </c>
      <c r="K20" s="195">
        <v>0</v>
      </c>
      <c r="L20" s="195">
        <v>0</v>
      </c>
      <c r="M20" s="195">
        <v>0</v>
      </c>
      <c r="N20" s="195">
        <v>0</v>
      </c>
      <c r="O20" s="195">
        <v>0</v>
      </c>
      <c r="P20" s="195">
        <v>0</v>
      </c>
      <c r="Q20" s="269">
        <f t="shared" si="0"/>
        <v>0</v>
      </c>
      <c r="R20" s="528"/>
    </row>
    <row r="21" spans="1:18" s="1246" customFormat="1">
      <c r="A21" s="1374" t="s">
        <v>1268</v>
      </c>
      <c r="B21" s="792"/>
      <c r="C21" s="1326" t="s">
        <v>1272</v>
      </c>
      <c r="D21" s="264">
        <v>0</v>
      </c>
      <c r="E21" s="264">
        <v>0</v>
      </c>
      <c r="F21" s="264">
        <v>0</v>
      </c>
      <c r="G21" s="264">
        <v>0</v>
      </c>
      <c r="H21" s="264">
        <v>0</v>
      </c>
      <c r="I21" s="264">
        <v>0</v>
      </c>
      <c r="J21" s="264">
        <v>0</v>
      </c>
      <c r="K21" s="264">
        <v>0</v>
      </c>
      <c r="L21" s="264">
        <v>0</v>
      </c>
      <c r="M21" s="264">
        <v>0</v>
      </c>
      <c r="N21" s="264">
        <v>0</v>
      </c>
      <c r="O21" s="264">
        <v>0</v>
      </c>
      <c r="P21" s="264">
        <v>0</v>
      </c>
      <c r="Q21" s="569">
        <f t="shared" si="0"/>
        <v>0</v>
      </c>
      <c r="R21" s="544"/>
    </row>
    <row r="22" spans="1:18">
      <c r="A22" s="1242">
        <f>+A8+1</f>
        <v>3</v>
      </c>
      <c r="B22" s="1243" t="s">
        <v>214</v>
      </c>
      <c r="C22" s="1241" t="str">
        <f>+"Sum Line "&amp;A8&amp;" Subparts"</f>
        <v>Sum Line 2 Subparts</v>
      </c>
      <c r="D22" s="1247">
        <f t="shared" ref="D22:Q22" si="2">SUM(D9:D21)</f>
        <v>1231332.0900000001</v>
      </c>
      <c r="E22" s="1247">
        <f t="shared" si="2"/>
        <v>15040160.959999999</v>
      </c>
      <c r="F22" s="1247">
        <f t="shared" si="2"/>
        <v>13404043.5</v>
      </c>
      <c r="G22" s="1247">
        <f t="shared" si="2"/>
        <v>13020698.459999999</v>
      </c>
      <c r="H22" s="1247">
        <f t="shared" si="2"/>
        <v>11763494.93</v>
      </c>
      <c r="I22" s="1247">
        <f t="shared" si="2"/>
        <v>10077660.919999998</v>
      </c>
      <c r="J22" s="1247">
        <f t="shared" si="2"/>
        <v>10005224.33</v>
      </c>
      <c r="K22" s="1247">
        <f t="shared" si="2"/>
        <v>8857460.3900000006</v>
      </c>
      <c r="L22" s="1247">
        <f t="shared" si="2"/>
        <v>7166479.4800000004</v>
      </c>
      <c r="M22" s="1247">
        <f t="shared" si="2"/>
        <v>5467536.2799999993</v>
      </c>
      <c r="N22" s="1247">
        <f t="shared" si="2"/>
        <v>4224869.13</v>
      </c>
      <c r="O22" s="1247">
        <f t="shared" si="2"/>
        <v>2543255.7900000005</v>
      </c>
      <c r="P22" s="1247">
        <f t="shared" si="2"/>
        <v>1113351.44</v>
      </c>
      <c r="Q22" s="1248">
        <f t="shared" si="2"/>
        <v>7993505.2076923084</v>
      </c>
    </row>
    <row r="23" spans="1:18">
      <c r="A23" s="1242"/>
      <c r="C23" s="1241"/>
      <c r="D23" s="1247" t="s">
        <v>905</v>
      </c>
      <c r="E23" s="1241"/>
      <c r="F23" s="1241"/>
      <c r="G23" s="1241"/>
      <c r="H23" s="1241"/>
      <c r="I23" s="1241"/>
      <c r="J23" s="1241"/>
      <c r="K23" s="1241"/>
      <c r="L23" s="1241"/>
      <c r="M23" s="1241"/>
      <c r="N23" s="1241"/>
      <c r="O23" s="1241"/>
      <c r="P23" s="1247" t="s">
        <v>906</v>
      </c>
      <c r="Q23" s="1248"/>
    </row>
    <row r="24" spans="1:18" s="1246" customFormat="1">
      <c r="A24" s="1242">
        <f>+A22+1</f>
        <v>4</v>
      </c>
      <c r="B24" s="1249"/>
      <c r="D24" s="1243"/>
      <c r="E24" s="1243"/>
      <c r="F24" s="1243"/>
      <c r="G24" s="1243"/>
      <c r="H24" s="1243"/>
      <c r="I24" s="1243"/>
      <c r="J24" s="1243"/>
      <c r="K24" s="1243"/>
      <c r="L24" s="1243"/>
      <c r="M24" s="1243"/>
      <c r="N24" s="1243"/>
      <c r="O24" s="1243"/>
      <c r="P24" s="1243"/>
      <c r="Q24" s="269"/>
      <c r="R24" s="544"/>
    </row>
    <row r="25" spans="1:18" ht="15">
      <c r="A25" s="1242">
        <f>+A24+1</f>
        <v>5</v>
      </c>
      <c r="B25" s="953"/>
      <c r="C25" s="953"/>
      <c r="D25" s="1693" t="s">
        <v>491</v>
      </c>
      <c r="E25" s="1250" t="s">
        <v>1023</v>
      </c>
      <c r="F25" s="1250" t="s">
        <v>616</v>
      </c>
      <c r="G25" s="1250" t="s">
        <v>617</v>
      </c>
      <c r="H25" s="1250" t="s">
        <v>1024</v>
      </c>
      <c r="I25" s="1251"/>
      <c r="J25" s="1251"/>
      <c r="K25" s="1251"/>
      <c r="L25" s="1252"/>
      <c r="M25" s="1252"/>
      <c r="N25" s="1252"/>
      <c r="O25" s="1252"/>
      <c r="P25" s="1252"/>
    </row>
    <row r="26" spans="1:18" ht="27.6" customHeight="1">
      <c r="A26" s="1242">
        <f>+A25+1</f>
        <v>6</v>
      </c>
      <c r="B26" s="1495" t="str">
        <f>+B7</f>
        <v>Account</v>
      </c>
      <c r="C26" s="1495" t="str">
        <f>+C7</f>
        <v>Account Name</v>
      </c>
      <c r="D26" s="1694"/>
      <c r="E26" s="1502" t="s">
        <v>256</v>
      </c>
      <c r="F26" s="582" t="s">
        <v>237</v>
      </c>
      <c r="G26" s="1502" t="s">
        <v>260</v>
      </c>
      <c r="H26" s="1502" t="s">
        <v>245</v>
      </c>
      <c r="I26" s="1251"/>
      <c r="P26" s="1241"/>
      <c r="R26" s="1243"/>
    </row>
    <row r="27" spans="1:18">
      <c r="A27" s="1242">
        <f>+A26+1</f>
        <v>7</v>
      </c>
      <c r="B27" s="1241"/>
      <c r="C27" s="1241"/>
      <c r="D27" s="1241"/>
      <c r="E27" s="1241"/>
      <c r="F27" s="1241"/>
      <c r="G27" s="1241"/>
      <c r="H27" s="1241"/>
    </row>
    <row r="28" spans="1:18">
      <c r="A28" s="1244">
        <f>+A27+0.01</f>
        <v>7.01</v>
      </c>
      <c r="B28" s="1443" t="str">
        <f t="shared" ref="B28:C31" si="3">+B9</f>
        <v>165000</v>
      </c>
      <c r="C28" s="1442" t="str">
        <f t="shared" si="3"/>
        <v>Prepayments</v>
      </c>
      <c r="D28" s="1445">
        <f>+Q9</f>
        <v>126987.61923076924</v>
      </c>
      <c r="E28" s="1442"/>
      <c r="F28" s="871"/>
      <c r="G28" s="1444"/>
      <c r="H28" s="1445">
        <f>+D28</f>
        <v>126987.61923076924</v>
      </c>
      <c r="P28" s="1241"/>
      <c r="R28" s="1243"/>
    </row>
    <row r="29" spans="1:18">
      <c r="A29" s="1244">
        <f t="shared" ref="A29:A38" si="4">+A28+0.01</f>
        <v>7.02</v>
      </c>
      <c r="B29" s="1443" t="str">
        <f t="shared" si="3"/>
        <v>165004</v>
      </c>
      <c r="C29" s="1442" t="str">
        <f t="shared" si="3"/>
        <v>Pp Taxes-Regulatory Commis.</v>
      </c>
      <c r="D29" s="1445">
        <f>+Q10</f>
        <v>23635.742307692315</v>
      </c>
      <c r="E29" s="1445">
        <f>+D29</f>
        <v>23635.742307692315</v>
      </c>
      <c r="F29" s="1442"/>
      <c r="G29" s="1444"/>
      <c r="H29" s="1442"/>
      <c r="P29" s="1241"/>
      <c r="R29" s="1243"/>
    </row>
    <row r="30" spans="1:18">
      <c r="A30" s="1244">
        <f t="shared" si="4"/>
        <v>7.0299999999999994</v>
      </c>
      <c r="B30" s="1443" t="str">
        <f t="shared" si="3"/>
        <v>165005</v>
      </c>
      <c r="C30" s="1442" t="str">
        <f t="shared" si="3"/>
        <v>Pp Taxes - Corp Franch Tax</v>
      </c>
      <c r="D30" s="1445">
        <f>+Q11</f>
        <v>354558.07692307694</v>
      </c>
      <c r="E30" s="1442"/>
      <c r="F30" s="1445"/>
      <c r="G30" s="1444">
        <f>+D30</f>
        <v>354558.07692307694</v>
      </c>
      <c r="H30" s="1442"/>
      <c r="P30" s="1241"/>
      <c r="R30" s="1243"/>
    </row>
    <row r="31" spans="1:18">
      <c r="A31" s="1244">
        <f t="shared" si="4"/>
        <v>7.0399999999999991</v>
      </c>
      <c r="B31" s="1443" t="str">
        <f t="shared" si="3"/>
        <v>165100</v>
      </c>
      <c r="C31" s="1442" t="str">
        <f t="shared" si="3"/>
        <v>Prepaid Insurance</v>
      </c>
      <c r="D31" s="1445">
        <f>+Q12</f>
        <v>878444.24769230769</v>
      </c>
      <c r="E31" s="1442"/>
      <c r="F31" s="1445"/>
      <c r="G31" s="1444">
        <f>+D31</f>
        <v>878444.24769230769</v>
      </c>
      <c r="H31" s="1442"/>
      <c r="P31" s="1241"/>
      <c r="R31" s="1243"/>
    </row>
    <row r="32" spans="1:18">
      <c r="A32" s="1244">
        <f>+A31+0.01</f>
        <v>7.0499999999999989</v>
      </c>
      <c r="B32" s="43" t="s">
        <v>495</v>
      </c>
      <c r="C32" s="1442" t="str">
        <f>+C13</f>
        <v>Prepaid Ins Directors&amp;Officers</v>
      </c>
      <c r="D32" s="1445">
        <f t="shared" ref="D32:D40" si="5">Q13</f>
        <v>63782.928461538468</v>
      </c>
      <c r="E32" s="1446"/>
      <c r="F32" s="1442"/>
      <c r="G32" s="1444"/>
      <c r="H32" s="1445">
        <f>+D32</f>
        <v>63782.928461538468</v>
      </c>
      <c r="P32" s="1241"/>
      <c r="R32" s="1243"/>
    </row>
    <row r="33" spans="1:18" ht="15">
      <c r="A33" s="1244">
        <f t="shared" si="4"/>
        <v>7.0599999999999987</v>
      </c>
      <c r="B33" s="43" t="s">
        <v>496</v>
      </c>
      <c r="C33" s="1442" t="str">
        <f>+C14</f>
        <v>Prepaid Dues to EEI</v>
      </c>
      <c r="D33" s="1445">
        <f t="shared" si="5"/>
        <v>21188.050000000003</v>
      </c>
      <c r="E33" s="1442"/>
      <c r="F33" s="871"/>
      <c r="G33" s="1483"/>
      <c r="H33" s="1514">
        <f>+D33</f>
        <v>21188.050000000003</v>
      </c>
      <c r="P33" s="1241"/>
      <c r="R33" s="1243"/>
    </row>
    <row r="34" spans="1:18" ht="15">
      <c r="A34" s="1244">
        <f t="shared" si="4"/>
        <v>7.0699999999999985</v>
      </c>
      <c r="B34" s="43" t="s">
        <v>1302</v>
      </c>
      <c r="C34" s="1442" t="str">
        <f>+C15</f>
        <v>Ad Valorem Taxes</v>
      </c>
      <c r="D34" s="1445">
        <f t="shared" si="5"/>
        <v>6350034.4515384622</v>
      </c>
      <c r="E34" s="1479"/>
      <c r="F34" s="1442"/>
      <c r="G34" s="1444">
        <f>+D34</f>
        <v>6350034.4515384622</v>
      </c>
      <c r="H34" s="1514"/>
      <c r="P34" s="1241"/>
      <c r="R34" s="1243"/>
    </row>
    <row r="35" spans="1:18" ht="15">
      <c r="A35" s="1244">
        <f t="shared" si="4"/>
        <v>7.0799999999999983</v>
      </c>
      <c r="B35" s="43" t="s">
        <v>1200</v>
      </c>
      <c r="C35" s="1528" t="str">
        <f t="shared" ref="C35" si="6">+C16</f>
        <v>PPD IQNavigator, Inc</v>
      </c>
      <c r="D35" s="1445">
        <f t="shared" si="5"/>
        <v>8783.7230769230773</v>
      </c>
      <c r="E35" s="1446"/>
      <c r="F35" s="1442"/>
      <c r="G35" s="1483"/>
      <c r="H35" s="1514">
        <f>+D35</f>
        <v>8783.7230769230773</v>
      </c>
      <c r="P35" s="1241"/>
      <c r="R35" s="1243"/>
    </row>
    <row r="36" spans="1:18">
      <c r="A36" s="1244">
        <f t="shared" si="4"/>
        <v>7.0899999999999981</v>
      </c>
      <c r="B36" s="43" t="s">
        <v>547</v>
      </c>
      <c r="C36" s="1442" t="str">
        <f t="shared" ref="C36" si="7">+C17</f>
        <v>Prepaid Rent Expense</v>
      </c>
      <c r="D36" s="1445">
        <f t="shared" si="5"/>
        <v>20117.349230769232</v>
      </c>
      <c r="E36" s="1445">
        <f t="shared" ref="E36" si="8">+D36</f>
        <v>20117.349230769232</v>
      </c>
      <c r="F36" s="1442"/>
      <c r="G36" s="1444"/>
      <c r="H36" s="1442"/>
      <c r="P36" s="1241"/>
      <c r="R36" s="1243"/>
    </row>
    <row r="37" spans="1:18">
      <c r="A37" s="1244">
        <f t="shared" si="4"/>
        <v>7.0999999999999979</v>
      </c>
      <c r="B37" s="43" t="s">
        <v>274</v>
      </c>
      <c r="C37" s="1442" t="str">
        <f t="shared" ref="C37" si="9">+C18</f>
        <v>PrePaid Designated Servic-SAIC</v>
      </c>
      <c r="D37" s="1476">
        <f t="shared" si="5"/>
        <v>145973.01923076922</v>
      </c>
      <c r="E37" s="1446"/>
      <c r="F37" s="1442"/>
      <c r="G37" s="1444"/>
      <c r="H37" s="1445">
        <f>+D37</f>
        <v>145973.01923076922</v>
      </c>
      <c r="P37" s="1241"/>
      <c r="R37" s="1243"/>
    </row>
    <row r="38" spans="1:18">
      <c r="A38" s="1374">
        <f t="shared" si="4"/>
        <v>7.1099999999999977</v>
      </c>
      <c r="B38" s="1325"/>
      <c r="C38" s="1442" t="str">
        <f t="shared" ref="C38" si="10">+C19</f>
        <v>Additional  Items As Applicable</v>
      </c>
      <c r="D38" s="1476">
        <f t="shared" si="5"/>
        <v>0</v>
      </c>
      <c r="E38" s="1324"/>
      <c r="F38" s="1326"/>
      <c r="G38" s="1327"/>
      <c r="H38" s="1326"/>
      <c r="P38" s="1241"/>
      <c r="R38" s="1243"/>
    </row>
    <row r="39" spans="1:18">
      <c r="A39" s="1374" t="s">
        <v>1265</v>
      </c>
      <c r="B39" s="1325"/>
      <c r="C39" s="1442" t="str">
        <f t="shared" ref="C39" si="11">+C20</f>
        <v>Additional  Items As Applicable</v>
      </c>
      <c r="D39" s="1476">
        <f t="shared" si="5"/>
        <v>0</v>
      </c>
      <c r="E39" s="1324"/>
      <c r="F39" s="1326"/>
      <c r="G39" s="1327"/>
      <c r="H39" s="1326"/>
      <c r="P39" s="1241"/>
      <c r="R39" s="1243"/>
    </row>
    <row r="40" spans="1:18">
      <c r="A40" s="1374" t="s">
        <v>1269</v>
      </c>
      <c r="B40" s="1328"/>
      <c r="C40" s="1478" t="str">
        <f t="shared" ref="C40" si="12">+C21</f>
        <v>Additional  Items As Applicable</v>
      </c>
      <c r="D40" s="1477">
        <f t="shared" si="5"/>
        <v>0</v>
      </c>
      <c r="E40" s="1330"/>
      <c r="F40" s="1331"/>
      <c r="G40" s="1332"/>
      <c r="H40" s="1329"/>
      <c r="P40" s="1241"/>
      <c r="R40" s="1243"/>
    </row>
    <row r="41" spans="1:18">
      <c r="A41" s="1242">
        <f>+A27+1</f>
        <v>8</v>
      </c>
      <c r="B41" s="1245" t="str">
        <f>+B22</f>
        <v>Total</v>
      </c>
      <c r="C41" s="1241" t="str">
        <f>+"Sum Line "&amp;A27&amp;" Subparts"</f>
        <v>Sum Line 7 Subparts</v>
      </c>
      <c r="D41" s="1253">
        <f>SUM(D28:D40)</f>
        <v>7993505.2076923084</v>
      </c>
      <c r="E41" s="1254">
        <f>SUM(E28:E40)</f>
        <v>43753.091538461551</v>
      </c>
      <c r="F41" s="1254">
        <f>SUM(F28:F40)</f>
        <v>0</v>
      </c>
      <c r="G41" s="1254">
        <f>SUM(G28:G40)</f>
        <v>7583036.7761538466</v>
      </c>
      <c r="H41" s="1254">
        <f>SUM(H28:H40)</f>
        <v>366715.34</v>
      </c>
      <c r="I41" s="1241"/>
      <c r="J41" s="1241"/>
      <c r="K41" s="1241"/>
      <c r="L41" s="1241"/>
      <c r="M41" s="1241"/>
      <c r="N41" s="1241"/>
      <c r="O41" s="1241"/>
      <c r="P41" s="1241"/>
      <c r="Q41" s="1241"/>
      <c r="R41" s="1243"/>
    </row>
    <row r="42" spans="1:18">
      <c r="A42" s="1242"/>
      <c r="B42" s="1241"/>
      <c r="C42" s="1241"/>
      <c r="D42" s="1241"/>
      <c r="E42" s="1241"/>
      <c r="F42" s="1241"/>
      <c r="G42" s="1241"/>
      <c r="H42" s="1241"/>
      <c r="I42" s="1241"/>
      <c r="J42" s="1241"/>
      <c r="K42" s="1241"/>
      <c r="L42" s="1241"/>
      <c r="M42" s="1241"/>
      <c r="N42" s="1241"/>
      <c r="O42" s="1241"/>
      <c r="P42" s="1241"/>
      <c r="Q42" s="1241"/>
    </row>
    <row r="43" spans="1:18">
      <c r="A43" s="1242" t="s">
        <v>592</v>
      </c>
      <c r="B43" s="1241"/>
      <c r="C43" s="1241"/>
      <c r="D43" s="1241"/>
      <c r="E43" s="1241"/>
      <c r="F43" s="1241"/>
      <c r="G43" s="1241"/>
      <c r="H43" s="1241"/>
      <c r="I43" s="1241"/>
      <c r="J43" s="1241"/>
      <c r="K43" s="1241"/>
      <c r="L43" s="1241"/>
      <c r="M43" s="1241"/>
      <c r="N43" s="1241"/>
      <c r="O43" s="1241"/>
      <c r="P43" s="1241"/>
      <c r="Q43" s="1241"/>
    </row>
    <row r="44" spans="1:18" ht="12.75" customHeight="1">
      <c r="A44" s="1250" t="s">
        <v>271</v>
      </c>
      <c r="B44" s="1661" t="s">
        <v>1453</v>
      </c>
      <c r="C44" s="1661"/>
      <c r="D44" s="1661"/>
      <c r="E44" s="1661"/>
      <c r="F44" s="1661"/>
      <c r="G44" s="1661"/>
      <c r="H44" s="1661"/>
      <c r="I44" s="1661"/>
      <c r="J44" s="1661"/>
      <c r="K44" s="1661"/>
      <c r="L44" s="1661"/>
      <c r="M44" s="1661"/>
      <c r="N44" s="1661"/>
      <c r="O44" s="1661"/>
      <c r="P44" s="1661"/>
      <c r="Q44" s="1661"/>
    </row>
    <row r="45" spans="1:18" ht="12.75" customHeight="1">
      <c r="A45" s="1250" t="s">
        <v>615</v>
      </c>
      <c r="B45" s="1661" t="s">
        <v>1019</v>
      </c>
      <c r="C45" s="1661"/>
      <c r="D45" s="1661"/>
      <c r="E45" s="1661"/>
      <c r="F45" s="1661"/>
      <c r="G45" s="1661"/>
      <c r="H45" s="1661"/>
      <c r="I45" s="1661"/>
      <c r="J45" s="1661"/>
      <c r="K45" s="1661"/>
      <c r="L45" s="1661"/>
      <c r="M45" s="1661"/>
      <c r="N45" s="1661"/>
      <c r="O45" s="1661"/>
      <c r="P45" s="1661"/>
      <c r="Q45" s="1661"/>
    </row>
    <row r="46" spans="1:18" ht="12.75" customHeight="1">
      <c r="A46" s="1255" t="s">
        <v>616</v>
      </c>
      <c r="B46" s="1661" t="s">
        <v>1026</v>
      </c>
      <c r="C46" s="1661"/>
      <c r="D46" s="1661"/>
      <c r="E46" s="1661"/>
      <c r="F46" s="1661"/>
      <c r="G46" s="1661"/>
      <c r="H46" s="1661"/>
      <c r="I46" s="1661"/>
      <c r="J46" s="1661"/>
      <c r="K46" s="1661"/>
      <c r="L46" s="1661"/>
      <c r="M46" s="1661"/>
      <c r="N46" s="1661"/>
      <c r="O46" s="1661"/>
      <c r="P46" s="1661"/>
      <c r="Q46" s="1661"/>
    </row>
    <row r="47" spans="1:18" ht="12.75" customHeight="1">
      <c r="A47" s="1255" t="s">
        <v>617</v>
      </c>
      <c r="B47" s="1661" t="s">
        <v>1020</v>
      </c>
      <c r="C47" s="1661"/>
      <c r="D47" s="1661"/>
      <c r="E47" s="1661"/>
      <c r="F47" s="1661"/>
      <c r="G47" s="1661"/>
      <c r="H47" s="1661"/>
      <c r="I47" s="1661"/>
      <c r="J47" s="1661"/>
      <c r="K47" s="1661"/>
      <c r="L47" s="1661"/>
      <c r="M47" s="1661"/>
      <c r="N47" s="1661"/>
      <c r="O47" s="1661"/>
      <c r="P47" s="1661"/>
      <c r="Q47" s="1661"/>
      <c r="R47" s="1243"/>
    </row>
    <row r="48" spans="1:18" ht="13.15" customHeight="1">
      <c r="A48" s="1255" t="s">
        <v>618</v>
      </c>
      <c r="B48" s="1695" t="s">
        <v>1022</v>
      </c>
      <c r="C48" s="1695"/>
      <c r="D48" s="1695"/>
      <c r="E48" s="1695"/>
      <c r="F48" s="1695"/>
      <c r="G48" s="1695"/>
      <c r="H48" s="1695"/>
      <c r="I48" s="1695"/>
      <c r="J48" s="1695"/>
      <c r="K48" s="1695"/>
      <c r="L48" s="1695"/>
      <c r="M48" s="1695"/>
      <c r="N48" s="1695"/>
      <c r="O48" s="1695"/>
      <c r="P48" s="1695"/>
      <c r="Q48" s="1695"/>
      <c r="R48" s="1243"/>
    </row>
    <row r="49" spans="1:18" ht="14.45" customHeight="1">
      <c r="A49" s="1255" t="s">
        <v>1010</v>
      </c>
      <c r="B49" s="1692" t="s">
        <v>1021</v>
      </c>
      <c r="C49" s="1692"/>
      <c r="D49" s="1692"/>
      <c r="E49" s="1692"/>
      <c r="F49" s="1692"/>
      <c r="G49" s="1692"/>
      <c r="H49" s="1692"/>
      <c r="I49" s="1692"/>
      <c r="J49" s="1692"/>
      <c r="K49" s="1692"/>
      <c r="L49" s="1692"/>
      <c r="M49" s="1692"/>
      <c r="N49" s="1692"/>
      <c r="O49" s="1692"/>
      <c r="P49" s="1692"/>
      <c r="Q49" s="1692"/>
      <c r="R49" s="1243"/>
    </row>
    <row r="50" spans="1:18">
      <c r="A50" s="1256"/>
      <c r="R50" s="1243"/>
    </row>
  </sheetData>
  <mergeCells count="11">
    <mergeCell ref="B49:Q49"/>
    <mergeCell ref="D25:D26"/>
    <mergeCell ref="A1:Q1"/>
    <mergeCell ref="A3:Q3"/>
    <mergeCell ref="Q6:Q7"/>
    <mergeCell ref="A2:Q2"/>
    <mergeCell ref="B44:Q44"/>
    <mergeCell ref="B45:Q45"/>
    <mergeCell ref="B46:Q46"/>
    <mergeCell ref="B47:Q47"/>
    <mergeCell ref="B48:Q48"/>
  </mergeCells>
  <printOptions horizontalCentered="1"/>
  <pageMargins left="0.7" right="0.7" top="0.7" bottom="0.7" header="0.3" footer="0.5"/>
  <pageSetup scale="60" orientation="landscape" horizontalDpi="300" r:id="rId1"/>
  <headerFooter>
    <oddFooter>&amp;CPage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activeCell="C65" sqref="B65:G65"/>
      <selection pane="topRight" activeCell="P11" sqref="P11"/>
    </sheetView>
  </sheetViews>
  <sheetFormatPr defaultColWidth="9.140625" defaultRowHeight="12.75"/>
  <cols>
    <col min="1" max="1" width="3" style="796" bestFit="1" customWidth="1"/>
    <col min="2" max="2" width="17.7109375" style="796" customWidth="1"/>
    <col min="3" max="15" width="10.28515625" style="796" bestFit="1" customWidth="1"/>
    <col min="16" max="16" width="10.42578125" style="787" bestFit="1" customWidth="1"/>
    <col min="17" max="16384" width="9.140625" style="796"/>
  </cols>
  <sheetData>
    <row r="1" spans="1:16">
      <c r="A1" s="1697" t="str">
        <f>+'MISO Cover'!C6</f>
        <v>Entergy New Orleans, Inc.</v>
      </c>
      <c r="B1" s="1697"/>
      <c r="C1" s="1697"/>
      <c r="D1" s="1697"/>
      <c r="E1" s="1697"/>
      <c r="F1" s="1697"/>
      <c r="G1" s="1697"/>
      <c r="H1" s="1697"/>
      <c r="I1" s="1697"/>
      <c r="J1" s="1697"/>
      <c r="K1" s="1697"/>
      <c r="L1" s="1697"/>
      <c r="M1" s="1697"/>
      <c r="N1" s="1697"/>
      <c r="O1" s="1697"/>
      <c r="P1" s="1697"/>
    </row>
    <row r="2" spans="1:16">
      <c r="A2" s="1698" t="s">
        <v>1224</v>
      </c>
      <c r="B2" s="1698"/>
      <c r="C2" s="1698"/>
      <c r="D2" s="1698"/>
      <c r="E2" s="1698"/>
      <c r="F2" s="1698"/>
      <c r="G2" s="1698"/>
      <c r="H2" s="1698"/>
      <c r="I2" s="1698"/>
      <c r="J2" s="1698"/>
      <c r="K2" s="1698"/>
      <c r="L2" s="1698"/>
      <c r="M2" s="1698"/>
      <c r="N2" s="1698"/>
      <c r="O2" s="1698"/>
      <c r="P2" s="1698"/>
    </row>
    <row r="3" spans="1:16">
      <c r="A3" s="1697" t="str">
        <f>+'MISO Cover'!K4</f>
        <v>For  the 12 Months Ended 12/31/2014</v>
      </c>
      <c r="B3" s="1697"/>
      <c r="C3" s="1697"/>
      <c r="D3" s="1697"/>
      <c r="E3" s="1697"/>
      <c r="F3" s="1697"/>
      <c r="G3" s="1697"/>
      <c r="H3" s="1697"/>
      <c r="I3" s="1697"/>
      <c r="J3" s="1697"/>
      <c r="K3" s="1697"/>
      <c r="L3" s="1697"/>
      <c r="M3" s="1697"/>
      <c r="N3" s="1697"/>
      <c r="O3" s="1697"/>
      <c r="P3" s="1697"/>
    </row>
    <row r="4" spans="1:16">
      <c r="B4" s="1696"/>
      <c r="C4" s="1696"/>
      <c r="D4" s="1696"/>
      <c r="E4" s="1696"/>
      <c r="F4" s="1696"/>
      <c r="G4" s="1696"/>
      <c r="H4" s="1696"/>
      <c r="I4" s="1696"/>
      <c r="J4" s="1696"/>
      <c r="K4" s="1696"/>
      <c r="L4" s="1696"/>
      <c r="M4" s="1696"/>
      <c r="N4" s="1696"/>
      <c r="O4" s="1696"/>
    </row>
    <row r="5" spans="1:16" s="797" customFormat="1">
      <c r="A5" s="797" t="s">
        <v>525</v>
      </c>
      <c r="B5" s="607" t="s">
        <v>167</v>
      </c>
      <c r="C5" s="607" t="s">
        <v>215</v>
      </c>
      <c r="D5" s="607" t="s">
        <v>155</v>
      </c>
      <c r="E5" s="607" t="s">
        <v>168</v>
      </c>
      <c r="F5" s="607" t="s">
        <v>166</v>
      </c>
      <c r="G5" s="607" t="s">
        <v>257</v>
      </c>
      <c r="H5" s="607" t="s">
        <v>169</v>
      </c>
      <c r="I5" s="607" t="s">
        <v>270</v>
      </c>
      <c r="J5" s="607" t="s">
        <v>159</v>
      </c>
      <c r="K5" s="607" t="s">
        <v>160</v>
      </c>
      <c r="L5" s="607" t="s">
        <v>171</v>
      </c>
      <c r="M5" s="607" t="s">
        <v>199</v>
      </c>
      <c r="N5" s="607" t="s">
        <v>200</v>
      </c>
      <c r="O5" s="607" t="s">
        <v>258</v>
      </c>
      <c r="P5" s="798" t="s">
        <v>439</v>
      </c>
    </row>
    <row r="6" spans="1:16">
      <c r="B6" s="173"/>
      <c r="C6" s="547"/>
      <c r="D6" s="547"/>
      <c r="E6" s="547"/>
      <c r="F6" s="547"/>
      <c r="G6" s="547"/>
      <c r="H6" s="547"/>
      <c r="I6" s="547"/>
      <c r="J6" s="799"/>
      <c r="K6" s="799"/>
      <c r="L6" s="799"/>
      <c r="M6" s="799"/>
      <c r="N6" s="799"/>
      <c r="O6" s="799"/>
      <c r="P6" s="787" t="s">
        <v>770</v>
      </c>
    </row>
    <row r="7" spans="1:16">
      <c r="A7" s="797">
        <v>1</v>
      </c>
      <c r="B7" s="173"/>
      <c r="C7" s="1494" t="s">
        <v>137</v>
      </c>
      <c r="D7" s="1494" t="s">
        <v>127</v>
      </c>
      <c r="E7" s="1494" t="s">
        <v>128</v>
      </c>
      <c r="F7" s="1494" t="s">
        <v>129</v>
      </c>
      <c r="G7" s="1494" t="s">
        <v>130</v>
      </c>
      <c r="H7" s="1494" t="s">
        <v>126</v>
      </c>
      <c r="I7" s="1494" t="s">
        <v>131</v>
      </c>
      <c r="J7" s="1494" t="s">
        <v>132</v>
      </c>
      <c r="K7" s="1494" t="s">
        <v>133</v>
      </c>
      <c r="L7" s="1494" t="s">
        <v>134</v>
      </c>
      <c r="M7" s="1494" t="s">
        <v>135</v>
      </c>
      <c r="N7" s="1494" t="s">
        <v>136</v>
      </c>
      <c r="O7" s="1494" t="s">
        <v>137</v>
      </c>
      <c r="P7" s="1498" t="s">
        <v>242</v>
      </c>
    </row>
    <row r="8" spans="1:16">
      <c r="A8" s="797">
        <f>+A7+1</f>
        <v>2</v>
      </c>
      <c r="B8" s="174" t="s">
        <v>293</v>
      </c>
      <c r="C8" s="1372">
        <v>0</v>
      </c>
      <c r="D8" s="1372">
        <v>0</v>
      </c>
      <c r="E8" s="1372">
        <v>0</v>
      </c>
      <c r="F8" s="1372">
        <v>0</v>
      </c>
      <c r="G8" s="1372">
        <v>0</v>
      </c>
      <c r="H8" s="1372">
        <v>0</v>
      </c>
      <c r="I8" s="1372">
        <v>0</v>
      </c>
      <c r="J8" s="1372">
        <v>0</v>
      </c>
      <c r="K8" s="1372">
        <v>0</v>
      </c>
      <c r="L8" s="1372">
        <v>0</v>
      </c>
      <c r="M8" s="1372">
        <v>0</v>
      </c>
      <c r="N8" s="1372">
        <v>0</v>
      </c>
      <c r="O8" s="1372">
        <v>0</v>
      </c>
      <c r="P8" s="787">
        <f>+SUM(C8:O8)/13</f>
        <v>0</v>
      </c>
    </row>
    <row r="9" spans="1:16">
      <c r="A9" s="797">
        <f t="shared" ref="A9:A15" si="0">+A8+1</f>
        <v>3</v>
      </c>
      <c r="B9" s="174" t="s">
        <v>294</v>
      </c>
      <c r="C9" s="1372">
        <v>0</v>
      </c>
      <c r="D9" s="1372">
        <v>0</v>
      </c>
      <c r="E9" s="1372">
        <v>0</v>
      </c>
      <c r="F9" s="1372">
        <v>0</v>
      </c>
      <c r="G9" s="1372">
        <v>0</v>
      </c>
      <c r="H9" s="1372">
        <v>0</v>
      </c>
      <c r="I9" s="1372">
        <v>0</v>
      </c>
      <c r="J9" s="1372">
        <v>0</v>
      </c>
      <c r="K9" s="1372">
        <v>0</v>
      </c>
      <c r="L9" s="1372">
        <v>0</v>
      </c>
      <c r="M9" s="1372">
        <v>0</v>
      </c>
      <c r="N9" s="1372">
        <v>0</v>
      </c>
      <c r="O9" s="1372">
        <v>0</v>
      </c>
      <c r="P9" s="787">
        <f t="shared" ref="P9:P14" si="1">+SUM(C9:O9)/13</f>
        <v>0</v>
      </c>
    </row>
    <row r="10" spans="1:16">
      <c r="A10" s="797">
        <f t="shared" si="0"/>
        <v>4</v>
      </c>
      <c r="B10" s="174" t="s">
        <v>295</v>
      </c>
      <c r="C10" s="1372">
        <v>0</v>
      </c>
      <c r="D10" s="1372">
        <v>0</v>
      </c>
      <c r="E10" s="1372">
        <v>0</v>
      </c>
      <c r="F10" s="1372">
        <v>0</v>
      </c>
      <c r="G10" s="1372">
        <v>0</v>
      </c>
      <c r="H10" s="1372">
        <v>0</v>
      </c>
      <c r="I10" s="1372">
        <v>0</v>
      </c>
      <c r="J10" s="1372">
        <v>0</v>
      </c>
      <c r="K10" s="1372">
        <v>0</v>
      </c>
      <c r="L10" s="1372">
        <v>0</v>
      </c>
      <c r="M10" s="1372">
        <v>0</v>
      </c>
      <c r="N10" s="1372">
        <v>0</v>
      </c>
      <c r="O10" s="1372">
        <v>0</v>
      </c>
      <c r="P10" s="787">
        <f t="shared" si="1"/>
        <v>0</v>
      </c>
    </row>
    <row r="11" spans="1:16">
      <c r="A11" s="797">
        <f t="shared" si="0"/>
        <v>5</v>
      </c>
      <c r="B11" s="173" t="s">
        <v>237</v>
      </c>
      <c r="C11" s="1372">
        <v>0</v>
      </c>
      <c r="D11" s="1372">
        <v>0</v>
      </c>
      <c r="E11" s="1372">
        <v>0</v>
      </c>
      <c r="F11" s="1372">
        <v>0</v>
      </c>
      <c r="G11" s="1372">
        <v>0</v>
      </c>
      <c r="H11" s="1372">
        <v>0</v>
      </c>
      <c r="I11" s="1372">
        <v>0</v>
      </c>
      <c r="J11" s="1372">
        <v>0</v>
      </c>
      <c r="K11" s="1372">
        <v>0</v>
      </c>
      <c r="L11" s="1372">
        <v>0</v>
      </c>
      <c r="M11" s="1372">
        <v>0</v>
      </c>
      <c r="N11" s="1372">
        <v>0</v>
      </c>
      <c r="O11" s="1373">
        <v>0</v>
      </c>
      <c r="P11" s="1532">
        <f t="shared" si="1"/>
        <v>0</v>
      </c>
    </row>
    <row r="12" spans="1:16">
      <c r="A12" s="797">
        <f t="shared" si="0"/>
        <v>6</v>
      </c>
      <c r="B12" s="173" t="s">
        <v>121</v>
      </c>
      <c r="C12" s="1372">
        <v>0</v>
      </c>
      <c r="D12" s="1372">
        <v>0</v>
      </c>
      <c r="E12" s="1372">
        <v>0</v>
      </c>
      <c r="F12" s="1372">
        <v>0</v>
      </c>
      <c r="G12" s="1372">
        <v>0</v>
      </c>
      <c r="H12" s="1372">
        <v>0</v>
      </c>
      <c r="I12" s="1372">
        <v>0</v>
      </c>
      <c r="J12" s="1372">
        <v>0</v>
      </c>
      <c r="K12" s="1372">
        <v>0</v>
      </c>
      <c r="L12" s="1372">
        <v>0</v>
      </c>
      <c r="M12" s="1372">
        <v>0</v>
      </c>
      <c r="N12" s="1372">
        <v>0</v>
      </c>
      <c r="O12" s="1372">
        <v>0</v>
      </c>
      <c r="P12" s="787">
        <f t="shared" si="1"/>
        <v>0</v>
      </c>
    </row>
    <row r="13" spans="1:16">
      <c r="A13" s="797">
        <f t="shared" si="0"/>
        <v>7</v>
      </c>
      <c r="B13" s="173" t="s">
        <v>296</v>
      </c>
      <c r="C13" s="1372">
        <v>0</v>
      </c>
      <c r="D13" s="1372">
        <v>0</v>
      </c>
      <c r="E13" s="1372">
        <v>0</v>
      </c>
      <c r="F13" s="1372">
        <v>0</v>
      </c>
      <c r="G13" s="1372">
        <v>0</v>
      </c>
      <c r="H13" s="1372">
        <v>0</v>
      </c>
      <c r="I13" s="1372">
        <v>0</v>
      </c>
      <c r="J13" s="1372">
        <v>0</v>
      </c>
      <c r="K13" s="1372">
        <v>0</v>
      </c>
      <c r="L13" s="1372">
        <v>0</v>
      </c>
      <c r="M13" s="1372">
        <v>0</v>
      </c>
      <c r="N13" s="1372">
        <v>0</v>
      </c>
      <c r="O13" s="1372">
        <v>0</v>
      </c>
      <c r="P13" s="787">
        <f t="shared" si="1"/>
        <v>0</v>
      </c>
    </row>
    <row r="14" spans="1:16">
      <c r="A14" s="797">
        <f t="shared" si="0"/>
        <v>8</v>
      </c>
      <c r="B14" s="173" t="s">
        <v>297</v>
      </c>
      <c r="C14" s="1496">
        <v>0</v>
      </c>
      <c r="D14" s="1496">
        <v>0</v>
      </c>
      <c r="E14" s="1496">
        <v>0</v>
      </c>
      <c r="F14" s="1496">
        <v>0</v>
      </c>
      <c r="G14" s="1496">
        <v>0</v>
      </c>
      <c r="H14" s="1496">
        <v>0</v>
      </c>
      <c r="I14" s="1496">
        <v>0</v>
      </c>
      <c r="J14" s="1496">
        <v>0</v>
      </c>
      <c r="K14" s="1496">
        <v>0</v>
      </c>
      <c r="L14" s="1496">
        <v>0</v>
      </c>
      <c r="M14" s="1496">
        <v>0</v>
      </c>
      <c r="N14" s="1496">
        <v>0</v>
      </c>
      <c r="O14" s="1496">
        <v>0</v>
      </c>
      <c r="P14" s="1497">
        <f t="shared" si="1"/>
        <v>0</v>
      </c>
    </row>
    <row r="15" spans="1:16">
      <c r="A15" s="797">
        <f t="shared" si="0"/>
        <v>9</v>
      </c>
      <c r="B15" s="173" t="s">
        <v>744</v>
      </c>
      <c r="C15" s="548">
        <f>SUM(C8:C14)</f>
        <v>0</v>
      </c>
      <c r="D15" s="548">
        <f t="shared" ref="D15:O15" si="2">SUM(D8:D14)</f>
        <v>0</v>
      </c>
      <c r="E15" s="548">
        <f t="shared" si="2"/>
        <v>0</v>
      </c>
      <c r="F15" s="548">
        <f t="shared" si="2"/>
        <v>0</v>
      </c>
      <c r="G15" s="548">
        <f t="shared" si="2"/>
        <v>0</v>
      </c>
      <c r="H15" s="548">
        <f t="shared" si="2"/>
        <v>0</v>
      </c>
      <c r="I15" s="548">
        <f t="shared" si="2"/>
        <v>0</v>
      </c>
      <c r="J15" s="548">
        <f t="shared" si="2"/>
        <v>0</v>
      </c>
      <c r="K15" s="548">
        <f t="shared" si="2"/>
        <v>0</v>
      </c>
      <c r="L15" s="548">
        <f t="shared" si="2"/>
        <v>0</v>
      </c>
      <c r="M15" s="548">
        <f t="shared" si="2"/>
        <v>0</v>
      </c>
      <c r="N15" s="548">
        <f t="shared" si="2"/>
        <v>0</v>
      </c>
      <c r="O15" s="548">
        <f t="shared" si="2"/>
        <v>0</v>
      </c>
      <c r="P15" s="787">
        <f>SUM(P8:P14)</f>
        <v>0</v>
      </c>
    </row>
    <row r="16" spans="1:16">
      <c r="A16" s="797"/>
      <c r="B16" s="173"/>
      <c r="C16" s="954" t="s">
        <v>271</v>
      </c>
      <c r="D16" s="548"/>
      <c r="E16" s="548"/>
      <c r="F16" s="548"/>
      <c r="G16" s="548"/>
      <c r="H16" s="548"/>
      <c r="I16" s="548"/>
      <c r="J16" s="800"/>
      <c r="K16" s="800"/>
      <c r="L16" s="800"/>
      <c r="M16" s="800"/>
      <c r="N16" s="800"/>
      <c r="O16" s="954" t="s">
        <v>271</v>
      </c>
    </row>
    <row r="17" spans="1:9">
      <c r="A17" s="173" t="s">
        <v>298</v>
      </c>
      <c r="C17" s="173"/>
      <c r="D17" s="173"/>
      <c r="E17" s="173"/>
      <c r="F17" s="173"/>
      <c r="G17" s="173"/>
      <c r="H17" s="173"/>
      <c r="I17" s="173"/>
    </row>
    <row r="18" spans="1:9">
      <c r="A18" s="801" t="s">
        <v>271</v>
      </c>
      <c r="B18" s="174" t="s">
        <v>863</v>
      </c>
      <c r="C18" s="173"/>
      <c r="D18" s="173"/>
      <c r="E18" s="173"/>
      <c r="F18" s="173"/>
      <c r="G18" s="173"/>
      <c r="H18" s="173"/>
      <c r="I18" s="173"/>
    </row>
  </sheetData>
  <mergeCells count="4">
    <mergeCell ref="B4:O4"/>
    <mergeCell ref="A1:P1"/>
    <mergeCell ref="A3:P3"/>
    <mergeCell ref="A2:P2"/>
  </mergeCells>
  <phoneticPr fontId="97" type="noConversion"/>
  <printOptions horizontalCentered="1"/>
  <pageMargins left="0.7" right="0.7" top="0.7" bottom="0.7" header="0.3" footer="0.5"/>
  <pageSetup scale="75" orientation="landscape" r:id="rId1"/>
  <headerFooter>
    <oddFooter>&amp;CPage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topLeftCell="A34" zoomScaleNormal="100" workbookViewId="0">
      <selection activeCell="B58" sqref="B58"/>
    </sheetView>
  </sheetViews>
  <sheetFormatPr defaultColWidth="8.85546875" defaultRowHeight="12.75"/>
  <cols>
    <col min="1" max="1" width="4.42578125" style="736" customWidth="1"/>
    <col min="2" max="2" width="54.28515625" style="170" customWidth="1"/>
    <col min="3" max="4" width="14.85546875" style="170" bestFit="1" customWidth="1"/>
    <col min="5" max="5" width="16" style="170" customWidth="1"/>
    <col min="6" max="7" width="8.85546875" style="170"/>
    <col min="8" max="8" width="10.85546875" style="170" bestFit="1" customWidth="1"/>
    <col min="9" max="16384" width="8.85546875" style="170"/>
  </cols>
  <sheetData>
    <row r="1" spans="1:8">
      <c r="A1" s="1700" t="str">
        <f>+'MISO Cover'!C6</f>
        <v>Entergy New Orleans, Inc.</v>
      </c>
      <c r="B1" s="1700"/>
      <c r="C1" s="1700"/>
      <c r="D1" s="1700"/>
      <c r="E1" s="1700"/>
      <c r="F1" s="849"/>
      <c r="H1" s="850"/>
    </row>
    <row r="2" spans="1:8">
      <c r="A2" s="1701" t="s">
        <v>1276</v>
      </c>
      <c r="B2" s="1701"/>
      <c r="C2" s="1701"/>
      <c r="D2" s="1701"/>
      <c r="E2" s="1701"/>
      <c r="F2" s="620"/>
    </row>
    <row r="3" spans="1:8">
      <c r="A3" s="1700" t="str">
        <f>+'MISO Cover'!K4</f>
        <v>For  the 12 Months Ended 12/31/2014</v>
      </c>
      <c r="B3" s="1700"/>
      <c r="C3" s="1700"/>
      <c r="D3" s="1700"/>
      <c r="E3" s="1700"/>
      <c r="F3" s="851"/>
    </row>
    <row r="4" spans="1:8">
      <c r="A4" s="838"/>
    </row>
    <row r="5" spans="1:8">
      <c r="A5" s="733"/>
      <c r="B5" s="852"/>
      <c r="E5" s="778" t="s">
        <v>959</v>
      </c>
    </row>
    <row r="6" spans="1:8">
      <c r="A6" s="734" t="s">
        <v>525</v>
      </c>
      <c r="B6" s="839" t="s">
        <v>167</v>
      </c>
      <c r="C6" s="840" t="s">
        <v>215</v>
      </c>
      <c r="D6" s="840" t="s">
        <v>155</v>
      </c>
      <c r="E6" s="840" t="s">
        <v>1187</v>
      </c>
    </row>
    <row r="7" spans="1:8">
      <c r="A7" s="905">
        <v>1</v>
      </c>
      <c r="B7" s="1502" t="s">
        <v>276</v>
      </c>
      <c r="C7" s="1502" t="s">
        <v>1186</v>
      </c>
      <c r="D7" s="1502" t="s">
        <v>1141</v>
      </c>
      <c r="E7" s="1502" t="s">
        <v>773</v>
      </c>
      <c r="H7" s="853"/>
    </row>
    <row r="8" spans="1:8" s="172" customFormat="1">
      <c r="A8" s="906">
        <f>+A7+0.01</f>
        <v>1.01</v>
      </c>
      <c r="B8" s="621" t="s">
        <v>280</v>
      </c>
      <c r="C8" s="992">
        <v>0</v>
      </c>
      <c r="D8" s="992">
        <v>0</v>
      </c>
      <c r="E8" s="1046">
        <f>+C8+D8</f>
        <v>0</v>
      </c>
      <c r="F8" s="624"/>
      <c r="H8" s="653"/>
    </row>
    <row r="9" spans="1:8" s="1267" customFormat="1">
      <c r="A9" s="906">
        <f t="shared" ref="A9:A26" si="0">+A8+0.01</f>
        <v>1.02</v>
      </c>
      <c r="B9" s="621" t="s">
        <v>1251</v>
      </c>
      <c r="C9" s="992">
        <v>0</v>
      </c>
      <c r="D9" s="992">
        <v>0</v>
      </c>
      <c r="E9" s="1046">
        <f t="shared" ref="E9:E15" si="1">+C9+D9</f>
        <v>0</v>
      </c>
      <c r="F9" s="624"/>
      <c r="H9" s="653"/>
    </row>
    <row r="10" spans="1:8" s="1267" customFormat="1">
      <c r="A10" s="906">
        <f t="shared" si="0"/>
        <v>1.03</v>
      </c>
      <c r="B10" s="621" t="s">
        <v>1240</v>
      </c>
      <c r="C10" s="992">
        <v>0</v>
      </c>
      <c r="D10" s="992">
        <v>0</v>
      </c>
      <c r="E10" s="1046">
        <f t="shared" si="1"/>
        <v>0</v>
      </c>
      <c r="F10" s="624"/>
      <c r="H10" s="653"/>
    </row>
    <row r="11" spans="1:8" s="1267" customFormat="1">
      <c r="A11" s="906">
        <f t="shared" si="0"/>
        <v>1.04</v>
      </c>
      <c r="B11" s="621" t="s">
        <v>1242</v>
      </c>
      <c r="C11" s="992">
        <v>0</v>
      </c>
      <c r="D11" s="992">
        <v>0</v>
      </c>
      <c r="E11" s="1046">
        <f t="shared" si="1"/>
        <v>0</v>
      </c>
      <c r="F11" s="624"/>
      <c r="H11" s="653"/>
    </row>
    <row r="12" spans="1:8" s="1267" customFormat="1">
      <c r="A12" s="906">
        <f t="shared" si="0"/>
        <v>1.05</v>
      </c>
      <c r="B12" s="621" t="s">
        <v>1241</v>
      </c>
      <c r="C12" s="992">
        <v>0</v>
      </c>
      <c r="D12" s="992">
        <v>0</v>
      </c>
      <c r="E12" s="1046">
        <f t="shared" si="1"/>
        <v>0</v>
      </c>
      <c r="F12" s="624"/>
      <c r="H12" s="653"/>
    </row>
    <row r="13" spans="1:8" s="1267" customFormat="1">
      <c r="A13" s="906">
        <f t="shared" si="0"/>
        <v>1.06</v>
      </c>
      <c r="B13" s="621" t="s">
        <v>1252</v>
      </c>
      <c r="C13" s="992">
        <v>0</v>
      </c>
      <c r="D13" s="992">
        <v>0</v>
      </c>
      <c r="E13" s="1046">
        <f t="shared" si="1"/>
        <v>0</v>
      </c>
      <c r="F13" s="624"/>
      <c r="H13" s="653"/>
    </row>
    <row r="14" spans="1:8" s="171" customFormat="1">
      <c r="A14" s="906">
        <f t="shared" si="0"/>
        <v>1.07</v>
      </c>
      <c r="B14" s="621" t="s">
        <v>1243</v>
      </c>
      <c r="C14" s="992">
        <v>0</v>
      </c>
      <c r="D14" s="992">
        <v>0</v>
      </c>
      <c r="E14" s="1046">
        <f t="shared" si="1"/>
        <v>0</v>
      </c>
      <c r="F14" s="622"/>
      <c r="G14" s="1267"/>
    </row>
    <row r="15" spans="1:8" s="171" customFormat="1">
      <c r="A15" s="906">
        <f t="shared" si="0"/>
        <v>1.08</v>
      </c>
      <c r="B15" s="621" t="s">
        <v>1244</v>
      </c>
      <c r="C15" s="992">
        <v>0</v>
      </c>
      <c r="D15" s="992">
        <v>0</v>
      </c>
      <c r="E15" s="1046">
        <f t="shared" si="1"/>
        <v>0</v>
      </c>
      <c r="F15" s="622"/>
      <c r="G15" s="1267"/>
    </row>
    <row r="16" spans="1:8" s="171" customFormat="1">
      <c r="A16" s="906">
        <f t="shared" si="0"/>
        <v>1.0900000000000001</v>
      </c>
      <c r="B16" s="621" t="s">
        <v>1246</v>
      </c>
      <c r="C16" s="992">
        <v>1281</v>
      </c>
      <c r="D16" s="992">
        <v>0</v>
      </c>
      <c r="E16" s="1046">
        <f t="shared" ref="E16:E38" si="2">+C16+D16</f>
        <v>1281</v>
      </c>
      <c r="F16" s="622"/>
      <c r="G16" s="1267"/>
      <c r="H16" s="170"/>
    </row>
    <row r="17" spans="1:8" s="171" customFormat="1">
      <c r="A17" s="906">
        <f t="shared" si="0"/>
        <v>1.1000000000000001</v>
      </c>
      <c r="B17" s="621" t="s">
        <v>1245</v>
      </c>
      <c r="C17" s="992">
        <v>0</v>
      </c>
      <c r="D17" s="992">
        <v>0</v>
      </c>
      <c r="E17" s="1046">
        <f t="shared" si="2"/>
        <v>0</v>
      </c>
      <c r="F17" s="622"/>
      <c r="G17" s="1267"/>
      <c r="H17" s="170"/>
    </row>
    <row r="18" spans="1:8" s="171" customFormat="1">
      <c r="A18" s="906">
        <f t="shared" si="0"/>
        <v>1.1100000000000001</v>
      </c>
      <c r="B18" s="621" t="s">
        <v>281</v>
      </c>
      <c r="C18" s="992">
        <v>0</v>
      </c>
      <c r="D18" s="992">
        <v>0</v>
      </c>
      <c r="E18" s="1046">
        <f t="shared" si="2"/>
        <v>0</v>
      </c>
      <c r="F18" s="622"/>
      <c r="G18" s="1267"/>
    </row>
    <row r="19" spans="1:8" s="171" customFormat="1">
      <c r="A19" s="906">
        <f t="shared" si="0"/>
        <v>1.1200000000000001</v>
      </c>
      <c r="B19" s="621" t="s">
        <v>1247</v>
      </c>
      <c r="C19" s="992">
        <v>0</v>
      </c>
      <c r="D19" s="992">
        <v>0</v>
      </c>
      <c r="E19" s="1046">
        <f t="shared" si="2"/>
        <v>0</v>
      </c>
      <c r="F19" s="622"/>
      <c r="G19" s="1267"/>
    </row>
    <row r="20" spans="1:8" s="171" customFormat="1">
      <c r="A20" s="906">
        <f t="shared" si="0"/>
        <v>1.1300000000000001</v>
      </c>
      <c r="B20" s="621" t="s">
        <v>1248</v>
      </c>
      <c r="C20" s="992">
        <v>0</v>
      </c>
      <c r="D20" s="992">
        <v>0</v>
      </c>
      <c r="E20" s="1046">
        <f t="shared" si="2"/>
        <v>0</v>
      </c>
      <c r="F20" s="622"/>
      <c r="G20" s="1267"/>
    </row>
    <row r="21" spans="1:8" s="171" customFormat="1">
      <c r="A21" s="906">
        <f t="shared" si="0"/>
        <v>1.1400000000000001</v>
      </c>
      <c r="B21" s="621" t="s">
        <v>1257</v>
      </c>
      <c r="C21" s="992">
        <v>0</v>
      </c>
      <c r="D21" s="992">
        <v>0</v>
      </c>
      <c r="E21" s="1046">
        <f t="shared" si="2"/>
        <v>0</v>
      </c>
      <c r="F21" s="622"/>
      <c r="G21" s="1267"/>
    </row>
    <row r="22" spans="1:8" s="171" customFormat="1">
      <c r="A22" s="906">
        <f t="shared" si="0"/>
        <v>1.1500000000000001</v>
      </c>
      <c r="B22" s="621" t="s">
        <v>282</v>
      </c>
      <c r="C22" s="992">
        <v>0</v>
      </c>
      <c r="D22" s="992">
        <v>0</v>
      </c>
      <c r="E22" s="1046">
        <f t="shared" si="2"/>
        <v>0</v>
      </c>
      <c r="F22" s="622"/>
      <c r="G22" s="1267"/>
    </row>
    <row r="23" spans="1:8" s="171" customFormat="1">
      <c r="A23" s="906">
        <f t="shared" si="0"/>
        <v>1.1600000000000001</v>
      </c>
      <c r="B23" s="621" t="s">
        <v>1255</v>
      </c>
      <c r="C23" s="992">
        <v>0</v>
      </c>
      <c r="D23" s="992">
        <v>0</v>
      </c>
      <c r="E23" s="1046">
        <f t="shared" ref="E23" si="3">+C23+D23</f>
        <v>0</v>
      </c>
      <c r="F23" s="622"/>
      <c r="G23" s="1267"/>
    </row>
    <row r="24" spans="1:8" s="171" customFormat="1">
      <c r="A24" s="906">
        <f t="shared" si="0"/>
        <v>1.1700000000000002</v>
      </c>
      <c r="B24" s="621" t="s">
        <v>1256</v>
      </c>
      <c r="C24" s="992">
        <v>0</v>
      </c>
      <c r="D24" s="992">
        <v>0</v>
      </c>
      <c r="E24" s="1046">
        <f t="shared" si="2"/>
        <v>0</v>
      </c>
      <c r="F24" s="622"/>
      <c r="G24" s="1267"/>
    </row>
    <row r="25" spans="1:8" s="171" customFormat="1">
      <c r="A25" s="906">
        <f t="shared" si="0"/>
        <v>1.1800000000000002</v>
      </c>
      <c r="B25" s="621" t="s">
        <v>1253</v>
      </c>
      <c r="C25" s="992">
        <v>0</v>
      </c>
      <c r="D25" s="992">
        <v>0</v>
      </c>
      <c r="E25" s="1046">
        <f t="shared" si="2"/>
        <v>0</v>
      </c>
      <c r="F25" s="622"/>
      <c r="G25" s="1267"/>
    </row>
    <row r="26" spans="1:8" s="171" customFormat="1">
      <c r="A26" s="906">
        <f t="shared" si="0"/>
        <v>1.1900000000000002</v>
      </c>
      <c r="B26" s="621" t="s">
        <v>285</v>
      </c>
      <c r="C26" s="992">
        <v>0</v>
      </c>
      <c r="D26" s="992">
        <v>0</v>
      </c>
      <c r="E26" s="1046">
        <f t="shared" si="2"/>
        <v>0</v>
      </c>
      <c r="F26" s="622"/>
      <c r="G26" s="1267"/>
    </row>
    <row r="27" spans="1:8" s="171" customFormat="1">
      <c r="A27" s="906">
        <f t="shared" ref="A27:A36" si="4">+A26+0.01</f>
        <v>1.2000000000000002</v>
      </c>
      <c r="B27" s="621" t="s">
        <v>286</v>
      </c>
      <c r="C27" s="992">
        <v>0</v>
      </c>
      <c r="D27" s="992">
        <v>0</v>
      </c>
      <c r="E27" s="1046">
        <f t="shared" si="2"/>
        <v>0</v>
      </c>
      <c r="F27" s="622"/>
      <c r="G27" s="1267"/>
    </row>
    <row r="28" spans="1:8" s="171" customFormat="1">
      <c r="A28" s="906">
        <f t="shared" si="4"/>
        <v>1.2100000000000002</v>
      </c>
      <c r="B28" s="621" t="s">
        <v>287</v>
      </c>
      <c r="C28" s="992">
        <v>0</v>
      </c>
      <c r="D28" s="992">
        <v>0</v>
      </c>
      <c r="E28" s="1046">
        <f t="shared" si="2"/>
        <v>0</v>
      </c>
      <c r="F28" s="622"/>
      <c r="G28" s="1267"/>
    </row>
    <row r="29" spans="1:8" s="171" customFormat="1">
      <c r="A29" s="906">
        <f t="shared" si="4"/>
        <v>1.2200000000000002</v>
      </c>
      <c r="B29" s="621" t="s">
        <v>288</v>
      </c>
      <c r="C29" s="992">
        <v>0</v>
      </c>
      <c r="D29" s="992">
        <v>0</v>
      </c>
      <c r="E29" s="1046">
        <f t="shared" si="2"/>
        <v>0</v>
      </c>
      <c r="F29" s="622"/>
      <c r="G29" s="1267"/>
    </row>
    <row r="30" spans="1:8" s="171" customFormat="1">
      <c r="A30" s="906">
        <f t="shared" si="4"/>
        <v>1.2300000000000002</v>
      </c>
      <c r="B30" s="621" t="s">
        <v>289</v>
      </c>
      <c r="C30" s="992">
        <v>0</v>
      </c>
      <c r="D30" s="992">
        <v>0</v>
      </c>
      <c r="E30" s="1046">
        <f t="shared" si="2"/>
        <v>0</v>
      </c>
      <c r="F30" s="622"/>
      <c r="G30" s="1267"/>
    </row>
    <row r="31" spans="1:8" s="171" customFormat="1">
      <c r="A31" s="906">
        <f t="shared" si="4"/>
        <v>1.2400000000000002</v>
      </c>
      <c r="B31" s="621" t="s">
        <v>290</v>
      </c>
      <c r="C31" s="992">
        <v>0</v>
      </c>
      <c r="D31" s="992">
        <v>0</v>
      </c>
      <c r="E31" s="1046">
        <f t="shared" si="2"/>
        <v>0</v>
      </c>
      <c r="F31" s="622"/>
      <c r="G31" s="1267"/>
    </row>
    <row r="32" spans="1:8" s="171" customFormat="1">
      <c r="A32" s="906">
        <f t="shared" si="4"/>
        <v>1.2500000000000002</v>
      </c>
      <c r="B32" s="621" t="s">
        <v>583</v>
      </c>
      <c r="C32" s="992">
        <v>0</v>
      </c>
      <c r="D32" s="992">
        <v>0</v>
      </c>
      <c r="E32" s="1046">
        <f t="shared" si="2"/>
        <v>0</v>
      </c>
      <c r="F32" s="622"/>
    </row>
    <row r="33" spans="1:8" s="171" customFormat="1">
      <c r="A33" s="906">
        <f t="shared" si="4"/>
        <v>1.2600000000000002</v>
      </c>
      <c r="B33" s="621" t="s">
        <v>291</v>
      </c>
      <c r="C33" s="992">
        <v>0</v>
      </c>
      <c r="D33" s="992">
        <v>0</v>
      </c>
      <c r="E33" s="1046">
        <f t="shared" si="2"/>
        <v>0</v>
      </c>
      <c r="F33" s="622"/>
      <c r="H33" s="182"/>
    </row>
    <row r="34" spans="1:8" s="171" customFormat="1">
      <c r="A34" s="906">
        <f t="shared" si="4"/>
        <v>1.2700000000000002</v>
      </c>
      <c r="B34" s="621" t="s">
        <v>584</v>
      </c>
      <c r="C34" s="992">
        <v>0</v>
      </c>
      <c r="D34" s="992">
        <v>0</v>
      </c>
      <c r="E34" s="1046">
        <f t="shared" si="2"/>
        <v>0</v>
      </c>
      <c r="F34" s="622"/>
      <c r="H34" s="183"/>
    </row>
    <row r="35" spans="1:8" s="171" customFormat="1">
      <c r="A35" s="906">
        <f t="shared" si="4"/>
        <v>1.2800000000000002</v>
      </c>
      <c r="B35" s="621" t="s">
        <v>292</v>
      </c>
      <c r="C35" s="992">
        <v>0</v>
      </c>
      <c r="D35" s="992">
        <v>0</v>
      </c>
      <c r="E35" s="1046">
        <f t="shared" si="2"/>
        <v>0</v>
      </c>
      <c r="F35" s="622"/>
      <c r="H35" s="183"/>
    </row>
    <row r="36" spans="1:8" s="171" customFormat="1">
      <c r="A36" s="1333">
        <f t="shared" si="4"/>
        <v>1.2900000000000003</v>
      </c>
      <c r="B36" s="1334" t="s">
        <v>1272</v>
      </c>
      <c r="C36" s="992"/>
      <c r="D36" s="992"/>
      <c r="E36" s="1046"/>
      <c r="F36" s="622"/>
      <c r="H36" s="183"/>
    </row>
    <row r="37" spans="1:8" s="171" customFormat="1">
      <c r="A37" s="1333" t="s">
        <v>1266</v>
      </c>
      <c r="B37" s="1334" t="s">
        <v>1272</v>
      </c>
      <c r="C37" s="992"/>
      <c r="D37" s="992"/>
      <c r="E37" s="1046"/>
      <c r="F37" s="622"/>
      <c r="H37" s="183"/>
    </row>
    <row r="38" spans="1:8" s="171" customFormat="1">
      <c r="A38" s="1333" t="s">
        <v>1270</v>
      </c>
      <c r="B38" s="1335" t="s">
        <v>1272</v>
      </c>
      <c r="C38" s="992"/>
      <c r="D38" s="992"/>
      <c r="E38" s="1046">
        <f t="shared" si="2"/>
        <v>0</v>
      </c>
      <c r="F38" s="622"/>
    </row>
    <row r="39" spans="1:8" s="171" customFormat="1" ht="13.5" thickBot="1">
      <c r="A39" s="905">
        <f>+A7+1</f>
        <v>2</v>
      </c>
      <c r="B39" s="653" t="str">
        <f>+"Total Line "&amp;A7&amp;" Subparts"</f>
        <v>Total Line 1 Subparts</v>
      </c>
      <c r="C39" s="1045">
        <f>SUM(C8:C38)</f>
        <v>1281</v>
      </c>
      <c r="D39" s="1045">
        <f>SUM(D8:D38)</f>
        <v>0</v>
      </c>
      <c r="E39" s="1045">
        <f>SUM(E8:E38)</f>
        <v>1281</v>
      </c>
      <c r="F39" s="622"/>
    </row>
    <row r="40" spans="1:8" s="171" customFormat="1" ht="13.5" thickTop="1">
      <c r="A40" s="905">
        <f>+A39+1</f>
        <v>3</v>
      </c>
      <c r="B40" s="621"/>
      <c r="C40" s="990"/>
      <c r="D40" s="990"/>
      <c r="E40" s="990"/>
      <c r="F40" s="622"/>
    </row>
    <row r="41" spans="1:8" s="618" customFormat="1">
      <c r="A41" s="935">
        <f t="shared" ref="A41:A46" si="5">A40+1</f>
        <v>4</v>
      </c>
      <c r="B41" s="841" t="s">
        <v>870</v>
      </c>
      <c r="C41" s="857"/>
      <c r="D41" s="857"/>
      <c r="E41" s="857"/>
      <c r="F41" s="842"/>
      <c r="G41" s="171"/>
    </row>
    <row r="42" spans="1:8" s="618" customFormat="1">
      <c r="A42" s="935">
        <f t="shared" si="5"/>
        <v>5</v>
      </c>
      <c r="B42" s="843" t="s">
        <v>958</v>
      </c>
      <c r="C42" s="857"/>
      <c r="D42" s="857"/>
      <c r="E42" s="857"/>
      <c r="F42" s="857"/>
      <c r="G42" s="857"/>
    </row>
    <row r="43" spans="1:8" s="618" customFormat="1" ht="15">
      <c r="A43" s="935">
        <f t="shared" si="5"/>
        <v>6</v>
      </c>
      <c r="B43" s="1042" t="s">
        <v>803</v>
      </c>
      <c r="C43" s="1043">
        <f>+C14</f>
        <v>0</v>
      </c>
      <c r="D43" s="1043">
        <f>+D14</f>
        <v>0</v>
      </c>
      <c r="E43" s="1043">
        <f>+E14</f>
        <v>0</v>
      </c>
      <c r="F43" s="686"/>
    </row>
    <row r="44" spans="1:8" s="618" customFormat="1">
      <c r="A44" s="935">
        <f t="shared" si="5"/>
        <v>7</v>
      </c>
      <c r="B44" s="1044" t="str">
        <f>+"Total Account 561 Lines "&amp;A42&amp;" + "&amp;A43</f>
        <v>Total Account 561 Lines 5 + 6</v>
      </c>
      <c r="C44" s="857">
        <f>+C42+C43</f>
        <v>0</v>
      </c>
      <c r="D44" s="857">
        <f>+D42+D43</f>
        <v>0</v>
      </c>
      <c r="E44" s="857">
        <f>+E42+E43</f>
        <v>0</v>
      </c>
      <c r="F44" s="857"/>
    </row>
    <row r="45" spans="1:8" s="618" customFormat="1">
      <c r="A45" s="935">
        <f t="shared" si="5"/>
        <v>8</v>
      </c>
      <c r="B45" s="1161" t="s">
        <v>1151</v>
      </c>
      <c r="C45" s="1043">
        <f>+SUM(C8:C24)-C14</f>
        <v>1281</v>
      </c>
      <c r="D45" s="1043">
        <f>+SUM(D8:D24)-D14</f>
        <v>0</v>
      </c>
      <c r="E45" s="1043">
        <f>+SUM(E8:E24)-E14</f>
        <v>1281</v>
      </c>
      <c r="F45" s="879"/>
    </row>
    <row r="46" spans="1:8" s="618" customFormat="1">
      <c r="A46" s="935">
        <f t="shared" si="5"/>
        <v>9</v>
      </c>
      <c r="B46" s="841" t="str">
        <f>+"Total Transmission O&amp;M  ( Line "&amp;A44&amp;" + Line "&amp;A45&amp;")"</f>
        <v>Total Transmission O&amp;M  ( Line 7 + Line 8)</v>
      </c>
      <c r="C46" s="857">
        <f>+C44+C45</f>
        <v>1281</v>
      </c>
      <c r="D46" s="857">
        <f>+D44+D45</f>
        <v>0</v>
      </c>
      <c r="E46" s="857">
        <f>+E44+E45</f>
        <v>1281</v>
      </c>
      <c r="F46" s="857"/>
    </row>
    <row r="47" spans="1:8" s="171" customFormat="1">
      <c r="A47" s="935">
        <f>+A46+1</f>
        <v>10</v>
      </c>
      <c r="B47" s="621"/>
      <c r="C47" s="990"/>
      <c r="D47" s="990"/>
      <c r="E47" s="990"/>
      <c r="F47" s="283"/>
      <c r="G47" s="622"/>
    </row>
    <row r="48" spans="1:8" s="171" customFormat="1">
      <c r="A48" s="935">
        <f>+A47+1</f>
        <v>11</v>
      </c>
      <c r="B48" s="841" t="s">
        <v>151</v>
      </c>
      <c r="C48" s="857"/>
      <c r="D48" s="857"/>
      <c r="E48" s="857"/>
      <c r="F48" s="622"/>
    </row>
    <row r="49" spans="1:7" s="171" customFormat="1">
      <c r="A49" s="935">
        <f>+A48+1</f>
        <v>12</v>
      </c>
      <c r="B49" s="843" t="s">
        <v>982</v>
      </c>
      <c r="C49" s="857"/>
      <c r="D49" s="857"/>
      <c r="E49" s="857"/>
      <c r="F49" s="622"/>
    </row>
    <row r="50" spans="1:7" s="171" customFormat="1">
      <c r="A50" s="935">
        <f>+A49+1</f>
        <v>13</v>
      </c>
      <c r="B50" s="1297" t="s">
        <v>1254</v>
      </c>
      <c r="C50" s="859"/>
      <c r="D50" s="859"/>
      <c r="E50" s="859"/>
      <c r="F50" s="622"/>
    </row>
    <row r="51" spans="1:7" s="171" customFormat="1">
      <c r="A51" s="905">
        <f t="shared" ref="A51:A65" si="6">+A50+1</f>
        <v>14</v>
      </c>
      <c r="B51" s="843" t="s">
        <v>980</v>
      </c>
      <c r="C51" s="859"/>
      <c r="D51" s="859"/>
      <c r="E51" s="859"/>
      <c r="F51" s="622"/>
    </row>
    <row r="52" spans="1:7" s="171" customFormat="1">
      <c r="A52" s="905">
        <f t="shared" si="6"/>
        <v>15</v>
      </c>
      <c r="B52" s="843" t="s">
        <v>974</v>
      </c>
      <c r="C52" s="857"/>
      <c r="D52" s="857"/>
      <c r="E52" s="857"/>
      <c r="F52" s="622"/>
    </row>
    <row r="53" spans="1:7" s="171" customFormat="1">
      <c r="A53" s="905">
        <f t="shared" si="6"/>
        <v>16</v>
      </c>
      <c r="B53" s="843" t="s">
        <v>973</v>
      </c>
      <c r="C53" s="857">
        <f>+SUM(C8:C24)</f>
        <v>1281</v>
      </c>
      <c r="D53" s="857">
        <f>+SUM(D8:D24)</f>
        <v>0</v>
      </c>
      <c r="E53" s="857">
        <f>+SUM(E8:E24)</f>
        <v>1281</v>
      </c>
      <c r="F53" s="622"/>
    </row>
    <row r="54" spans="1:7" s="171" customFormat="1">
      <c r="A54" s="905">
        <f t="shared" si="6"/>
        <v>17</v>
      </c>
      <c r="B54" s="843" t="s">
        <v>975</v>
      </c>
      <c r="C54" s="857"/>
      <c r="D54" s="857"/>
      <c r="E54" s="857"/>
      <c r="F54" s="622"/>
    </row>
    <row r="55" spans="1:7" s="171" customFormat="1">
      <c r="A55" s="905">
        <f t="shared" si="6"/>
        <v>18</v>
      </c>
      <c r="B55" s="843" t="s">
        <v>976</v>
      </c>
      <c r="C55" s="857"/>
      <c r="D55" s="857"/>
      <c r="E55" s="857"/>
      <c r="F55" s="622"/>
    </row>
    <row r="56" spans="1:7" s="171" customFormat="1">
      <c r="A56" s="905">
        <f t="shared" si="6"/>
        <v>19</v>
      </c>
      <c r="B56" s="843" t="s">
        <v>977</v>
      </c>
      <c r="C56" s="857"/>
      <c r="D56" s="857"/>
      <c r="E56" s="857"/>
      <c r="F56" s="622"/>
    </row>
    <row r="57" spans="1:7" s="171" customFormat="1">
      <c r="A57" s="905">
        <f t="shared" si="6"/>
        <v>20</v>
      </c>
      <c r="B57" s="843" t="s">
        <v>978</v>
      </c>
      <c r="C57" s="857"/>
      <c r="D57" s="857"/>
      <c r="E57" s="857"/>
      <c r="F57" s="622"/>
    </row>
    <row r="58" spans="1:7" s="171" customFormat="1">
      <c r="A58" s="905">
        <f t="shared" si="6"/>
        <v>21</v>
      </c>
      <c r="B58" s="843" t="s">
        <v>979</v>
      </c>
      <c r="C58" s="991">
        <f>+SUM(C25:C38)</f>
        <v>0</v>
      </c>
      <c r="D58" s="991">
        <f>+SUM(D25:D38)</f>
        <v>0</v>
      </c>
      <c r="E58" s="991">
        <f>+SUM(E25:E38)</f>
        <v>0</v>
      </c>
      <c r="F58" s="622"/>
    </row>
    <row r="59" spans="1:7" s="171" customFormat="1" ht="13.5" thickBot="1">
      <c r="A59" s="905">
        <f t="shared" si="6"/>
        <v>22</v>
      </c>
      <c r="B59" s="841" t="str">
        <f>+"Total Lines ("&amp;A49&amp;" to "&amp;A58&amp;")"</f>
        <v>Total Lines (12 to 21)</v>
      </c>
      <c r="C59" s="858">
        <f>SUM(C49:C58)</f>
        <v>1281</v>
      </c>
      <c r="D59" s="858">
        <f>SUM(D49:D58)</f>
        <v>0</v>
      </c>
      <c r="E59" s="858">
        <f>SUM(E49:E58)</f>
        <v>1281</v>
      </c>
      <c r="F59" s="622"/>
    </row>
    <row r="60" spans="1:7" s="171" customFormat="1" ht="13.5" thickTop="1">
      <c r="A60" s="905">
        <f t="shared" si="6"/>
        <v>23</v>
      </c>
      <c r="B60" s="841"/>
      <c r="C60" s="857"/>
      <c r="D60" s="857"/>
      <c r="E60" s="857"/>
      <c r="F60" s="622"/>
    </row>
    <row r="61" spans="1:7" s="1058" customFormat="1">
      <c r="A61" s="978">
        <f t="shared" si="6"/>
        <v>24</v>
      </c>
      <c r="B61" s="1059" t="str">
        <f>+"Payroll O&amp;M Excl A&amp;G  Sum (Ln "&amp;A49&amp;" To Ln "&amp;A57&amp;")"</f>
        <v>Payroll O&amp;M Excl A&amp;G  Sum (Ln 12 To Ln 20)</v>
      </c>
      <c r="C61" s="1060"/>
      <c r="D61" s="1060">
        <f>+SUM(D49:D57)</f>
        <v>0</v>
      </c>
      <c r="E61" s="1060"/>
      <c r="F61" s="1060"/>
      <c r="G61" s="1060"/>
    </row>
    <row r="62" spans="1:7" s="171" customFormat="1">
      <c r="A62" s="905">
        <f t="shared" si="6"/>
        <v>25</v>
      </c>
      <c r="B62" s="841"/>
      <c r="C62" s="857"/>
      <c r="D62" s="857"/>
      <c r="E62" s="857"/>
      <c r="F62" s="622"/>
    </row>
    <row r="63" spans="1:7" s="171" customFormat="1">
      <c r="A63" s="905">
        <f t="shared" si="6"/>
        <v>26</v>
      </c>
      <c r="B63" s="841" t="s">
        <v>1040</v>
      </c>
      <c r="C63" s="283"/>
      <c r="D63" s="283"/>
      <c r="E63" s="992">
        <v>8488724</v>
      </c>
      <c r="F63" s="622"/>
    </row>
    <row r="64" spans="1:7" s="171" customFormat="1">
      <c r="A64" s="905">
        <f t="shared" si="6"/>
        <v>27</v>
      </c>
      <c r="B64" s="841" t="s">
        <v>1041</v>
      </c>
      <c r="C64" s="283"/>
      <c r="D64" s="283"/>
      <c r="E64" s="993">
        <v>6626048</v>
      </c>
      <c r="F64" s="622"/>
    </row>
    <row r="65" spans="1:6" s="171" customFormat="1">
      <c r="A65" s="905">
        <f t="shared" si="6"/>
        <v>28</v>
      </c>
      <c r="B65" s="841" t="str">
        <f>+"Account 924 without Storm Damage Accrual  (Ln "&amp;A63&amp;" Less Ln "&amp;A64&amp;")"</f>
        <v>Account 924 without Storm Damage Accrual  (Ln 26 Less Ln 27)</v>
      </c>
      <c r="C65" s="283"/>
      <c r="D65" s="283"/>
      <c r="E65" s="1046">
        <f>+E63-E64</f>
        <v>1862676</v>
      </c>
      <c r="F65" s="622"/>
    </row>
    <row r="66" spans="1:6" s="171" customFormat="1">
      <c r="A66" s="976"/>
      <c r="B66" s="621"/>
      <c r="C66" s="283"/>
      <c r="D66" s="283"/>
      <c r="E66" s="283"/>
      <c r="F66" s="622"/>
    </row>
    <row r="67" spans="1:6" s="171" customFormat="1">
      <c r="A67" s="653" t="s">
        <v>592</v>
      </c>
      <c r="C67" s="283"/>
      <c r="D67" s="283"/>
      <c r="E67" s="283"/>
      <c r="F67" s="622"/>
    </row>
    <row r="68" spans="1:6" s="171" customFormat="1" ht="183" customHeight="1">
      <c r="A68" s="737" t="s">
        <v>271</v>
      </c>
      <c r="B68" s="1699" t="s">
        <v>1454</v>
      </c>
      <c r="C68" s="1699"/>
      <c r="D68" s="1699"/>
      <c r="E68" s="1699"/>
      <c r="F68" s="622"/>
    </row>
    <row r="69" spans="1:6" s="171" customFormat="1">
      <c r="A69" s="735"/>
      <c r="B69" s="170"/>
      <c r="C69" s="170"/>
      <c r="D69" s="170"/>
      <c r="E69" s="170"/>
    </row>
    <row r="70" spans="1:6" s="171" customFormat="1">
      <c r="A70" s="735"/>
      <c r="B70" s="170"/>
      <c r="C70" s="170"/>
      <c r="D70" s="170"/>
      <c r="E70" s="170"/>
    </row>
    <row r="71" spans="1:6" s="171" customFormat="1">
      <c r="A71" s="735"/>
      <c r="B71" s="170"/>
      <c r="C71" s="170"/>
      <c r="D71" s="170"/>
      <c r="E71" s="170"/>
    </row>
    <row r="72" spans="1:6" s="171" customFormat="1">
      <c r="A72" s="735"/>
      <c r="B72" s="170"/>
      <c r="C72" s="170"/>
      <c r="D72" s="170"/>
      <c r="E72" s="170"/>
    </row>
    <row r="73" spans="1:6" s="171" customFormat="1">
      <c r="A73" s="735"/>
      <c r="B73" s="170"/>
      <c r="C73" s="170"/>
      <c r="D73" s="170"/>
      <c r="E73" s="170"/>
    </row>
    <row r="74" spans="1:6" s="171" customFormat="1">
      <c r="A74" s="736"/>
      <c r="B74" s="170"/>
      <c r="C74" s="170"/>
      <c r="D74" s="170"/>
      <c r="E74" s="170"/>
    </row>
    <row r="75" spans="1:6" s="171" customFormat="1">
      <c r="A75" s="736"/>
      <c r="B75" s="170"/>
      <c r="C75" s="170"/>
      <c r="D75" s="170"/>
      <c r="E75" s="170"/>
    </row>
    <row r="76" spans="1:6" s="171" customFormat="1">
      <c r="A76" s="736"/>
      <c r="B76" s="170"/>
      <c r="C76" s="170"/>
      <c r="D76" s="170"/>
      <c r="E76" s="170"/>
    </row>
    <row r="77" spans="1:6" s="171" customFormat="1">
      <c r="A77" s="736"/>
      <c r="B77" s="170"/>
      <c r="C77" s="170"/>
      <c r="D77" s="170"/>
      <c r="E77" s="170"/>
    </row>
    <row r="78" spans="1:6" s="171" customFormat="1">
      <c r="A78" s="736"/>
      <c r="B78" s="170"/>
      <c r="C78" s="170"/>
      <c r="D78" s="170"/>
      <c r="E78" s="170"/>
    </row>
    <row r="79" spans="1:6" s="171" customFormat="1">
      <c r="A79" s="736"/>
      <c r="B79" s="170"/>
      <c r="C79" s="170"/>
      <c r="D79" s="170"/>
      <c r="E79" s="170"/>
      <c r="F79" s="844"/>
    </row>
    <row r="80" spans="1:6" s="171" customFormat="1">
      <c r="A80" s="736"/>
      <c r="B80" s="170"/>
      <c r="C80" s="170"/>
      <c r="D80" s="170"/>
      <c r="E80" s="170"/>
      <c r="F80" s="170"/>
    </row>
    <row r="81" spans="1:6" s="171" customFormat="1">
      <c r="A81" s="736"/>
      <c r="B81" s="170"/>
      <c r="C81" s="170"/>
      <c r="D81" s="170"/>
      <c r="E81" s="170"/>
      <c r="F81" s="170"/>
    </row>
  </sheetData>
  <mergeCells count="4">
    <mergeCell ref="B68:E68"/>
    <mergeCell ref="A1:E1"/>
    <mergeCell ref="A2:E2"/>
    <mergeCell ref="A3:E3"/>
  </mergeCells>
  <printOptions horizontalCentered="1"/>
  <pageMargins left="0.7" right="0.7" top="0.7" bottom="0.7" header="0.3" footer="0.5"/>
  <pageSetup scale="66" orientation="portrait" r:id="rId1"/>
  <headerFooter>
    <oddFooter>&amp;CPage &amp;P of &amp;N&amp;R&amp;A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sqref="A1:E1"/>
    </sheetView>
  </sheetViews>
  <sheetFormatPr defaultColWidth="22.42578125" defaultRowHeight="12.75"/>
  <cols>
    <col min="1" max="1" width="6.140625" style="198" bestFit="1" customWidth="1"/>
    <col min="2" max="2" width="26.28515625" bestFit="1" customWidth="1"/>
    <col min="3" max="5" width="15.5703125" customWidth="1"/>
  </cols>
  <sheetData>
    <row r="1" spans="1:8" s="214" customFormat="1">
      <c r="A1" s="1702" t="str">
        <f>+'MISO Cover'!C6</f>
        <v>Entergy New Orleans, Inc.</v>
      </c>
      <c r="B1" s="1702"/>
      <c r="C1" s="1702"/>
      <c r="D1" s="1702"/>
      <c r="E1" s="1702"/>
    </row>
    <row r="2" spans="1:8" ht="15">
      <c r="A2" s="1703" t="s">
        <v>989</v>
      </c>
      <c r="B2" s="1703"/>
      <c r="C2" s="1703"/>
      <c r="D2" s="1703"/>
      <c r="E2" s="1703"/>
      <c r="F2" s="184"/>
      <c r="G2" s="184"/>
      <c r="H2" s="184"/>
    </row>
    <row r="3" spans="1:8" s="214" customFormat="1" ht="15">
      <c r="A3" s="1669" t="str">
        <f>+'MISO Cover'!K4</f>
        <v>For  the 12 Months Ended 12/31/2014</v>
      </c>
      <c r="B3" s="1669"/>
      <c r="C3" s="1669"/>
      <c r="D3" s="1669"/>
      <c r="E3" s="1669"/>
      <c r="F3" s="215"/>
      <c r="G3" s="215"/>
      <c r="H3" s="215"/>
    </row>
    <row r="4" spans="1:8" s="214" customFormat="1" ht="15">
      <c r="A4" s="690"/>
      <c r="B4" s="689"/>
      <c r="C4" s="689"/>
      <c r="D4" s="689"/>
      <c r="E4" s="689"/>
      <c r="F4" s="215"/>
      <c r="G4" s="215"/>
      <c r="H4" s="215"/>
    </row>
    <row r="5" spans="1:8" ht="15">
      <c r="A5" s="198" t="s">
        <v>525</v>
      </c>
      <c r="B5" s="504" t="s">
        <v>167</v>
      </c>
      <c r="C5" s="504" t="s">
        <v>215</v>
      </c>
      <c r="D5" s="504" t="s">
        <v>155</v>
      </c>
      <c r="E5" s="504" t="s">
        <v>168</v>
      </c>
      <c r="F5" s="185"/>
      <c r="G5" s="185"/>
      <c r="H5" s="185"/>
    </row>
    <row r="6" spans="1:8" ht="15">
      <c r="A6" s="1207">
        <v>1</v>
      </c>
      <c r="B6" s="1174" t="s">
        <v>213</v>
      </c>
      <c r="C6" s="655" t="s">
        <v>1077</v>
      </c>
      <c r="D6" s="655" t="s">
        <v>1090</v>
      </c>
      <c r="E6" s="655" t="s">
        <v>1091</v>
      </c>
      <c r="F6" s="508"/>
      <c r="G6" s="185"/>
      <c r="H6" s="185"/>
    </row>
    <row r="7" spans="1:8" ht="15">
      <c r="A7" s="1336">
        <f>+A6+0.1</f>
        <v>1.1000000000000001</v>
      </c>
      <c r="B7" s="1326" t="s">
        <v>1272</v>
      </c>
      <c r="C7" s="1337">
        <v>0</v>
      </c>
      <c r="D7" s="1337"/>
      <c r="E7" s="1337"/>
      <c r="F7" s="1299"/>
      <c r="G7" s="185"/>
      <c r="H7" s="185"/>
    </row>
    <row r="8" spans="1:8" ht="15">
      <c r="A8" s="1336" t="s">
        <v>1266</v>
      </c>
      <c r="B8" s="1326" t="s">
        <v>1272</v>
      </c>
      <c r="C8" s="1337">
        <v>0</v>
      </c>
      <c r="D8" s="1337"/>
      <c r="E8" s="1337"/>
      <c r="F8" s="1299"/>
      <c r="G8" s="185"/>
      <c r="H8" s="185"/>
    </row>
    <row r="9" spans="1:8" ht="15">
      <c r="A9" s="1336" t="s">
        <v>1270</v>
      </c>
      <c r="B9" s="1326" t="s">
        <v>1272</v>
      </c>
      <c r="C9" s="1338">
        <v>0</v>
      </c>
      <c r="D9" s="1337"/>
      <c r="E9" s="1337"/>
      <c r="F9" s="1205"/>
      <c r="G9" s="185"/>
      <c r="H9" s="185"/>
    </row>
    <row r="10" spans="1:8">
      <c r="A10" s="1208">
        <f>+A6+1</f>
        <v>2</v>
      </c>
      <c r="B10" s="1174" t="str">
        <f>+"Total  Sum of Line "&amp;A6&amp;" Subparts"</f>
        <v>Total  Sum of Line 1 Subparts</v>
      </c>
      <c r="C10" s="812">
        <f>SUM(C7:C9)</f>
        <v>0</v>
      </c>
      <c r="D10" s="44"/>
      <c r="E10" s="44"/>
    </row>
    <row r="11" spans="1:8">
      <c r="A11" s="1208"/>
      <c r="B11" s="1174"/>
      <c r="C11" s="44"/>
      <c r="D11" s="44"/>
      <c r="E11" s="44"/>
    </row>
    <row r="12" spans="1:8">
      <c r="A12" s="1173"/>
      <c r="B12" s="43"/>
      <c r="C12" s="44"/>
      <c r="D12" s="44"/>
      <c r="E12" s="44"/>
    </row>
    <row r="13" spans="1:8">
      <c r="A13" s="44" t="s">
        <v>592</v>
      </c>
      <c r="C13" s="44"/>
      <c r="D13" s="44"/>
      <c r="E13" s="44"/>
    </row>
    <row r="14" spans="1:8" s="691" customFormat="1" ht="40.15" customHeight="1">
      <c r="A14" s="1175" t="s">
        <v>271</v>
      </c>
      <c r="B14" s="1654" t="s">
        <v>1281</v>
      </c>
      <c r="C14" s="1654"/>
      <c r="D14" s="1654"/>
      <c r="E14" s="1654"/>
      <c r="F14" s="182"/>
    </row>
    <row r="15" spans="1:8" s="691" customFormat="1" ht="27" customHeight="1">
      <c r="A15" s="1175" t="s">
        <v>615</v>
      </c>
      <c r="B15" s="1654" t="s">
        <v>1076</v>
      </c>
      <c r="C15" s="1654"/>
      <c r="D15" s="1654"/>
      <c r="E15" s="1654"/>
      <c r="F15" s="182"/>
    </row>
    <row r="16" spans="1:8">
      <c r="A16" s="1175"/>
      <c r="B16" s="43"/>
      <c r="C16" s="43"/>
      <c r="D16" s="43"/>
      <c r="E16" s="43"/>
    </row>
    <row r="17" spans="1:5">
      <c r="A17" s="1173"/>
      <c r="B17" s="43"/>
      <c r="C17" s="43"/>
      <c r="D17" s="43"/>
      <c r="E17" s="43"/>
    </row>
    <row r="18" spans="1:5">
      <c r="A18" s="1173"/>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97" type="noConversion"/>
  <printOptions horizontalCentered="1"/>
  <pageMargins left="0.7" right="0.7" top="0.7" bottom="0.7" header="0.3" footer="0.5"/>
  <pageSetup orientation="portrait" r:id="rId1"/>
  <headerFooter>
    <oddFooter>&amp;CPage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activeCell="B27" sqref="B27"/>
    </sheetView>
  </sheetViews>
  <sheetFormatPr defaultColWidth="9.140625" defaultRowHeight="12.75"/>
  <cols>
    <col min="1" max="1" width="4.28515625" style="802" bestFit="1" customWidth="1"/>
    <col min="2" max="2" width="66.85546875" style="802" customWidth="1"/>
    <col min="3" max="3" width="17.85546875" style="802" customWidth="1"/>
    <col min="4" max="4" width="11.5703125" style="802" bestFit="1" customWidth="1"/>
    <col min="5" max="16384" width="9.140625" style="802"/>
  </cols>
  <sheetData>
    <row r="1" spans="1:11">
      <c r="A1" s="1706" t="str">
        <f>+'MISO Cover'!C6</f>
        <v>Entergy New Orleans, Inc.</v>
      </c>
      <c r="B1" s="1706"/>
      <c r="C1" s="1706"/>
      <c r="D1" s="804"/>
    </row>
    <row r="2" spans="1:11">
      <c r="A2" s="1708" t="s">
        <v>1046</v>
      </c>
      <c r="B2" s="1708"/>
      <c r="C2" s="1708"/>
      <c r="D2" s="804"/>
    </row>
    <row r="3" spans="1:11">
      <c r="A3" s="1709" t="str">
        <f>+'MISO Cover'!K4</f>
        <v>For  the 12 Months Ended 12/31/2014</v>
      </c>
      <c r="B3" s="1709"/>
      <c r="C3" s="1709"/>
      <c r="D3" s="805"/>
    </row>
    <row r="4" spans="1:11">
      <c r="B4" s="806"/>
      <c r="C4" s="806"/>
      <c r="D4" s="806"/>
    </row>
    <row r="5" spans="1:11">
      <c r="B5" s="775"/>
      <c r="C5" s="775"/>
      <c r="D5" s="775"/>
    </row>
    <row r="6" spans="1:11" s="803" customFormat="1" ht="15">
      <c r="A6" s="529" t="s">
        <v>525</v>
      </c>
      <c r="B6" s="549" t="s">
        <v>167</v>
      </c>
      <c r="C6" s="549" t="s">
        <v>215</v>
      </c>
      <c r="D6" s="549"/>
    </row>
    <row r="7" spans="1:11" ht="15">
      <c r="A7" s="529"/>
      <c r="B7" s="1707"/>
      <c r="C7" s="1707"/>
    </row>
    <row r="8" spans="1:11" s="529" customFormat="1" ht="15">
      <c r="A8" s="923"/>
      <c r="B8" s="1398" t="s">
        <v>213</v>
      </c>
      <c r="C8" s="1399" t="s">
        <v>249</v>
      </c>
    </row>
    <row r="9" spans="1:11">
      <c r="A9" s="923">
        <v>1</v>
      </c>
      <c r="B9" s="924" t="s">
        <v>1092</v>
      </c>
      <c r="C9" s="1153">
        <v>0</v>
      </c>
      <c r="D9" s="1000"/>
    </row>
    <row r="10" spans="1:11">
      <c r="A10" s="923">
        <f>+A9+1</f>
        <v>2</v>
      </c>
      <c r="B10" s="924" t="s">
        <v>1158</v>
      </c>
      <c r="C10" s="1155">
        <v>0</v>
      </c>
      <c r="D10" s="1065"/>
    </row>
    <row r="11" spans="1:11">
      <c r="A11" s="923">
        <f>+A10+1</f>
        <v>3</v>
      </c>
      <c r="B11" s="924" t="s">
        <v>1159</v>
      </c>
      <c r="C11" s="1172">
        <f>+C9-C10</f>
        <v>0</v>
      </c>
      <c r="E11" s="1065" t="s">
        <v>1195</v>
      </c>
    </row>
    <row r="12" spans="1:11">
      <c r="A12" s="923"/>
      <c r="B12" s="924"/>
      <c r="C12" s="749"/>
    </row>
    <row r="13" spans="1:11">
      <c r="A13" s="923"/>
      <c r="B13" s="924"/>
      <c r="C13" s="749"/>
    </row>
    <row r="14" spans="1:11" s="925" customFormat="1">
      <c r="A14" s="925" t="s">
        <v>592</v>
      </c>
    </row>
    <row r="15" spans="1:11" s="925" customFormat="1" ht="44.45" customHeight="1">
      <c r="A15" s="926" t="s">
        <v>271</v>
      </c>
      <c r="B15" s="1705" t="s">
        <v>1455</v>
      </c>
      <c r="C15" s="1705"/>
    </row>
    <row r="16" spans="1:11" s="925" customFormat="1" ht="27" customHeight="1">
      <c r="A16" s="926" t="s">
        <v>615</v>
      </c>
      <c r="B16" s="1704" t="str">
        <f>+"See Appendix A Note "&amp;'Appendix A'!A307&amp;".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704"/>
      <c r="D16" s="1154"/>
      <c r="E16" s="1154"/>
      <c r="F16" s="1154"/>
      <c r="G16" s="1154"/>
      <c r="H16" s="1154"/>
      <c r="I16" s="1154"/>
      <c r="J16" s="1154"/>
      <c r="K16" s="1154"/>
    </row>
  </sheetData>
  <mergeCells count="6">
    <mergeCell ref="B16:C16"/>
    <mergeCell ref="B15:C15"/>
    <mergeCell ref="A1:C1"/>
    <mergeCell ref="B7:C7"/>
    <mergeCell ref="A2:C2"/>
    <mergeCell ref="A3:C3"/>
  </mergeCells>
  <phoneticPr fontId="97" type="noConversion"/>
  <printOptions horizontalCentered="1"/>
  <pageMargins left="0.7" right="0.7" top="0.7" bottom="0.7" header="0.3" footer="0.5"/>
  <pageSetup orientation="portrait" r:id="rId1"/>
  <headerFooter>
    <oddFooter>&amp;CPage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2"/>
  <sheetViews>
    <sheetView topLeftCell="A13" zoomScaleNormal="100" workbookViewId="0">
      <selection activeCell="B42" sqref="B42:H42"/>
    </sheetView>
  </sheetViews>
  <sheetFormatPr defaultColWidth="8.85546875" defaultRowHeight="14.25"/>
  <cols>
    <col min="1" max="1" width="4.85546875" style="216" customWidth="1"/>
    <col min="2" max="2" width="51.140625" style="216" customWidth="1"/>
    <col min="3" max="3" width="13.28515625" style="216" customWidth="1"/>
    <col min="4" max="4" width="13.28515625" style="523" customWidth="1"/>
    <col min="5" max="5" width="17.7109375" style="523" customWidth="1"/>
    <col min="6" max="7" width="13.28515625" style="523" customWidth="1"/>
    <col min="8" max="8" width="12.42578125" style="220" customWidth="1"/>
    <col min="9" max="16384" width="8.85546875" style="216"/>
  </cols>
  <sheetData>
    <row r="1" spans="1:9">
      <c r="A1" s="1674" t="str">
        <f>+'MISO Cover'!C6</f>
        <v>Entergy New Orleans, Inc.</v>
      </c>
      <c r="B1" s="1674"/>
      <c r="C1" s="1674"/>
      <c r="D1" s="1674"/>
      <c r="E1" s="1674"/>
      <c r="F1" s="1674"/>
      <c r="G1" s="1674"/>
      <c r="H1" s="1674"/>
      <c r="I1" s="809"/>
    </row>
    <row r="2" spans="1:9" s="217" customFormat="1">
      <c r="A2" s="1675" t="s">
        <v>949</v>
      </c>
      <c r="B2" s="1675"/>
      <c r="C2" s="1675"/>
      <c r="D2" s="1675"/>
      <c r="E2" s="1675"/>
      <c r="F2" s="1675"/>
      <c r="G2" s="1675"/>
      <c r="H2" s="1675"/>
      <c r="I2" s="175"/>
    </row>
    <row r="3" spans="1:9" s="217" customFormat="1">
      <c r="A3" s="1675" t="str">
        <f>+'MISO Cover'!K4</f>
        <v>For  the 12 Months Ended 12/31/2014</v>
      </c>
      <c r="B3" s="1675"/>
      <c r="C3" s="1675"/>
      <c r="D3" s="1675"/>
      <c r="E3" s="1675"/>
      <c r="F3" s="1675"/>
      <c r="G3" s="1675"/>
      <c r="H3" s="1675"/>
      <c r="I3" s="175"/>
    </row>
    <row r="4" spans="1:9" s="217" customFormat="1">
      <c r="A4" s="700"/>
      <c r="B4" s="700"/>
      <c r="C4" s="700"/>
      <c r="D4" s="700"/>
      <c r="E4" s="700"/>
      <c r="F4" s="700"/>
      <c r="G4" s="700"/>
      <c r="H4" s="700"/>
      <c r="I4" s="175"/>
    </row>
    <row r="5" spans="1:9" s="217" customFormat="1">
      <c r="A5" s="521" t="s">
        <v>525</v>
      </c>
      <c r="B5" s="521" t="s">
        <v>167</v>
      </c>
      <c r="C5" s="521" t="s">
        <v>215</v>
      </c>
      <c r="D5" s="597" t="s">
        <v>155</v>
      </c>
      <c r="E5" s="597" t="s">
        <v>168</v>
      </c>
      <c r="F5" s="505" t="s">
        <v>166</v>
      </c>
      <c r="G5" s="505" t="s">
        <v>257</v>
      </c>
      <c r="H5" s="524" t="s">
        <v>169</v>
      </c>
      <c r="I5" s="175"/>
    </row>
    <row r="6" spans="1:9">
      <c r="A6" s="581"/>
      <c r="B6" s="551"/>
      <c r="C6" s="551"/>
      <c r="D6" s="598"/>
      <c r="E6" s="595"/>
      <c r="F6" s="595"/>
      <c r="G6" s="595"/>
      <c r="H6" s="551"/>
      <c r="I6" s="576"/>
    </row>
    <row r="7" spans="1:9" ht="21.6" customHeight="1">
      <c r="A7" s="864">
        <v>1</v>
      </c>
      <c r="B7" s="1503" t="s">
        <v>107</v>
      </c>
      <c r="C7" s="1178" t="s">
        <v>249</v>
      </c>
      <c r="D7" s="1504" t="s">
        <v>1015</v>
      </c>
      <c r="E7" s="1504" t="s">
        <v>1017</v>
      </c>
      <c r="F7" s="1505" t="s">
        <v>1016</v>
      </c>
      <c r="G7" s="1505" t="s">
        <v>1018</v>
      </c>
      <c r="H7" s="1178" t="s">
        <v>241</v>
      </c>
      <c r="I7" s="576"/>
    </row>
    <row r="8" spans="1:9">
      <c r="A8" s="865">
        <f>+A7+0.01</f>
        <v>1.01</v>
      </c>
      <c r="B8" s="1294" t="s">
        <v>480</v>
      </c>
      <c r="C8" s="1323">
        <v>-17278287</v>
      </c>
      <c r="D8" s="1227">
        <f>+C8</f>
        <v>-17278287</v>
      </c>
      <c r="E8" s="1228"/>
      <c r="F8" s="1228"/>
      <c r="G8" s="1228"/>
      <c r="H8" s="1346" t="s">
        <v>1465</v>
      </c>
      <c r="I8" s="1229"/>
    </row>
    <row r="9" spans="1:9">
      <c r="A9" s="865">
        <f t="shared" ref="A9:A35" si="0">+A8+0.01</f>
        <v>1.02</v>
      </c>
      <c r="B9" s="1295" t="s">
        <v>108</v>
      </c>
      <c r="C9" s="1323">
        <v>666437</v>
      </c>
      <c r="D9" s="1230"/>
      <c r="E9" s="1228"/>
      <c r="F9" s="1228"/>
      <c r="G9" s="1228">
        <f>+C9</f>
        <v>666437</v>
      </c>
      <c r="H9" s="1343" t="s">
        <v>1466</v>
      </c>
      <c r="I9" s="1229"/>
    </row>
    <row r="10" spans="1:9">
      <c r="A10" s="865">
        <f t="shared" si="0"/>
        <v>1.03</v>
      </c>
      <c r="B10" s="1295" t="s">
        <v>109</v>
      </c>
      <c r="C10" s="1323">
        <v>5276</v>
      </c>
      <c r="D10" s="1230"/>
      <c r="E10" s="1228"/>
      <c r="F10" s="1228"/>
      <c r="G10" s="1228">
        <f>+C10</f>
        <v>5276</v>
      </c>
      <c r="H10" s="1343" t="s">
        <v>1467</v>
      </c>
      <c r="I10" s="1229"/>
    </row>
    <row r="11" spans="1:9">
      <c r="A11" s="865">
        <f t="shared" si="0"/>
        <v>1.04</v>
      </c>
      <c r="B11" s="1295" t="s">
        <v>116</v>
      </c>
      <c r="C11" s="1323">
        <v>2590</v>
      </c>
      <c r="D11" s="1230"/>
      <c r="E11" s="1228"/>
      <c r="F11" s="1228">
        <f>+C11</f>
        <v>2590</v>
      </c>
      <c r="G11" s="1228"/>
      <c r="H11" s="1343" t="s">
        <v>1468</v>
      </c>
      <c r="I11" s="1229"/>
    </row>
    <row r="12" spans="1:9">
      <c r="A12" s="865">
        <f t="shared" si="0"/>
        <v>1.05</v>
      </c>
      <c r="B12" s="1294" t="s">
        <v>481</v>
      </c>
      <c r="C12" s="1323">
        <v>-4114367</v>
      </c>
      <c r="D12" s="1227">
        <f>+C12</f>
        <v>-4114367</v>
      </c>
      <c r="E12" s="1228"/>
      <c r="F12" s="1228"/>
      <c r="G12" s="1228"/>
      <c r="H12" s="1346" t="s">
        <v>1469</v>
      </c>
      <c r="I12" s="1229"/>
    </row>
    <row r="13" spans="1:9" s="218" customFormat="1">
      <c r="A13" s="865">
        <f t="shared" si="0"/>
        <v>1.06</v>
      </c>
      <c r="B13" s="1295" t="s">
        <v>110</v>
      </c>
      <c r="C13" s="1323">
        <v>966</v>
      </c>
      <c r="D13" s="1230"/>
      <c r="E13" s="1228"/>
      <c r="F13" s="1228"/>
      <c r="G13" s="1228">
        <f>+C13</f>
        <v>966</v>
      </c>
      <c r="H13" s="1343" t="s">
        <v>1470</v>
      </c>
      <c r="I13" s="1231"/>
    </row>
    <row r="14" spans="1:9" s="218" customFormat="1">
      <c r="A14" s="865">
        <f t="shared" si="0"/>
        <v>1.07</v>
      </c>
      <c r="B14" s="1295" t="s">
        <v>117</v>
      </c>
      <c r="C14" s="1323">
        <v>0</v>
      </c>
      <c r="D14" s="1230"/>
      <c r="E14" s="1228"/>
      <c r="F14" s="1228">
        <f>+C14</f>
        <v>0</v>
      </c>
      <c r="G14" s="1228"/>
      <c r="H14" s="1343"/>
      <c r="I14" s="1231"/>
    </row>
    <row r="15" spans="1:9">
      <c r="A15" s="865">
        <f t="shared" si="0"/>
        <v>1.08</v>
      </c>
      <c r="B15" s="1295" t="s">
        <v>118</v>
      </c>
      <c r="C15" s="1323">
        <v>805864</v>
      </c>
      <c r="D15" s="1227">
        <f>+C15</f>
        <v>805864</v>
      </c>
      <c r="E15" s="1228"/>
      <c r="F15" s="1228"/>
      <c r="G15" s="1228"/>
      <c r="H15" s="1343" t="s">
        <v>1471</v>
      </c>
      <c r="I15" s="1229"/>
    </row>
    <row r="16" spans="1:9">
      <c r="A16" s="865">
        <f t="shared" si="0"/>
        <v>1.0900000000000001</v>
      </c>
      <c r="B16" s="1295" t="s">
        <v>112</v>
      </c>
      <c r="C16" s="1323">
        <v>0</v>
      </c>
      <c r="D16" s="1227">
        <f>+C16</f>
        <v>0</v>
      </c>
      <c r="E16" s="1228"/>
      <c r="F16" s="1228"/>
      <c r="G16" s="1228"/>
      <c r="H16" s="1343"/>
      <c r="I16" s="1229"/>
    </row>
    <row r="17" spans="1:15">
      <c r="A17" s="865">
        <f t="shared" si="0"/>
        <v>1.1000000000000001</v>
      </c>
      <c r="B17" s="1295" t="s">
        <v>111</v>
      </c>
      <c r="C17" s="1323">
        <v>0</v>
      </c>
      <c r="D17" s="1227">
        <f>+C17</f>
        <v>0</v>
      </c>
      <c r="E17" s="1228"/>
      <c r="F17" s="1228"/>
      <c r="G17" s="1228"/>
      <c r="H17" s="1343"/>
      <c r="I17" s="1229"/>
    </row>
    <row r="18" spans="1:15">
      <c r="A18" s="865">
        <f t="shared" si="0"/>
        <v>1.1100000000000001</v>
      </c>
      <c r="B18" s="1295" t="s">
        <v>119</v>
      </c>
      <c r="C18" s="1323">
        <v>0</v>
      </c>
      <c r="D18" s="1210">
        <f>+C18</f>
        <v>0</v>
      </c>
      <c r="E18" s="1232"/>
      <c r="F18" s="1232"/>
      <c r="G18" s="1228"/>
      <c r="H18" s="1343"/>
      <c r="I18" s="1229"/>
    </row>
    <row r="19" spans="1:15">
      <c r="A19" s="865">
        <f t="shared" si="0"/>
        <v>1.1200000000000001</v>
      </c>
      <c r="B19" s="1295" t="s">
        <v>113</v>
      </c>
      <c r="C19" s="1323">
        <v>0</v>
      </c>
      <c r="D19" s="1227">
        <f>+C19</f>
        <v>0</v>
      </c>
      <c r="E19" s="1228"/>
      <c r="F19" s="1228"/>
      <c r="G19" s="1228"/>
      <c r="H19" s="1343"/>
      <c r="I19" s="1229"/>
    </row>
    <row r="20" spans="1:15">
      <c r="A20" s="865">
        <f t="shared" si="0"/>
        <v>1.1300000000000001</v>
      </c>
      <c r="B20" s="1295" t="s">
        <v>489</v>
      </c>
      <c r="C20" s="1323">
        <v>11069609</v>
      </c>
      <c r="D20" s="1230"/>
      <c r="E20" s="1228"/>
      <c r="F20" s="1228">
        <f>+C20</f>
        <v>11069609</v>
      </c>
      <c r="G20" s="1228"/>
      <c r="H20" s="1343" t="s">
        <v>1472</v>
      </c>
      <c r="I20" s="1229"/>
    </row>
    <row r="21" spans="1:15">
      <c r="A21" s="865">
        <f t="shared" si="0"/>
        <v>1.1400000000000001</v>
      </c>
      <c r="B21" s="1295" t="s">
        <v>114</v>
      </c>
      <c r="C21" s="1323">
        <v>0</v>
      </c>
      <c r="D21" s="1227">
        <f>+C21</f>
        <v>0</v>
      </c>
      <c r="E21" s="1228"/>
      <c r="F21" s="1228"/>
      <c r="G21" s="1228"/>
      <c r="H21" s="1343"/>
      <c r="I21" s="1229"/>
    </row>
    <row r="22" spans="1:15">
      <c r="A22" s="865">
        <f t="shared" si="0"/>
        <v>1.1500000000000001</v>
      </c>
      <c r="B22" s="1295" t="s">
        <v>115</v>
      </c>
      <c r="C22" s="1323">
        <v>1042</v>
      </c>
      <c r="D22" s="1230"/>
      <c r="E22" s="1228"/>
      <c r="F22" s="1228">
        <f>+C22</f>
        <v>1042</v>
      </c>
      <c r="G22" s="1228"/>
      <c r="H22" s="1343" t="s">
        <v>1473</v>
      </c>
      <c r="I22" s="1229"/>
    </row>
    <row r="23" spans="1:15">
      <c r="A23" s="865">
        <f t="shared" si="0"/>
        <v>1.1600000000000001</v>
      </c>
      <c r="B23" s="1295" t="s">
        <v>120</v>
      </c>
      <c r="C23" s="1323">
        <v>0</v>
      </c>
      <c r="D23" s="1230">
        <f>+C23</f>
        <v>0</v>
      </c>
      <c r="E23" s="1228"/>
      <c r="F23" s="1228"/>
      <c r="G23" s="1228"/>
      <c r="H23" s="1343"/>
      <c r="I23" s="1229"/>
    </row>
    <row r="24" spans="1:15">
      <c r="A24" s="865">
        <f t="shared" si="0"/>
        <v>1.1700000000000002</v>
      </c>
      <c r="B24" s="1295" t="s">
        <v>1193</v>
      </c>
      <c r="C24" s="1323">
        <v>0</v>
      </c>
      <c r="D24" s="1230">
        <f>+C24</f>
        <v>0</v>
      </c>
      <c r="E24" s="1228"/>
      <c r="F24" s="1228"/>
      <c r="G24" s="1228"/>
      <c r="H24" s="1343"/>
      <c r="I24" s="1229"/>
    </row>
    <row r="25" spans="1:15">
      <c r="A25" s="865">
        <f t="shared" si="0"/>
        <v>1.1800000000000002</v>
      </c>
      <c r="B25" s="1296" t="str">
        <f>+"Entergy Services, Inc. 408110 Employment Taxes  (Ln "&amp;A$39&amp;")"</f>
        <v>Entergy Services, Inc. 408110 Employment Taxes  (Ln 4)</v>
      </c>
      <c r="C25" s="1323">
        <v>685074.84</v>
      </c>
      <c r="D25" s="1230"/>
      <c r="E25" s="1228"/>
      <c r="F25" s="1228"/>
      <c r="G25" s="1228">
        <f>+C25</f>
        <v>685074.84</v>
      </c>
      <c r="H25" s="1343" t="s">
        <v>1474</v>
      </c>
      <c r="I25" s="1229"/>
      <c r="J25" s="729"/>
      <c r="K25" s="729"/>
      <c r="L25" s="729"/>
      <c r="M25" s="729"/>
      <c r="N25" s="729"/>
      <c r="O25" s="730"/>
    </row>
    <row r="26" spans="1:15">
      <c r="A26" s="865">
        <f t="shared" si="0"/>
        <v>1.1900000000000002</v>
      </c>
      <c r="B26" s="1295" t="str">
        <f>+"Entergy Services, Inc. 408122 Excise Tax- State  (Ln "&amp;A$39&amp;")"</f>
        <v>Entergy Services, Inc. 408122 Excise Tax- State  (Ln 4)</v>
      </c>
      <c r="C26" s="1323">
        <v>5.63</v>
      </c>
      <c r="D26" s="1230"/>
      <c r="E26" s="1228"/>
      <c r="F26" s="1228">
        <f>+C26</f>
        <v>5.63</v>
      </c>
      <c r="G26" s="1228"/>
      <c r="H26" s="1343" t="s">
        <v>1474</v>
      </c>
      <c r="I26" s="1229"/>
    </row>
    <row r="27" spans="1:15">
      <c r="A27" s="865">
        <f t="shared" si="0"/>
        <v>1.2000000000000002</v>
      </c>
      <c r="B27" s="1295" t="str">
        <f>+"Entergy Services, Inc. 408123 Excise Tax Federal  (Ln "&amp;A$39&amp;")"</f>
        <v>Entergy Services, Inc. 408123 Excise Tax Federal  (Ln 4)</v>
      </c>
      <c r="C27" s="1323">
        <v>12.05</v>
      </c>
      <c r="D27" s="1230"/>
      <c r="E27" s="1228"/>
      <c r="F27" s="1228">
        <f>+C27</f>
        <v>12.05</v>
      </c>
      <c r="G27" s="1228"/>
      <c r="H27" s="1343" t="s">
        <v>1474</v>
      </c>
      <c r="I27" s="1229"/>
    </row>
    <row r="28" spans="1:15">
      <c r="A28" s="865">
        <f t="shared" si="0"/>
        <v>1.2100000000000002</v>
      </c>
      <c r="B28" s="1295" t="str">
        <f>+"Entergy Services, Inc. 408142 Ad Valorem  (Ln "&amp;A$39&amp;")"</f>
        <v>Entergy Services, Inc. 408142 Ad Valorem  (Ln 4)</v>
      </c>
      <c r="C28" s="1323">
        <v>146623.54999999999</v>
      </c>
      <c r="D28" s="1230"/>
      <c r="E28" s="1228"/>
      <c r="F28" s="1228">
        <f>+C28</f>
        <v>146623.54999999999</v>
      </c>
      <c r="G28" s="1228"/>
      <c r="H28" s="1343" t="s">
        <v>1474</v>
      </c>
      <c r="I28" s="1229"/>
    </row>
    <row r="29" spans="1:15">
      <c r="A29" s="865">
        <f t="shared" si="0"/>
        <v>1.2200000000000002</v>
      </c>
      <c r="B29" s="1295" t="str">
        <f>+"Entergy Services, Inc. 408152 Franchise Tax State  (Ln "&amp;A$39&amp;")"</f>
        <v>Entergy Services, Inc. 408152 Franchise Tax State  (Ln 4)</v>
      </c>
      <c r="C29" s="1323">
        <v>13521.88</v>
      </c>
      <c r="D29" s="1230"/>
      <c r="E29" s="1228"/>
      <c r="F29" s="1228">
        <f>+C29</f>
        <v>13521.88</v>
      </c>
      <c r="G29" s="1228"/>
      <c r="H29" s="1343" t="s">
        <v>1474</v>
      </c>
      <c r="I29" s="1233"/>
    </row>
    <row r="30" spans="1:15" ht="15">
      <c r="A30" s="865">
        <f t="shared" si="0"/>
        <v>1.2300000000000002</v>
      </c>
      <c r="B30" s="1295" t="str">
        <f>+"Entergy Services, Inc. 408165 City Occupation Tax  (Ln "&amp;A$39&amp;")"</f>
        <v>Entergy Services, Inc. 408165 City Occupation Tax  (Ln 4)</v>
      </c>
      <c r="C30" s="1323">
        <v>-1.72</v>
      </c>
      <c r="D30" s="1210">
        <f>+C30</f>
        <v>-1.72</v>
      </c>
      <c r="E30" s="1232"/>
      <c r="G30" s="1228"/>
      <c r="H30" s="1343" t="s">
        <v>1474</v>
      </c>
      <c r="J30" s="1400" t="s">
        <v>1105</v>
      </c>
      <c r="K30" s="1005"/>
      <c r="L30" s="1005"/>
      <c r="M30" s="1005"/>
      <c r="N30" s="1005"/>
    </row>
    <row r="31" spans="1:15" ht="15">
      <c r="A31" s="865">
        <f t="shared" si="0"/>
        <v>1.2400000000000002</v>
      </c>
      <c r="B31" s="1295" t="s">
        <v>1194</v>
      </c>
      <c r="C31" s="1323">
        <v>72.599999999999994</v>
      </c>
      <c r="D31" s="1232"/>
      <c r="E31" s="1232"/>
      <c r="F31" s="1232">
        <f>+C31</f>
        <v>72.599999999999994</v>
      </c>
      <c r="G31" s="1228"/>
      <c r="H31" s="1343" t="s">
        <v>1474</v>
      </c>
      <c r="I31" s="1233"/>
      <c r="J31" s="1005"/>
      <c r="K31" s="1005"/>
      <c r="L31" s="1005"/>
      <c r="M31" s="1005"/>
      <c r="N31" s="1005"/>
    </row>
    <row r="32" spans="1:15" ht="15">
      <c r="A32" s="865">
        <f t="shared" si="0"/>
        <v>1.2500000000000002</v>
      </c>
      <c r="B32" s="1295" t="s">
        <v>886</v>
      </c>
      <c r="C32" s="1323">
        <v>74015</v>
      </c>
      <c r="D32" s="1210">
        <f>+C32</f>
        <v>74015</v>
      </c>
      <c r="E32" s="1232"/>
      <c r="F32" s="1232"/>
      <c r="G32" s="1228"/>
      <c r="H32" s="1343" t="s">
        <v>1475</v>
      </c>
      <c r="I32" s="1233"/>
      <c r="J32" s="1005"/>
      <c r="K32" s="1005"/>
      <c r="L32" s="1005"/>
      <c r="M32" s="1005"/>
      <c r="N32" s="1005"/>
    </row>
    <row r="33" spans="1:14" ht="15">
      <c r="A33" s="1339">
        <f t="shared" si="0"/>
        <v>1.2600000000000002</v>
      </c>
      <c r="B33" s="1340" t="s">
        <v>1462</v>
      </c>
      <c r="C33" s="1341">
        <v>6345</v>
      </c>
      <c r="D33" s="1342"/>
      <c r="E33" s="1342"/>
      <c r="F33" s="1342"/>
      <c r="G33" s="1342">
        <f>C33</f>
        <v>6345</v>
      </c>
      <c r="H33" s="1343" t="s">
        <v>1476</v>
      </c>
      <c r="I33" s="1233"/>
      <c r="J33" s="1005"/>
      <c r="K33" s="1005"/>
      <c r="L33" s="1005"/>
      <c r="M33" s="1005"/>
      <c r="N33" s="1005"/>
    </row>
    <row r="34" spans="1:14" ht="15">
      <c r="A34" s="1339">
        <f t="shared" si="0"/>
        <v>1.2700000000000002</v>
      </c>
      <c r="B34" s="1340" t="s">
        <v>1463</v>
      </c>
      <c r="C34" s="1341">
        <v>890479</v>
      </c>
      <c r="D34" s="1342"/>
      <c r="E34" s="1342"/>
      <c r="F34" s="1342">
        <f>C34</f>
        <v>890479</v>
      </c>
      <c r="G34" s="1342"/>
      <c r="H34" s="1343" t="s">
        <v>1477</v>
      </c>
      <c r="I34" s="1233"/>
      <c r="J34" s="1005"/>
      <c r="K34" s="1005"/>
      <c r="L34" s="1005"/>
      <c r="M34" s="1005"/>
      <c r="N34" s="1005"/>
    </row>
    <row r="35" spans="1:14" ht="15">
      <c r="A35" s="1339">
        <f t="shared" si="0"/>
        <v>1.2800000000000002</v>
      </c>
      <c r="B35" s="1340" t="s">
        <v>1464</v>
      </c>
      <c r="C35" s="1341">
        <v>24420856</v>
      </c>
      <c r="D35" s="1342">
        <f>C35</f>
        <v>24420856</v>
      </c>
      <c r="E35" s="1342"/>
      <c r="F35" s="1342"/>
      <c r="G35" s="1342"/>
      <c r="H35" s="1343" t="s">
        <v>1478</v>
      </c>
      <c r="I35" s="1233"/>
      <c r="J35" s="1005"/>
      <c r="K35" s="1005"/>
      <c r="L35" s="1005"/>
      <c r="M35" s="1005"/>
      <c r="N35" s="1005"/>
    </row>
    <row r="36" spans="1:14" ht="16.5">
      <c r="A36" s="1339" t="s">
        <v>1270</v>
      </c>
      <c r="B36" s="1340" t="s">
        <v>1272</v>
      </c>
      <c r="C36" s="1289">
        <v>0</v>
      </c>
      <c r="D36" s="1344"/>
      <c r="E36" s="1345"/>
      <c r="F36" s="1345"/>
      <c r="G36" s="1345"/>
      <c r="H36" s="1346"/>
      <c r="I36" s="1229"/>
    </row>
    <row r="37" spans="1:14" ht="15" thickBot="1">
      <c r="A37" s="866">
        <f>+A7+1</f>
        <v>2</v>
      </c>
      <c r="B37" s="219" t="str">
        <f>+"Sum Line "&amp;A7&amp;" Subparts"</f>
        <v>Sum Line 1 Subparts</v>
      </c>
      <c r="C37" s="658">
        <f>+SUM(C8:C36)</f>
        <v>17396133.829999998</v>
      </c>
      <c r="D37" s="658">
        <f>+SUM(D8:D36)</f>
        <v>3908079.2800000012</v>
      </c>
      <c r="E37" s="658">
        <f>+SUM(E8:E36)</f>
        <v>0</v>
      </c>
      <c r="F37" s="658">
        <f>+SUM(F8:F36)</f>
        <v>12123955.710000003</v>
      </c>
      <c r="G37" s="658">
        <f>+SUM(G8:G36)</f>
        <v>1364098.8399999999</v>
      </c>
      <c r="H37" s="527" t="s">
        <v>737</v>
      </c>
      <c r="I37" s="576"/>
    </row>
    <row r="38" spans="1:14" ht="15" thickTop="1">
      <c r="A38" s="955">
        <f>+A37+1</f>
        <v>3</v>
      </c>
      <c r="B38" s="219"/>
      <c r="C38" s="525"/>
      <c r="D38" s="525"/>
      <c r="E38" s="600"/>
      <c r="F38" s="600"/>
      <c r="G38" s="600"/>
      <c r="H38" s="527"/>
      <c r="I38" s="576"/>
    </row>
    <row r="39" spans="1:14">
      <c r="A39" s="955">
        <f>+A38+1</f>
        <v>4</v>
      </c>
      <c r="B39" s="869" t="s">
        <v>1014</v>
      </c>
      <c r="C39" s="1323">
        <v>845309</v>
      </c>
      <c r="D39" s="870"/>
      <c r="E39" s="870"/>
      <c r="F39" s="870"/>
      <c r="G39" s="870"/>
      <c r="H39" s="1343" t="s">
        <v>1479</v>
      </c>
      <c r="I39" s="526"/>
    </row>
    <row r="40" spans="1:14">
      <c r="A40" s="955"/>
      <c r="B40" s="869"/>
      <c r="C40" s="870"/>
      <c r="D40" s="870"/>
      <c r="E40" s="870"/>
      <c r="F40" s="870"/>
      <c r="G40" s="870"/>
      <c r="H40" s="870"/>
      <c r="I40" s="526"/>
    </row>
    <row r="41" spans="1:14" s="178" customFormat="1" ht="12.75">
      <c r="A41" s="825" t="s">
        <v>856</v>
      </c>
      <c r="B41" s="179"/>
      <c r="C41" s="179"/>
      <c r="D41" s="79"/>
      <c r="E41" s="596"/>
      <c r="F41" s="596"/>
      <c r="G41" s="596"/>
      <c r="H41" s="867"/>
      <c r="I41" s="526"/>
    </row>
    <row r="42" spans="1:14" s="178" customFormat="1" ht="55.15" customHeight="1">
      <c r="A42" s="868" t="s">
        <v>271</v>
      </c>
      <c r="B42" s="1710" t="s">
        <v>1007</v>
      </c>
      <c r="C42" s="1710"/>
      <c r="D42" s="1710"/>
      <c r="E42" s="1710"/>
      <c r="F42" s="1710"/>
      <c r="G42" s="1710"/>
      <c r="H42" s="1710"/>
      <c r="I42" s="1449"/>
    </row>
    <row r="43" spans="1:14" s="178" customFormat="1" ht="27" customHeight="1">
      <c r="A43" s="868" t="s">
        <v>615</v>
      </c>
      <c r="B43" s="1710" t="s">
        <v>1106</v>
      </c>
      <c r="C43" s="1710"/>
      <c r="D43" s="1710"/>
      <c r="E43" s="1710"/>
      <c r="F43" s="1710"/>
      <c r="G43" s="1710"/>
      <c r="H43" s="1710"/>
      <c r="I43" s="1449"/>
    </row>
    <row r="44" spans="1:14" s="178" customFormat="1" ht="13.15" customHeight="1">
      <c r="A44" s="868" t="s">
        <v>616</v>
      </c>
      <c r="B44" s="1710" t="s">
        <v>1008</v>
      </c>
      <c r="C44" s="1710"/>
      <c r="D44" s="1710"/>
      <c r="E44" s="1710"/>
      <c r="F44" s="1710"/>
      <c r="G44" s="1710"/>
      <c r="H44" s="1710"/>
      <c r="I44" s="1449"/>
    </row>
    <row r="45" spans="1:14" s="178" customFormat="1" ht="12.75">
      <c r="A45" s="868" t="s">
        <v>617</v>
      </c>
      <c r="B45" s="1658" t="s">
        <v>1027</v>
      </c>
      <c r="C45" s="1658"/>
      <c r="D45" s="1658"/>
      <c r="E45" s="1658"/>
      <c r="F45" s="1658"/>
      <c r="G45" s="1658"/>
      <c r="H45" s="1658"/>
      <c r="I45" s="1449"/>
    </row>
    <row r="46" spans="1:14">
      <c r="A46" s="868" t="s">
        <v>618</v>
      </c>
      <c r="B46" s="1710" t="s">
        <v>1009</v>
      </c>
      <c r="C46" s="1710"/>
      <c r="D46" s="1710"/>
      <c r="E46" s="1710"/>
      <c r="F46" s="1710"/>
      <c r="G46" s="1710"/>
      <c r="H46" s="1710"/>
      <c r="I46" s="1711"/>
    </row>
    <row r="47" spans="1:14" ht="28.15" customHeight="1">
      <c r="A47" s="868" t="s">
        <v>1010</v>
      </c>
      <c r="B47" s="1658" t="s">
        <v>1011</v>
      </c>
      <c r="C47" s="1658"/>
      <c r="D47" s="1658"/>
      <c r="E47" s="1658"/>
      <c r="F47" s="1658"/>
      <c r="G47" s="1658"/>
      <c r="H47" s="1658"/>
      <c r="I47" s="1450"/>
    </row>
    <row r="48" spans="1:14" ht="28.15" customHeight="1">
      <c r="A48" s="868" t="s">
        <v>1012</v>
      </c>
      <c r="B48" s="1658" t="s">
        <v>1013</v>
      </c>
      <c r="C48" s="1658"/>
      <c r="D48" s="1658"/>
      <c r="E48" s="1658"/>
      <c r="F48" s="1658"/>
      <c r="G48" s="1658"/>
      <c r="H48" s="1658"/>
      <c r="I48" s="1450"/>
    </row>
    <row r="49" spans="1:9">
      <c r="A49" s="1258"/>
      <c r="B49" s="1258"/>
      <c r="C49" s="1258"/>
      <c r="D49" s="1259"/>
      <c r="E49" s="1260"/>
      <c r="F49" s="1260"/>
      <c r="G49" s="1260"/>
      <c r="H49" s="1261"/>
      <c r="I49" s="576"/>
    </row>
    <row r="50" spans="1:9">
      <c r="A50" s="1258"/>
      <c r="B50" s="1258"/>
      <c r="C50" s="1258"/>
      <c r="D50" s="1259"/>
      <c r="E50" s="1260"/>
      <c r="F50" s="1260"/>
      <c r="G50" s="1260"/>
      <c r="H50" s="1261"/>
    </row>
    <row r="51" spans="1:9">
      <c r="A51" s="1258"/>
      <c r="B51" s="1262"/>
      <c r="C51" s="1262"/>
      <c r="D51" s="1260"/>
      <c r="E51" s="1260"/>
      <c r="F51" s="1260"/>
      <c r="G51" s="1260"/>
      <c r="H51" s="1261"/>
    </row>
    <row r="52" spans="1:9">
      <c r="A52" s="1258"/>
      <c r="B52" s="1262"/>
      <c r="C52" s="1262"/>
      <c r="D52" s="1260"/>
      <c r="E52" s="1260"/>
      <c r="F52" s="1260"/>
      <c r="G52" s="1260"/>
      <c r="H52" s="1261"/>
    </row>
  </sheetData>
  <mergeCells count="10">
    <mergeCell ref="B48:H48"/>
    <mergeCell ref="B42:H42"/>
    <mergeCell ref="B43:H43"/>
    <mergeCell ref="B44:H44"/>
    <mergeCell ref="A1:H1"/>
    <mergeCell ref="A3:H3"/>
    <mergeCell ref="A2:H2"/>
    <mergeCell ref="B46:I46"/>
    <mergeCell ref="B47:H47"/>
    <mergeCell ref="B45:H45"/>
  </mergeCells>
  <phoneticPr fontId="97" type="noConversion"/>
  <printOptions horizontalCentered="1"/>
  <pageMargins left="0.7" right="0.7" top="0.7" bottom="0.7" header="0.3" footer="0.5"/>
  <pageSetup scale="67" orientation="landscape" r:id="rId1"/>
  <headerFooter>
    <oddFooter>&amp;CPage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topLeftCell="A16" zoomScaleNormal="100" zoomScaleSheetLayoutView="100" workbookViewId="0">
      <selection activeCell="C51" sqref="C51"/>
    </sheetView>
  </sheetViews>
  <sheetFormatPr defaultColWidth="9.140625" defaultRowHeight="12.75"/>
  <cols>
    <col min="1" max="1" width="4.42578125" style="708" customWidth="1"/>
    <col min="2" max="2" width="49.140625" style="44" customWidth="1"/>
    <col min="3" max="3" width="28.5703125" style="44" customWidth="1"/>
    <col min="4" max="4" width="14" style="43" customWidth="1"/>
    <col min="5" max="15" width="14.28515625" style="43" customWidth="1"/>
    <col min="16" max="16" width="14" style="44" bestFit="1" customWidth="1"/>
    <col min="17" max="17" width="14.140625" style="256" bestFit="1" customWidth="1"/>
    <col min="18" max="16384" width="9.140625" style="44"/>
  </cols>
  <sheetData>
    <row r="1" spans="1:19">
      <c r="A1" s="1660" t="str">
        <f>+'MISO Cover'!C6</f>
        <v>Entergy New Orleans, Inc.</v>
      </c>
      <c r="B1" s="1660"/>
      <c r="C1" s="1660"/>
      <c r="D1" s="188"/>
      <c r="E1" s="188"/>
      <c r="F1" s="188"/>
      <c r="G1" s="188"/>
      <c r="H1" s="188"/>
      <c r="I1" s="188"/>
      <c r="J1" s="188"/>
      <c r="K1" s="188"/>
      <c r="L1" s="188"/>
      <c r="M1" s="188"/>
      <c r="N1" s="188"/>
      <c r="O1" s="188"/>
      <c r="P1" s="188"/>
      <c r="Q1" s="229"/>
    </row>
    <row r="2" spans="1:19" s="43" customFormat="1">
      <c r="A2" s="1652" t="s">
        <v>955</v>
      </c>
      <c r="B2" s="1652"/>
      <c r="C2" s="1652"/>
      <c r="D2" s="180"/>
      <c r="E2" s="180"/>
      <c r="F2" s="180"/>
      <c r="G2" s="180"/>
      <c r="H2" s="180"/>
      <c r="I2" s="180"/>
      <c r="J2" s="180"/>
      <c r="K2" s="180"/>
      <c r="L2" s="180"/>
      <c r="M2" s="180"/>
      <c r="N2" s="180"/>
      <c r="O2" s="180"/>
      <c r="P2" s="180"/>
      <c r="Q2" s="181"/>
    </row>
    <row r="3" spans="1:19">
      <c r="A3" s="1673" t="str">
        <f>+'MISO Cover'!K4</f>
        <v>For  the 12 Months Ended 12/31/2014</v>
      </c>
      <c r="B3" s="1673"/>
      <c r="C3" s="1673"/>
      <c r="D3" s="975"/>
      <c r="E3" s="975"/>
      <c r="F3" s="975"/>
      <c r="G3" s="975"/>
      <c r="H3" s="975"/>
      <c r="I3" s="975"/>
      <c r="J3" s="975"/>
      <c r="K3" s="975"/>
      <c r="L3" s="975"/>
      <c r="M3" s="975"/>
      <c r="N3" s="975"/>
      <c r="O3" s="975"/>
      <c r="P3" s="975"/>
      <c r="Q3" s="1313"/>
    </row>
    <row r="4" spans="1:19">
      <c r="B4" s="772"/>
      <c r="C4" s="772"/>
      <c r="D4" s="772"/>
      <c r="E4" s="772"/>
      <c r="F4" s="693"/>
      <c r="G4" s="772"/>
      <c r="H4" s="772"/>
      <c r="I4" s="772"/>
      <c r="J4" s="772"/>
      <c r="K4" s="772"/>
      <c r="L4" s="772"/>
      <c r="M4" s="772"/>
      <c r="N4" s="772"/>
      <c r="O4" s="772"/>
      <c r="R4" s="486"/>
    </row>
    <row r="5" spans="1:19" s="771" customFormat="1" ht="12.75" customHeight="1">
      <c r="A5" s="708" t="s">
        <v>525</v>
      </c>
      <c r="B5" s="771" t="s">
        <v>167</v>
      </c>
      <c r="C5" s="771" t="s">
        <v>215</v>
      </c>
      <c r="D5" s="768" t="s">
        <v>155</v>
      </c>
      <c r="E5" s="694" t="s">
        <v>168</v>
      </c>
      <c r="F5" s="694" t="s">
        <v>166</v>
      </c>
      <c r="G5" s="694" t="s">
        <v>257</v>
      </c>
      <c r="H5" s="694" t="s">
        <v>169</v>
      </c>
      <c r="I5" s="694" t="s">
        <v>270</v>
      </c>
      <c r="J5" s="694" t="s">
        <v>159</v>
      </c>
      <c r="K5" s="694" t="s">
        <v>857</v>
      </c>
      <c r="L5" s="694" t="s">
        <v>171</v>
      </c>
      <c r="M5" s="694" t="s">
        <v>199</v>
      </c>
      <c r="N5" s="694" t="s">
        <v>200</v>
      </c>
      <c r="O5" s="694" t="s">
        <v>734</v>
      </c>
      <c r="P5" s="694" t="s">
        <v>439</v>
      </c>
      <c r="Q5" s="1314" t="s">
        <v>440</v>
      </c>
    </row>
    <row r="6" spans="1:19">
      <c r="B6" s="559" t="s">
        <v>213</v>
      </c>
      <c r="C6" s="559" t="s">
        <v>241</v>
      </c>
      <c r="D6" s="719" t="s">
        <v>137</v>
      </c>
      <c r="E6" s="719" t="s">
        <v>127</v>
      </c>
      <c r="F6" s="719" t="s">
        <v>128</v>
      </c>
      <c r="G6" s="719" t="s">
        <v>129</v>
      </c>
      <c r="H6" s="719" t="s">
        <v>130</v>
      </c>
      <c r="I6" s="719" t="s">
        <v>126</v>
      </c>
      <c r="J6" s="719" t="s">
        <v>131</v>
      </c>
      <c r="K6" s="719" t="s">
        <v>132</v>
      </c>
      <c r="L6" s="719" t="s">
        <v>133</v>
      </c>
      <c r="M6" s="719" t="s">
        <v>134</v>
      </c>
      <c r="N6" s="719" t="s">
        <v>135</v>
      </c>
      <c r="O6" s="719" t="s">
        <v>136</v>
      </c>
      <c r="P6" s="719" t="s">
        <v>137</v>
      </c>
      <c r="Q6" s="1315" t="s">
        <v>907</v>
      </c>
    </row>
    <row r="7" spans="1:19">
      <c r="A7" s="708">
        <v>1</v>
      </c>
      <c r="B7" s="740" t="s">
        <v>161</v>
      </c>
    </row>
    <row r="8" spans="1:19">
      <c r="A8" s="708">
        <f>+A7+1</f>
        <v>2</v>
      </c>
      <c r="B8" s="44" t="s">
        <v>874</v>
      </c>
      <c r="C8" s="43" t="s">
        <v>951</v>
      </c>
      <c r="D8" s="209">
        <v>226227000</v>
      </c>
      <c r="E8" s="209">
        <v>226277000</v>
      </c>
      <c r="F8" s="209">
        <v>226277000</v>
      </c>
      <c r="G8" s="209">
        <v>226267000</v>
      </c>
      <c r="H8" s="209">
        <v>226267000</v>
      </c>
      <c r="I8" s="209">
        <v>226267000</v>
      </c>
      <c r="J8" s="209">
        <v>226217000</v>
      </c>
      <c r="K8" s="209">
        <v>226217000</v>
      </c>
      <c r="L8" s="209">
        <v>226217000</v>
      </c>
      <c r="M8" s="209">
        <v>226192000</v>
      </c>
      <c r="N8" s="209">
        <v>226192000</v>
      </c>
      <c r="O8" s="209">
        <v>226192000</v>
      </c>
      <c r="P8" s="209">
        <v>226162000</v>
      </c>
      <c r="Q8" s="79">
        <f>SUM(D8:P8)/13</f>
        <v>226228538.46153846</v>
      </c>
    </row>
    <row r="9" spans="1:19">
      <c r="A9" s="708">
        <f t="shared" ref="A9:A48" si="0">+A8+1</f>
        <v>3</v>
      </c>
      <c r="B9" s="708" t="s">
        <v>926</v>
      </c>
      <c r="C9" s="43" t="s">
        <v>952</v>
      </c>
      <c r="D9" s="209">
        <v>0</v>
      </c>
      <c r="E9" s="209">
        <v>0</v>
      </c>
      <c r="F9" s="209">
        <v>0</v>
      </c>
      <c r="G9" s="209">
        <v>0</v>
      </c>
      <c r="H9" s="209">
        <v>0</v>
      </c>
      <c r="I9" s="209">
        <v>0</v>
      </c>
      <c r="J9" s="209">
        <v>0</v>
      </c>
      <c r="K9" s="209">
        <v>0</v>
      </c>
      <c r="L9" s="209">
        <v>0</v>
      </c>
      <c r="M9" s="209">
        <v>0</v>
      </c>
      <c r="N9" s="209">
        <v>0</v>
      </c>
      <c r="O9" s="209">
        <v>0</v>
      </c>
      <c r="P9" s="209">
        <v>0</v>
      </c>
      <c r="Q9" s="79">
        <f t="shared" ref="Q9:Q11" si="1">SUM(D9:P9)/13</f>
        <v>0</v>
      </c>
    </row>
    <row r="10" spans="1:19" s="182" customFormat="1" ht="25.5">
      <c r="A10" s="746">
        <f t="shared" si="0"/>
        <v>4</v>
      </c>
      <c r="B10" s="748" t="s">
        <v>883</v>
      </c>
      <c r="C10" s="849" t="s">
        <v>953</v>
      </c>
      <c r="D10" s="209">
        <v>0</v>
      </c>
      <c r="E10" s="209">
        <v>0</v>
      </c>
      <c r="F10" s="209">
        <v>0</v>
      </c>
      <c r="G10" s="209">
        <v>0</v>
      </c>
      <c r="H10" s="209">
        <v>0</v>
      </c>
      <c r="I10" s="209">
        <v>0</v>
      </c>
      <c r="J10" s="209">
        <v>0</v>
      </c>
      <c r="K10" s="209">
        <v>0</v>
      </c>
      <c r="L10" s="209">
        <v>0</v>
      </c>
      <c r="M10" s="209">
        <v>0</v>
      </c>
      <c r="N10" s="209">
        <v>0</v>
      </c>
      <c r="O10" s="209">
        <v>0</v>
      </c>
      <c r="P10" s="209">
        <v>0</v>
      </c>
      <c r="Q10" s="79">
        <f t="shared" si="1"/>
        <v>0</v>
      </c>
      <c r="S10" s="44"/>
    </row>
    <row r="11" spans="1:19">
      <c r="A11" s="708">
        <f t="shared" si="0"/>
        <v>5</v>
      </c>
      <c r="B11" s="44" t="s">
        <v>875</v>
      </c>
      <c r="C11" s="45" t="s">
        <v>954</v>
      </c>
      <c r="D11" s="209">
        <v>0</v>
      </c>
      <c r="E11" s="209">
        <v>0</v>
      </c>
      <c r="F11" s="209">
        <v>0</v>
      </c>
      <c r="G11" s="209">
        <v>0</v>
      </c>
      <c r="H11" s="209">
        <v>0</v>
      </c>
      <c r="I11" s="209">
        <v>0</v>
      </c>
      <c r="J11" s="209">
        <v>0</v>
      </c>
      <c r="K11" s="209">
        <v>0</v>
      </c>
      <c r="L11" s="209">
        <v>0</v>
      </c>
      <c r="M11" s="209">
        <v>0</v>
      </c>
      <c r="N11" s="209">
        <v>0</v>
      </c>
      <c r="O11" s="209">
        <v>0</v>
      </c>
      <c r="P11" s="209">
        <v>0</v>
      </c>
      <c r="Q11" s="569">
        <f t="shared" si="1"/>
        <v>0</v>
      </c>
    </row>
    <row r="12" spans="1:19">
      <c r="A12" s="708">
        <f t="shared" si="0"/>
        <v>6</v>
      </c>
      <c r="B12" s="741" t="s">
        <v>140</v>
      </c>
      <c r="C12" s="968" t="str">
        <f>+"L"&amp;A8&amp;" - L"&amp;A9&amp;" + L"&amp;A10&amp;" + L"&amp;A11</f>
        <v>L2 - L3 + L4 + L5</v>
      </c>
      <c r="D12" s="969">
        <f>+D8-D9+D10+D11</f>
        <v>226227000</v>
      </c>
      <c r="E12" s="969">
        <f t="shared" ref="E12:Q12" si="2">+E8-E9+E10+E11</f>
        <v>226277000</v>
      </c>
      <c r="F12" s="969">
        <f t="shared" si="2"/>
        <v>226277000</v>
      </c>
      <c r="G12" s="969">
        <f t="shared" si="2"/>
        <v>226267000</v>
      </c>
      <c r="H12" s="969">
        <f t="shared" si="2"/>
        <v>226267000</v>
      </c>
      <c r="I12" s="969">
        <f t="shared" si="2"/>
        <v>226267000</v>
      </c>
      <c r="J12" s="969">
        <f t="shared" si="2"/>
        <v>226217000</v>
      </c>
      <c r="K12" s="969">
        <f t="shared" si="2"/>
        <v>226217000</v>
      </c>
      <c r="L12" s="969">
        <f t="shared" si="2"/>
        <v>226217000</v>
      </c>
      <c r="M12" s="969">
        <f t="shared" si="2"/>
        <v>226192000</v>
      </c>
      <c r="N12" s="969">
        <f t="shared" si="2"/>
        <v>226192000</v>
      </c>
      <c r="O12" s="969">
        <f t="shared" si="2"/>
        <v>226192000</v>
      </c>
      <c r="P12" s="969">
        <f t="shared" si="2"/>
        <v>226162000</v>
      </c>
      <c r="Q12" s="969">
        <f t="shared" si="2"/>
        <v>226228538.46153846</v>
      </c>
    </row>
    <row r="13" spans="1:19">
      <c r="A13" s="708">
        <f t="shared" si="0"/>
        <v>7</v>
      </c>
      <c r="D13" s="79"/>
      <c r="E13" s="79"/>
      <c r="F13" s="79"/>
      <c r="G13" s="79"/>
      <c r="H13" s="79"/>
      <c r="I13" s="79"/>
      <c r="J13" s="79"/>
      <c r="K13" s="79"/>
      <c r="L13" s="79"/>
      <c r="M13" s="79"/>
      <c r="N13" s="79"/>
      <c r="O13" s="79"/>
      <c r="P13" s="79"/>
      <c r="Q13" s="79"/>
    </row>
    <row r="14" spans="1:19">
      <c r="A14" s="708">
        <f t="shared" si="0"/>
        <v>8</v>
      </c>
      <c r="B14" s="970" t="s">
        <v>887</v>
      </c>
      <c r="D14" s="79"/>
      <c r="E14" s="79"/>
      <c r="F14" s="79"/>
      <c r="G14" s="79"/>
      <c r="H14" s="79"/>
      <c r="I14" s="79"/>
      <c r="J14" s="79"/>
      <c r="K14" s="79"/>
      <c r="L14" s="79"/>
      <c r="M14" s="79"/>
      <c r="N14" s="79"/>
      <c r="O14" s="79"/>
      <c r="P14" s="79"/>
      <c r="Q14" s="79"/>
    </row>
    <row r="15" spans="1:19">
      <c r="A15" s="708">
        <f>+A14+1</f>
        <v>9</v>
      </c>
      <c r="B15" s="207" t="s">
        <v>880</v>
      </c>
      <c r="C15" s="43" t="s">
        <v>991</v>
      </c>
      <c r="D15" s="209">
        <v>5010283</v>
      </c>
      <c r="E15" s="209">
        <v>4953734.4000000004</v>
      </c>
      <c r="F15" s="209">
        <v>4911839.2300000004</v>
      </c>
      <c r="G15" s="209">
        <v>4849087.46</v>
      </c>
      <c r="H15" s="209">
        <v>4796306.09</v>
      </c>
      <c r="I15" s="209">
        <v>4740820.8699999982</v>
      </c>
      <c r="J15" s="209">
        <v>4684383.3199999994</v>
      </c>
      <c r="K15" s="209">
        <v>4628341.2999999989</v>
      </c>
      <c r="L15" s="209">
        <v>4909224.709999999</v>
      </c>
      <c r="M15" s="209">
        <v>4852473.08</v>
      </c>
      <c r="N15" s="209">
        <v>4795721.8499999996</v>
      </c>
      <c r="O15" s="209">
        <v>4744480.22</v>
      </c>
      <c r="P15" s="209">
        <v>4691967</v>
      </c>
      <c r="Q15" s="79">
        <f t="shared" ref="Q15:Q19" si="3">SUM(D15:P15)/13</f>
        <v>4812974.0407692306</v>
      </c>
    </row>
    <row r="16" spans="1:19">
      <c r="A16" s="708">
        <f t="shared" si="0"/>
        <v>10</v>
      </c>
      <c r="B16" s="207" t="s">
        <v>927</v>
      </c>
      <c r="C16" s="43" t="s">
        <v>992</v>
      </c>
      <c r="D16" s="209">
        <v>1998819</v>
      </c>
      <c r="E16" s="209">
        <v>1982653.7899999998</v>
      </c>
      <c r="F16" s="209">
        <v>1966488.89</v>
      </c>
      <c r="G16" s="209">
        <v>1950323.9999999998</v>
      </c>
      <c r="H16" s="209">
        <v>1934159.0699999996</v>
      </c>
      <c r="I16" s="209">
        <v>1917994.1799999997</v>
      </c>
      <c r="J16" s="209">
        <v>1901829.2499999998</v>
      </c>
      <c r="K16" s="209">
        <v>1885664.3599999999</v>
      </c>
      <c r="L16" s="209">
        <v>1869499.47</v>
      </c>
      <c r="M16" s="209">
        <v>1853334.5399999998</v>
      </c>
      <c r="N16" s="209">
        <v>1837169.6499999997</v>
      </c>
      <c r="O16" s="209">
        <v>1821004.7199999997</v>
      </c>
      <c r="P16" s="209">
        <v>1804840</v>
      </c>
      <c r="Q16" s="79">
        <f t="shared" si="3"/>
        <v>1901829.3015384611</v>
      </c>
    </row>
    <row r="17" spans="1:26">
      <c r="A17" s="708">
        <f t="shared" si="0"/>
        <v>11</v>
      </c>
      <c r="B17" s="207" t="s">
        <v>881</v>
      </c>
      <c r="C17" s="43" t="s">
        <v>993</v>
      </c>
      <c r="D17" s="209">
        <v>0</v>
      </c>
      <c r="E17" s="209">
        <v>0</v>
      </c>
      <c r="F17" s="209">
        <v>0</v>
      </c>
      <c r="G17" s="209">
        <v>0</v>
      </c>
      <c r="H17" s="209">
        <v>0</v>
      </c>
      <c r="I17" s="209">
        <v>0</v>
      </c>
      <c r="J17" s="209">
        <v>0</v>
      </c>
      <c r="K17" s="209">
        <v>0</v>
      </c>
      <c r="L17" s="209">
        <v>0</v>
      </c>
      <c r="M17" s="209">
        <v>0</v>
      </c>
      <c r="N17" s="209">
        <v>0</v>
      </c>
      <c r="O17" s="209">
        <v>0</v>
      </c>
      <c r="P17" s="209">
        <v>0</v>
      </c>
      <c r="Q17" s="79">
        <f t="shared" si="3"/>
        <v>0</v>
      </c>
    </row>
    <row r="18" spans="1:26">
      <c r="A18" s="708">
        <f t="shared" si="0"/>
        <v>12</v>
      </c>
      <c r="B18" s="207" t="s">
        <v>879</v>
      </c>
      <c r="C18" s="43" t="s">
        <v>990</v>
      </c>
      <c r="D18" s="209">
        <v>332931</v>
      </c>
      <c r="E18" s="209">
        <v>329891.12</v>
      </c>
      <c r="F18" s="209">
        <v>326851.39999999997</v>
      </c>
      <c r="G18" s="209">
        <v>323811.7</v>
      </c>
      <c r="H18" s="209">
        <v>320771.98</v>
      </c>
      <c r="I18" s="209">
        <v>317732.26</v>
      </c>
      <c r="J18" s="209">
        <v>314692.53999999998</v>
      </c>
      <c r="K18" s="209">
        <v>311652.82</v>
      </c>
      <c r="L18" s="209">
        <v>308613.10000000003</v>
      </c>
      <c r="M18" s="209">
        <v>305573.37999999995</v>
      </c>
      <c r="N18" s="209">
        <v>302533.67</v>
      </c>
      <c r="O18" s="209">
        <v>299493.95</v>
      </c>
      <c r="P18" s="209">
        <v>296454</v>
      </c>
      <c r="Q18" s="79">
        <f t="shared" si="3"/>
        <v>314692.53230769228</v>
      </c>
    </row>
    <row r="19" spans="1:26">
      <c r="A19" s="708">
        <f t="shared" si="0"/>
        <v>13</v>
      </c>
      <c r="B19" s="207" t="s">
        <v>928</v>
      </c>
      <c r="C19" s="43" t="s">
        <v>994</v>
      </c>
      <c r="D19" s="209">
        <v>0</v>
      </c>
      <c r="E19" s="209">
        <v>0</v>
      </c>
      <c r="F19" s="209">
        <v>0</v>
      </c>
      <c r="G19" s="209">
        <v>0</v>
      </c>
      <c r="H19" s="209">
        <v>0</v>
      </c>
      <c r="I19" s="209">
        <v>0</v>
      </c>
      <c r="J19" s="209">
        <v>0</v>
      </c>
      <c r="K19" s="209">
        <v>0</v>
      </c>
      <c r="L19" s="209">
        <v>0</v>
      </c>
      <c r="M19" s="209">
        <v>0</v>
      </c>
      <c r="N19" s="209">
        <v>0</v>
      </c>
      <c r="O19" s="209">
        <v>0</v>
      </c>
      <c r="P19" s="209">
        <v>0</v>
      </c>
      <c r="Q19" s="79">
        <f t="shared" si="3"/>
        <v>0</v>
      </c>
    </row>
    <row r="20" spans="1:26">
      <c r="A20" s="708">
        <f t="shared" si="0"/>
        <v>14</v>
      </c>
      <c r="B20" s="1054" t="s">
        <v>141</v>
      </c>
      <c r="C20" s="968" t="str">
        <f>+"L"&amp;A12&amp;" - L"&amp;A15&amp;" - L"&amp;A16&amp;" + L"&amp;A17&amp;" - L"&amp;A18&amp;" + L"&amp;A19</f>
        <v>L6 - L9 - L10 + L11 - L12 + L13</v>
      </c>
      <c r="D20" s="969">
        <f>+D12-D15-D16+D17-D18+D19</f>
        <v>218884967</v>
      </c>
      <c r="E20" s="969">
        <f t="shared" ref="E20:Q20" si="4">+E12-E15-E16+E17-E18+E19</f>
        <v>219010720.69</v>
      </c>
      <c r="F20" s="969">
        <f t="shared" si="4"/>
        <v>219071820.48000002</v>
      </c>
      <c r="G20" s="969">
        <f t="shared" si="4"/>
        <v>219143776.84</v>
      </c>
      <c r="H20" s="969">
        <f t="shared" si="4"/>
        <v>219215762.86000001</v>
      </c>
      <c r="I20" s="969">
        <f t="shared" si="4"/>
        <v>219290452.69</v>
      </c>
      <c r="J20" s="969">
        <f t="shared" si="4"/>
        <v>219316094.89000002</v>
      </c>
      <c r="K20" s="969">
        <f t="shared" si="4"/>
        <v>219391341.51999998</v>
      </c>
      <c r="L20" s="969">
        <f t="shared" si="4"/>
        <v>219129662.72</v>
      </c>
      <c r="M20" s="969">
        <f t="shared" si="4"/>
        <v>219180619</v>
      </c>
      <c r="N20" s="969">
        <f t="shared" si="4"/>
        <v>219256574.83000001</v>
      </c>
      <c r="O20" s="969">
        <f t="shared" si="4"/>
        <v>219327021.11000001</v>
      </c>
      <c r="P20" s="969">
        <f t="shared" si="4"/>
        <v>219368739</v>
      </c>
      <c r="Q20" s="969">
        <f t="shared" si="4"/>
        <v>219199042.58692309</v>
      </c>
    </row>
    <row r="21" spans="1:26">
      <c r="A21" s="708">
        <f t="shared" si="0"/>
        <v>15</v>
      </c>
      <c r="D21" s="79"/>
      <c r="E21" s="79"/>
      <c r="F21" s="79"/>
      <c r="G21" s="79"/>
      <c r="H21" s="79"/>
      <c r="I21" s="79"/>
      <c r="J21" s="79"/>
      <c r="K21" s="79"/>
      <c r="L21" s="79"/>
      <c r="M21" s="79"/>
      <c r="N21" s="79"/>
      <c r="O21" s="79"/>
      <c r="P21" s="79"/>
      <c r="Q21" s="79"/>
    </row>
    <row r="22" spans="1:26">
      <c r="A22" s="708">
        <f t="shared" si="0"/>
        <v>16</v>
      </c>
      <c r="B22" s="740" t="s">
        <v>145</v>
      </c>
      <c r="D22" s="79"/>
      <c r="E22" s="79"/>
      <c r="F22" s="79"/>
      <c r="G22" s="79"/>
      <c r="H22" s="79"/>
      <c r="I22" s="79"/>
      <c r="J22" s="79"/>
      <c r="K22" s="79"/>
      <c r="L22" s="79"/>
      <c r="M22" s="79"/>
      <c r="N22" s="79"/>
      <c r="O22" s="79"/>
      <c r="P22" s="79"/>
    </row>
    <row r="23" spans="1:26">
      <c r="A23" s="708">
        <f t="shared" si="0"/>
        <v>17</v>
      </c>
      <c r="B23" s="43" t="s">
        <v>873</v>
      </c>
      <c r="C23" s="43" t="s">
        <v>1214</v>
      </c>
      <c r="D23" s="79"/>
      <c r="E23" s="79"/>
      <c r="F23" s="79"/>
      <c r="G23" s="79"/>
      <c r="H23" s="79"/>
      <c r="I23" s="79"/>
      <c r="J23" s="79"/>
      <c r="K23" s="79"/>
      <c r="L23" s="79"/>
      <c r="M23" s="79"/>
      <c r="N23" s="79"/>
      <c r="O23" s="79"/>
      <c r="P23" s="209">
        <v>10682753</v>
      </c>
    </row>
    <row r="24" spans="1:26">
      <c r="A24" s="708">
        <f t="shared" si="0"/>
        <v>18</v>
      </c>
      <c r="B24" s="207" t="s">
        <v>872</v>
      </c>
      <c r="C24" s="43"/>
      <c r="D24" s="79"/>
      <c r="E24" s="79"/>
      <c r="F24" s="79"/>
      <c r="G24" s="79"/>
      <c r="H24" s="79"/>
      <c r="I24" s="79"/>
      <c r="J24" s="79"/>
      <c r="K24" s="79"/>
      <c r="L24" s="79"/>
      <c r="M24" s="79"/>
      <c r="N24" s="79"/>
      <c r="O24" s="79"/>
      <c r="P24" s="209">
        <v>0</v>
      </c>
      <c r="Q24" s="531"/>
    </row>
    <row r="25" spans="1:26">
      <c r="A25" s="708">
        <f t="shared" si="0"/>
        <v>19</v>
      </c>
      <c r="B25" s="43" t="s">
        <v>877</v>
      </c>
      <c r="C25" s="43" t="s">
        <v>1215</v>
      </c>
      <c r="D25" s="79"/>
      <c r="E25" s="79"/>
      <c r="F25" s="79"/>
      <c r="G25" s="79"/>
      <c r="H25" s="79"/>
      <c r="I25" s="79"/>
      <c r="J25" s="79"/>
      <c r="K25" s="79"/>
      <c r="L25" s="79"/>
      <c r="M25" s="79"/>
      <c r="N25" s="79"/>
      <c r="O25" s="79"/>
      <c r="P25" s="209">
        <v>699296</v>
      </c>
      <c r="Q25" s="531"/>
    </row>
    <row r="26" spans="1:26">
      <c r="A26" s="708">
        <f t="shared" si="0"/>
        <v>20</v>
      </c>
      <c r="B26" s="43" t="s">
        <v>929</v>
      </c>
      <c r="C26" s="43" t="s">
        <v>1216</v>
      </c>
      <c r="D26" s="79"/>
      <c r="E26" s="79"/>
      <c r="F26" s="79"/>
      <c r="G26" s="79"/>
      <c r="H26" s="79"/>
      <c r="I26" s="79"/>
      <c r="J26" s="79"/>
      <c r="K26" s="79"/>
      <c r="L26" s="79"/>
      <c r="M26" s="79"/>
      <c r="N26" s="79"/>
      <c r="O26" s="79"/>
      <c r="P26" s="209">
        <v>193979</v>
      </c>
      <c r="Q26" s="531"/>
    </row>
    <row r="27" spans="1:26">
      <c r="A27" s="708">
        <f t="shared" si="0"/>
        <v>21</v>
      </c>
      <c r="B27" s="207" t="s">
        <v>878</v>
      </c>
      <c r="C27" s="43" t="s">
        <v>1217</v>
      </c>
      <c r="D27" s="79"/>
      <c r="E27" s="79"/>
      <c r="F27" s="79"/>
      <c r="G27" s="79"/>
      <c r="H27" s="79"/>
      <c r="I27" s="79"/>
      <c r="J27" s="79"/>
      <c r="K27" s="79"/>
      <c r="L27" s="79"/>
      <c r="M27" s="79"/>
      <c r="N27" s="79"/>
      <c r="O27" s="79"/>
      <c r="P27" s="209">
        <v>0</v>
      </c>
      <c r="Q27" s="531"/>
    </row>
    <row r="28" spans="1:26">
      <c r="A28" s="708">
        <f t="shared" si="0"/>
        <v>22</v>
      </c>
      <c r="B28" s="207" t="s">
        <v>930</v>
      </c>
      <c r="C28" s="43" t="s">
        <v>1218</v>
      </c>
      <c r="D28" s="79"/>
      <c r="E28" s="79"/>
      <c r="F28" s="79"/>
      <c r="G28" s="79"/>
      <c r="H28" s="79"/>
      <c r="I28" s="79"/>
      <c r="J28" s="79"/>
      <c r="K28" s="79"/>
      <c r="L28" s="79"/>
      <c r="M28" s="79"/>
      <c r="N28" s="79"/>
      <c r="O28" s="79"/>
      <c r="P28" s="209">
        <v>0</v>
      </c>
      <c r="Q28" s="531"/>
    </row>
    <row r="29" spans="1:26" s="182" customFormat="1" ht="25.5" customHeight="1">
      <c r="A29" s="746">
        <f t="shared" si="0"/>
        <v>23</v>
      </c>
      <c r="B29" s="996" t="s">
        <v>1160</v>
      </c>
      <c r="C29" s="568" t="s">
        <v>1219</v>
      </c>
      <c r="D29" s="79"/>
      <c r="E29" s="79"/>
      <c r="F29" s="79"/>
      <c r="G29" s="79"/>
      <c r="H29" s="79"/>
      <c r="I29" s="79"/>
      <c r="J29" s="79"/>
      <c r="K29" s="79"/>
      <c r="L29" s="79"/>
      <c r="M29" s="79"/>
      <c r="N29" s="79"/>
      <c r="O29" s="79"/>
      <c r="P29" s="264">
        <v>660</v>
      </c>
      <c r="Q29" s="971"/>
      <c r="R29" s="44"/>
      <c r="S29" s="44"/>
      <c r="T29" s="44"/>
      <c r="U29" s="44"/>
      <c r="V29" s="44"/>
      <c r="W29" s="44"/>
      <c r="X29" s="44"/>
      <c r="Y29" s="44"/>
      <c r="Z29" s="44"/>
    </row>
    <row r="30" spans="1:26" ht="13.15" customHeight="1">
      <c r="A30" s="708">
        <f t="shared" si="0"/>
        <v>24</v>
      </c>
      <c r="B30" s="1054" t="s">
        <v>142</v>
      </c>
      <c r="C30" s="1171" t="str">
        <f>+"L"&amp;A23&amp;" - L"&amp;A24&amp;" + L"&amp;A25&amp;" + L"&amp;A26&amp;" - L"&amp;A27&amp;" - L"&amp;A28&amp;" + L"&amp;A29</f>
        <v>L17 - L18 + L19 + L20 - L21 - L22 + L23</v>
      </c>
      <c r="D30" s="79"/>
      <c r="E30" s="79"/>
      <c r="F30" s="79"/>
      <c r="G30" s="79"/>
      <c r="H30" s="79"/>
      <c r="I30" s="79"/>
      <c r="J30" s="79"/>
      <c r="K30" s="79"/>
      <c r="L30" s="79"/>
      <c r="M30" s="79"/>
      <c r="N30" s="79"/>
      <c r="O30" s="79"/>
      <c r="P30" s="269">
        <f>+P23-P24+P25+P26-P27-P28+P29</f>
        <v>11576688</v>
      </c>
      <c r="Q30" s="269"/>
    </row>
    <row r="31" spans="1:26">
      <c r="A31" s="708">
        <f t="shared" si="0"/>
        <v>25</v>
      </c>
      <c r="B31" s="43"/>
      <c r="C31" s="190"/>
      <c r="D31" s="79"/>
      <c r="E31" s="79"/>
      <c r="F31" s="79"/>
      <c r="G31" s="79"/>
      <c r="H31" s="79"/>
      <c r="I31" s="79"/>
      <c r="J31" s="79"/>
      <c r="K31" s="79"/>
      <c r="L31" s="79"/>
      <c r="M31" s="79"/>
      <c r="N31" s="79"/>
      <c r="O31" s="79"/>
      <c r="P31" s="79"/>
    </row>
    <row r="32" spans="1:26">
      <c r="A32" s="708">
        <f t="shared" si="0"/>
        <v>26</v>
      </c>
      <c r="B32" s="1053" t="s">
        <v>146</v>
      </c>
      <c r="C32" s="43"/>
      <c r="D32" s="79"/>
      <c r="E32" s="79"/>
      <c r="F32" s="79"/>
      <c r="G32" s="79"/>
      <c r="H32" s="79"/>
      <c r="I32" s="79"/>
      <c r="J32" s="79"/>
      <c r="K32" s="79"/>
      <c r="L32" s="79"/>
      <c r="M32" s="79"/>
      <c r="N32" s="79"/>
      <c r="O32" s="79"/>
      <c r="P32" s="79"/>
    </row>
    <row r="33" spans="1:26">
      <c r="A33" s="708">
        <f t="shared" si="0"/>
        <v>27</v>
      </c>
      <c r="B33" s="43" t="s">
        <v>876</v>
      </c>
      <c r="C33" s="43" t="s">
        <v>995</v>
      </c>
      <c r="D33" s="209">
        <v>19779800</v>
      </c>
      <c r="E33" s="209">
        <v>19779800</v>
      </c>
      <c r="F33" s="209">
        <v>19779800</v>
      </c>
      <c r="G33" s="209">
        <v>19779800</v>
      </c>
      <c r="H33" s="209">
        <v>19779800</v>
      </c>
      <c r="I33" s="209">
        <v>19779800</v>
      </c>
      <c r="J33" s="209">
        <v>19779800</v>
      </c>
      <c r="K33" s="209">
        <v>19779800</v>
      </c>
      <c r="L33" s="209">
        <v>19779800</v>
      </c>
      <c r="M33" s="209">
        <v>19779800</v>
      </c>
      <c r="N33" s="209">
        <v>19779800</v>
      </c>
      <c r="O33" s="209">
        <v>19779800</v>
      </c>
      <c r="P33" s="209">
        <v>19779800</v>
      </c>
      <c r="Q33" s="79">
        <f t="shared" ref="Q33:Q38" si="5">SUM(D33:P33)/13</f>
        <v>19779800</v>
      </c>
    </row>
    <row r="34" spans="1:26">
      <c r="A34" s="708">
        <f t="shared" si="0"/>
        <v>28</v>
      </c>
      <c r="B34" s="43" t="s">
        <v>1212</v>
      </c>
      <c r="C34" s="43" t="s">
        <v>1002</v>
      </c>
      <c r="D34" s="209">
        <v>337553</v>
      </c>
      <c r="E34" s="209">
        <v>337553</v>
      </c>
      <c r="F34" s="209">
        <v>287332.59000000003</v>
      </c>
      <c r="G34" s="209">
        <v>337553</v>
      </c>
      <c r="H34" s="209">
        <v>337553</v>
      </c>
      <c r="I34" s="209">
        <v>337553</v>
      </c>
      <c r="J34" s="209">
        <v>337553</v>
      </c>
      <c r="K34" s="209">
        <v>337553</v>
      </c>
      <c r="L34" s="209">
        <v>337553</v>
      </c>
      <c r="M34" s="209">
        <v>337553</v>
      </c>
      <c r="N34" s="209">
        <v>337553</v>
      </c>
      <c r="O34" s="209">
        <v>337553</v>
      </c>
      <c r="P34" s="209">
        <v>337553</v>
      </c>
      <c r="Q34" s="79">
        <f t="shared" si="5"/>
        <v>333689.89153846155</v>
      </c>
    </row>
    <row r="35" spans="1:26">
      <c r="A35" s="708">
        <f t="shared" si="0"/>
        <v>29</v>
      </c>
      <c r="B35" s="43" t="s">
        <v>1282</v>
      </c>
      <c r="C35" s="43" t="s">
        <v>1003</v>
      </c>
      <c r="D35" s="209">
        <v>0</v>
      </c>
      <c r="E35" s="209">
        <v>0</v>
      </c>
      <c r="F35" s="209">
        <v>0</v>
      </c>
      <c r="G35" s="209">
        <v>0</v>
      </c>
      <c r="H35" s="209">
        <v>0</v>
      </c>
      <c r="I35" s="209">
        <v>0</v>
      </c>
      <c r="J35" s="209">
        <v>0</v>
      </c>
      <c r="K35" s="209">
        <v>0</v>
      </c>
      <c r="L35" s="209">
        <v>0</v>
      </c>
      <c r="M35" s="209">
        <v>0</v>
      </c>
      <c r="N35" s="209">
        <v>0</v>
      </c>
      <c r="O35" s="209">
        <v>0</v>
      </c>
      <c r="P35" s="209">
        <v>0</v>
      </c>
      <c r="Q35" s="79">
        <f t="shared" si="5"/>
        <v>0</v>
      </c>
    </row>
    <row r="36" spans="1:26">
      <c r="A36" s="708">
        <f t="shared" si="0"/>
        <v>30</v>
      </c>
      <c r="B36" s="1379" t="s">
        <v>1283</v>
      </c>
      <c r="C36" s="43" t="s">
        <v>1004</v>
      </c>
      <c r="D36" s="209">
        <v>0</v>
      </c>
      <c r="E36" s="209">
        <v>0</v>
      </c>
      <c r="F36" s="209">
        <v>0</v>
      </c>
      <c r="G36" s="209">
        <v>0</v>
      </c>
      <c r="H36" s="209">
        <v>0</v>
      </c>
      <c r="I36" s="209">
        <v>0</v>
      </c>
      <c r="J36" s="209">
        <v>0</v>
      </c>
      <c r="K36" s="209">
        <v>0</v>
      </c>
      <c r="L36" s="209">
        <v>0</v>
      </c>
      <c r="M36" s="209">
        <v>0</v>
      </c>
      <c r="N36" s="209">
        <v>0</v>
      </c>
      <c r="O36" s="209">
        <v>0</v>
      </c>
      <c r="P36" s="209">
        <v>0</v>
      </c>
      <c r="Q36" s="79">
        <f t="shared" si="5"/>
        <v>0</v>
      </c>
    </row>
    <row r="37" spans="1:26">
      <c r="A37" s="708">
        <f t="shared" si="0"/>
        <v>31</v>
      </c>
      <c r="B37" s="1379" t="s">
        <v>1211</v>
      </c>
      <c r="C37" s="43" t="s">
        <v>1005</v>
      </c>
      <c r="D37" s="209">
        <v>113632</v>
      </c>
      <c r="E37" s="209">
        <v>113632</v>
      </c>
      <c r="F37" s="209">
        <v>113632</v>
      </c>
      <c r="G37" s="209">
        <v>113632</v>
      </c>
      <c r="H37" s="209">
        <v>113632</v>
      </c>
      <c r="I37" s="209">
        <v>113632</v>
      </c>
      <c r="J37" s="209">
        <v>113632</v>
      </c>
      <c r="K37" s="209">
        <v>113632</v>
      </c>
      <c r="L37" s="209">
        <v>113632</v>
      </c>
      <c r="M37" s="209">
        <v>113632</v>
      </c>
      <c r="N37" s="209">
        <v>113632</v>
      </c>
      <c r="O37" s="209">
        <v>113632</v>
      </c>
      <c r="P37" s="209">
        <v>113632</v>
      </c>
      <c r="Q37" s="79">
        <f t="shared" si="5"/>
        <v>113632</v>
      </c>
    </row>
    <row r="38" spans="1:26">
      <c r="A38" s="708">
        <f t="shared" si="0"/>
        <v>32</v>
      </c>
      <c r="B38" s="1379" t="s">
        <v>1284</v>
      </c>
      <c r="C38" s="43" t="s">
        <v>1006</v>
      </c>
      <c r="D38" s="264">
        <v>0</v>
      </c>
      <c r="E38" s="264">
        <v>0</v>
      </c>
      <c r="F38" s="264">
        <v>0</v>
      </c>
      <c r="G38" s="264">
        <v>0</v>
      </c>
      <c r="H38" s="264">
        <v>0</v>
      </c>
      <c r="I38" s="264">
        <v>0</v>
      </c>
      <c r="J38" s="264">
        <v>0</v>
      </c>
      <c r="K38" s="264">
        <v>0</v>
      </c>
      <c r="L38" s="264">
        <v>0</v>
      </c>
      <c r="M38" s="264">
        <v>0</v>
      </c>
      <c r="N38" s="264">
        <v>0</v>
      </c>
      <c r="O38" s="264">
        <v>0</v>
      </c>
      <c r="P38" s="264">
        <v>0</v>
      </c>
      <c r="Q38" s="569">
        <f t="shared" si="5"/>
        <v>0</v>
      </c>
    </row>
    <row r="39" spans="1:26">
      <c r="A39" s="708">
        <f t="shared" si="0"/>
        <v>33</v>
      </c>
      <c r="B39" s="1054" t="s">
        <v>147</v>
      </c>
      <c r="C39" s="968" t="str">
        <f>+"L"&amp;A33&amp;"+L"&amp;A34&amp;"+L"&amp;A35&amp;"-L"&amp;A36&amp;"-L"&amp;A37&amp;"-L"&amp;A38</f>
        <v>L27+L28+L29-L30-L31-L32</v>
      </c>
      <c r="D39" s="79">
        <f t="shared" ref="D39:Q39" si="6">+D33-D38+D34+D35-D36-D37</f>
        <v>20003721</v>
      </c>
      <c r="E39" s="79">
        <f t="shared" si="6"/>
        <v>20003721</v>
      </c>
      <c r="F39" s="79">
        <f t="shared" si="6"/>
        <v>19953500.59</v>
      </c>
      <c r="G39" s="79">
        <f t="shared" si="6"/>
        <v>20003721</v>
      </c>
      <c r="H39" s="79">
        <f t="shared" si="6"/>
        <v>20003721</v>
      </c>
      <c r="I39" s="79">
        <f t="shared" si="6"/>
        <v>20003721</v>
      </c>
      <c r="J39" s="79">
        <f t="shared" si="6"/>
        <v>20003721</v>
      </c>
      <c r="K39" s="79">
        <f t="shared" si="6"/>
        <v>20003721</v>
      </c>
      <c r="L39" s="79">
        <f t="shared" si="6"/>
        <v>20003721</v>
      </c>
      <c r="M39" s="79">
        <f t="shared" si="6"/>
        <v>20003721</v>
      </c>
      <c r="N39" s="79">
        <f t="shared" si="6"/>
        <v>20003721</v>
      </c>
      <c r="O39" s="79">
        <f t="shared" si="6"/>
        <v>20003721</v>
      </c>
      <c r="P39" s="79">
        <f t="shared" si="6"/>
        <v>20003721</v>
      </c>
      <c r="Q39" s="79">
        <f t="shared" si="6"/>
        <v>19999857.89153846</v>
      </c>
    </row>
    <row r="40" spans="1:26">
      <c r="A40" s="708">
        <f t="shared" si="0"/>
        <v>34</v>
      </c>
      <c r="B40" s="75"/>
      <c r="C40" s="75"/>
      <c r="D40" s="79"/>
      <c r="E40" s="79"/>
      <c r="F40" s="79"/>
      <c r="G40" s="79"/>
      <c r="H40" s="79"/>
      <c r="I40" s="79"/>
      <c r="J40" s="79"/>
      <c r="K40" s="79"/>
      <c r="L40" s="79"/>
      <c r="M40" s="79"/>
      <c r="N40" s="79"/>
      <c r="O40" s="79"/>
      <c r="P40" s="79"/>
      <c r="Q40" s="79"/>
    </row>
    <row r="41" spans="1:26">
      <c r="A41" s="708">
        <f t="shared" si="0"/>
        <v>35</v>
      </c>
      <c r="B41" s="45" t="s">
        <v>996</v>
      </c>
      <c r="C41" s="43" t="s">
        <v>1220</v>
      </c>
      <c r="D41" s="79"/>
      <c r="E41" s="79"/>
      <c r="F41" s="79"/>
      <c r="G41" s="79"/>
      <c r="H41" s="79"/>
      <c r="I41" s="79"/>
      <c r="J41" s="79"/>
      <c r="K41" s="79"/>
      <c r="L41" s="79"/>
      <c r="M41" s="79"/>
      <c r="N41" s="79"/>
      <c r="O41" s="79"/>
      <c r="P41" s="209">
        <v>964740</v>
      </c>
      <c r="Q41" s="79"/>
    </row>
    <row r="42" spans="1:26">
      <c r="A42" s="708">
        <f t="shared" si="0"/>
        <v>36</v>
      </c>
      <c r="B42" s="43"/>
      <c r="C42" s="43"/>
      <c r="D42" s="79"/>
      <c r="E42" s="79"/>
      <c r="F42" s="79"/>
      <c r="G42" s="79"/>
      <c r="H42" s="79"/>
      <c r="I42" s="79"/>
      <c r="J42" s="79"/>
      <c r="K42" s="79"/>
      <c r="L42" s="79"/>
      <c r="M42" s="79"/>
      <c r="N42" s="79"/>
      <c r="O42" s="79"/>
      <c r="P42" s="79"/>
      <c r="Q42" s="79"/>
    </row>
    <row r="43" spans="1:26">
      <c r="A43" s="708">
        <f t="shared" si="0"/>
        <v>37</v>
      </c>
      <c r="B43" s="970" t="s">
        <v>153</v>
      </c>
      <c r="C43" s="43"/>
      <c r="D43" s="79"/>
      <c r="E43" s="79"/>
      <c r="F43" s="79"/>
      <c r="G43" s="79"/>
      <c r="H43" s="79"/>
      <c r="I43" s="79"/>
      <c r="J43" s="79"/>
      <c r="K43" s="79"/>
      <c r="L43" s="79"/>
      <c r="M43" s="79"/>
      <c r="N43" s="79"/>
      <c r="O43" s="79"/>
      <c r="P43" s="79"/>
      <c r="Q43" s="79"/>
    </row>
    <row r="44" spans="1:26">
      <c r="A44" s="708">
        <f t="shared" si="0"/>
        <v>38</v>
      </c>
      <c r="B44" s="43" t="s">
        <v>216</v>
      </c>
      <c r="C44" s="43" t="s">
        <v>997</v>
      </c>
      <c r="D44" s="209">
        <v>226062695</v>
      </c>
      <c r="E44" s="209">
        <v>231848074</v>
      </c>
      <c r="F44" s="209">
        <v>233500856</v>
      </c>
      <c r="G44" s="209">
        <v>234115902</v>
      </c>
      <c r="H44" s="209">
        <v>235076010</v>
      </c>
      <c r="I44" s="209">
        <v>236835840</v>
      </c>
      <c r="J44" s="209">
        <v>240249002</v>
      </c>
      <c r="K44" s="209">
        <v>245674594</v>
      </c>
      <c r="L44" s="209">
        <v>248064886</v>
      </c>
      <c r="M44" s="209">
        <v>250938626</v>
      </c>
      <c r="N44" s="209">
        <v>249774396</v>
      </c>
      <c r="O44" s="209">
        <v>248677595</v>
      </c>
      <c r="P44" s="209">
        <v>247804455</v>
      </c>
      <c r="Q44" s="79">
        <f t="shared" ref="Q44:Q47" si="7">SUM(D44:P44)/13</f>
        <v>240663302.38461539</v>
      </c>
    </row>
    <row r="45" spans="1:26">
      <c r="A45" s="708">
        <f t="shared" si="0"/>
        <v>39</v>
      </c>
      <c r="B45" s="207" t="s">
        <v>785</v>
      </c>
      <c r="C45" s="43" t="str">
        <f>+"L"&amp;A39&amp;" Above"</f>
        <v>L33 Above</v>
      </c>
      <c r="D45" s="79">
        <f>D39</f>
        <v>20003721</v>
      </c>
      <c r="E45" s="79">
        <f t="shared" ref="E45:O45" si="8">E39</f>
        <v>20003721</v>
      </c>
      <c r="F45" s="79">
        <f t="shared" si="8"/>
        <v>19953500.59</v>
      </c>
      <c r="G45" s="79">
        <f t="shared" si="8"/>
        <v>20003721</v>
      </c>
      <c r="H45" s="79">
        <f t="shared" si="8"/>
        <v>20003721</v>
      </c>
      <c r="I45" s="79">
        <f t="shared" si="8"/>
        <v>20003721</v>
      </c>
      <c r="J45" s="79">
        <f t="shared" si="8"/>
        <v>20003721</v>
      </c>
      <c r="K45" s="79">
        <f t="shared" si="8"/>
        <v>20003721</v>
      </c>
      <c r="L45" s="79">
        <f t="shared" si="8"/>
        <v>20003721</v>
      </c>
      <c r="M45" s="79">
        <f t="shared" si="8"/>
        <v>20003721</v>
      </c>
      <c r="N45" s="79">
        <f t="shared" si="8"/>
        <v>20003721</v>
      </c>
      <c r="O45" s="79">
        <f t="shared" si="8"/>
        <v>20003721</v>
      </c>
      <c r="P45" s="79">
        <f>P39</f>
        <v>20003721</v>
      </c>
      <c r="Q45" s="79">
        <f t="shared" si="7"/>
        <v>19999857.891538464</v>
      </c>
    </row>
    <row r="46" spans="1:26" s="182" customFormat="1" ht="26.25" customHeight="1">
      <c r="A46" s="746">
        <f t="shared" si="0"/>
        <v>40</v>
      </c>
      <c r="B46" s="996" t="s">
        <v>931</v>
      </c>
      <c r="C46" s="568" t="s">
        <v>998</v>
      </c>
      <c r="D46" s="747">
        <v>0</v>
      </c>
      <c r="E46" s="747">
        <v>0</v>
      </c>
      <c r="F46" s="747">
        <v>0</v>
      </c>
      <c r="G46" s="747">
        <v>0</v>
      </c>
      <c r="H46" s="747">
        <v>0</v>
      </c>
      <c r="I46" s="747">
        <v>0</v>
      </c>
      <c r="J46" s="747">
        <v>0</v>
      </c>
      <c r="K46" s="747">
        <v>0</v>
      </c>
      <c r="L46" s="747">
        <v>0</v>
      </c>
      <c r="M46" s="747">
        <v>0</v>
      </c>
      <c r="N46" s="747">
        <v>0</v>
      </c>
      <c r="O46" s="747">
        <v>0</v>
      </c>
      <c r="P46" s="747">
        <v>0</v>
      </c>
      <c r="Q46" s="79">
        <f t="shared" si="7"/>
        <v>0</v>
      </c>
      <c r="R46" s="44"/>
      <c r="S46" s="44"/>
      <c r="T46" s="44"/>
      <c r="U46" s="44"/>
      <c r="V46" s="44"/>
      <c r="W46" s="44"/>
      <c r="X46" s="44"/>
      <c r="Y46" s="44"/>
      <c r="Z46" s="44"/>
    </row>
    <row r="47" spans="1:26">
      <c r="A47" s="708">
        <f t="shared" si="0"/>
        <v>41</v>
      </c>
      <c r="B47" s="207" t="s">
        <v>882</v>
      </c>
      <c r="C47" s="43" t="s">
        <v>999</v>
      </c>
      <c r="D47" s="209">
        <v>0</v>
      </c>
      <c r="E47" s="209">
        <v>0</v>
      </c>
      <c r="F47" s="209">
        <v>0</v>
      </c>
      <c r="G47" s="209">
        <v>0</v>
      </c>
      <c r="H47" s="209">
        <v>0</v>
      </c>
      <c r="I47" s="209">
        <v>0</v>
      </c>
      <c r="J47" s="209">
        <v>0</v>
      </c>
      <c r="K47" s="209">
        <v>0</v>
      </c>
      <c r="L47" s="209">
        <v>0</v>
      </c>
      <c r="M47" s="209">
        <v>0</v>
      </c>
      <c r="N47" s="209">
        <v>0</v>
      </c>
      <c r="O47" s="209">
        <v>0</v>
      </c>
      <c r="P47" s="209">
        <v>0</v>
      </c>
      <c r="Q47" s="79">
        <f t="shared" si="7"/>
        <v>0</v>
      </c>
    </row>
    <row r="48" spans="1:26">
      <c r="A48" s="708">
        <f t="shared" si="0"/>
        <v>42</v>
      </c>
      <c r="B48" s="1054" t="s">
        <v>144</v>
      </c>
      <c r="C48" s="968" t="str">
        <f>+"L"&amp;A44&amp;" - (L"&amp;A45&amp;" to L"&amp;A47&amp;")"</f>
        <v>L38 - (L39 to L41)</v>
      </c>
      <c r="D48" s="969">
        <f>+D44-D45-D46-D47</f>
        <v>206058974</v>
      </c>
      <c r="E48" s="969">
        <f t="shared" ref="E48:Q48" si="9">+E44-E45-E46-E47</f>
        <v>211844353</v>
      </c>
      <c r="F48" s="969">
        <f t="shared" si="9"/>
        <v>213547355.41</v>
      </c>
      <c r="G48" s="969">
        <f t="shared" si="9"/>
        <v>214112181</v>
      </c>
      <c r="H48" s="969">
        <f t="shared" si="9"/>
        <v>215072289</v>
      </c>
      <c r="I48" s="969">
        <f t="shared" si="9"/>
        <v>216832119</v>
      </c>
      <c r="J48" s="969">
        <f t="shared" si="9"/>
        <v>220245281</v>
      </c>
      <c r="K48" s="969">
        <f t="shared" si="9"/>
        <v>225670873</v>
      </c>
      <c r="L48" s="969">
        <f t="shared" si="9"/>
        <v>228061165</v>
      </c>
      <c r="M48" s="969">
        <f t="shared" si="9"/>
        <v>230934905</v>
      </c>
      <c r="N48" s="969">
        <f t="shared" si="9"/>
        <v>229770675</v>
      </c>
      <c r="O48" s="969">
        <f t="shared" si="9"/>
        <v>228673874</v>
      </c>
      <c r="P48" s="969">
        <f t="shared" si="9"/>
        <v>227800734</v>
      </c>
      <c r="Q48" s="969">
        <f t="shared" si="9"/>
        <v>220663444.49307692</v>
      </c>
    </row>
    <row r="49" spans="1:26" s="743" customFormat="1">
      <c r="A49" s="742"/>
      <c r="B49" s="1004"/>
      <c r="C49" s="1004"/>
      <c r="D49" s="745"/>
      <c r="E49" s="745"/>
      <c r="F49" s="745"/>
      <c r="G49" s="745"/>
      <c r="H49" s="745"/>
      <c r="I49" s="745"/>
      <c r="J49" s="745"/>
      <c r="K49" s="745"/>
      <c r="L49" s="745"/>
      <c r="M49" s="745"/>
      <c r="N49" s="745"/>
      <c r="O49" s="745"/>
      <c r="P49" s="745"/>
      <c r="Q49" s="745"/>
      <c r="R49" s="44"/>
      <c r="S49" s="44"/>
      <c r="T49" s="44"/>
      <c r="U49" s="44"/>
      <c r="V49" s="44"/>
      <c r="W49" s="44"/>
      <c r="X49" s="44"/>
      <c r="Y49" s="44"/>
      <c r="Z49" s="44"/>
    </row>
    <row r="50" spans="1:26">
      <c r="A50" s="708" t="s">
        <v>225</v>
      </c>
      <c r="B50" s="43"/>
      <c r="C50" s="43"/>
      <c r="D50" s="79"/>
      <c r="E50" s="79"/>
      <c r="F50" s="79"/>
      <c r="G50" s="79"/>
      <c r="H50" s="79"/>
      <c r="I50" s="79"/>
      <c r="J50" s="79"/>
      <c r="K50" s="79"/>
      <c r="L50" s="79"/>
      <c r="M50" s="79"/>
      <c r="N50" s="79"/>
      <c r="O50" s="79"/>
      <c r="P50" s="256"/>
      <c r="Q50" s="79"/>
    </row>
    <row r="51" spans="1:26">
      <c r="A51" s="974" t="s">
        <v>271</v>
      </c>
      <c r="B51" s="568" t="s">
        <v>858</v>
      </c>
      <c r="C51" s="568"/>
      <c r="D51" s="568"/>
      <c r="E51" s="568"/>
      <c r="F51" s="568"/>
      <c r="G51" s="568"/>
      <c r="H51" s="568"/>
      <c r="I51" s="568"/>
      <c r="J51" s="568"/>
      <c r="K51" s="568"/>
      <c r="L51" s="568"/>
      <c r="M51" s="568"/>
      <c r="N51" s="568"/>
      <c r="O51" s="568"/>
      <c r="P51" s="568"/>
      <c r="Q51" s="973"/>
    </row>
    <row r="52" spans="1:26" s="43" customFormat="1">
      <c r="A52" s="974" t="s">
        <v>615</v>
      </c>
      <c r="B52" s="568" t="s">
        <v>1179</v>
      </c>
      <c r="C52" s="568"/>
      <c r="D52" s="568"/>
      <c r="E52" s="568"/>
      <c r="F52" s="568"/>
      <c r="G52" s="568"/>
      <c r="H52" s="568"/>
      <c r="I52" s="568"/>
      <c r="J52" s="568"/>
      <c r="K52" s="568"/>
      <c r="L52" s="568"/>
      <c r="M52" s="568"/>
      <c r="N52" s="568"/>
      <c r="O52" s="568"/>
      <c r="P52" s="568"/>
      <c r="Q52" s="973"/>
      <c r="R52" s="973"/>
      <c r="S52" s="973"/>
      <c r="T52" s="973"/>
    </row>
    <row r="53" spans="1:26" s="43" customFormat="1">
      <c r="A53" s="974" t="s">
        <v>616</v>
      </c>
      <c r="B53" s="568" t="s">
        <v>1161</v>
      </c>
      <c r="C53" s="568"/>
      <c r="D53" s="568"/>
      <c r="E53" s="568"/>
      <c r="F53" s="568"/>
      <c r="G53" s="568"/>
      <c r="H53" s="568"/>
      <c r="I53" s="568"/>
      <c r="J53" s="568"/>
      <c r="K53" s="568"/>
      <c r="L53" s="568"/>
      <c r="M53" s="568"/>
      <c r="N53" s="568"/>
      <c r="O53" s="568"/>
      <c r="P53" s="568"/>
      <c r="Q53" s="973"/>
    </row>
    <row r="54" spans="1:26" s="43" customFormat="1">
      <c r="A54" s="1212" t="s">
        <v>617</v>
      </c>
      <c r="B54" s="43" t="s">
        <v>1278</v>
      </c>
      <c r="D54" s="227"/>
      <c r="E54" s="227"/>
      <c r="F54" s="227"/>
      <c r="G54" s="227"/>
      <c r="H54" s="227"/>
      <c r="I54" s="227"/>
      <c r="J54" s="227"/>
      <c r="K54" s="227"/>
      <c r="L54" s="227"/>
      <c r="M54" s="227"/>
      <c r="N54" s="227"/>
      <c r="O54" s="227"/>
      <c r="Q54" s="79"/>
    </row>
    <row r="55" spans="1:26" s="43" customFormat="1" ht="15">
      <c r="A55" s="1379"/>
      <c r="B55" s="1401"/>
      <c r="C55" s="1401"/>
      <c r="D55" s="1402"/>
      <c r="E55" s="937"/>
      <c r="F55" s="227"/>
      <c r="G55" s="227"/>
      <c r="H55" s="227"/>
      <c r="I55" s="227"/>
      <c r="J55" s="227"/>
      <c r="K55" s="227"/>
      <c r="L55" s="227"/>
      <c r="M55" s="227"/>
      <c r="N55" s="227"/>
      <c r="O55" s="227"/>
      <c r="Q55" s="79"/>
    </row>
    <row r="56" spans="1:26" s="43" customFormat="1">
      <c r="A56" s="1379"/>
      <c r="B56" s="938"/>
      <c r="C56" s="872"/>
      <c r="D56" s="79"/>
      <c r="E56" s="79"/>
      <c r="Q56" s="79"/>
    </row>
    <row r="57" spans="1:26" s="43" customFormat="1">
      <c r="A57" s="1379"/>
      <c r="B57" s="938"/>
      <c r="C57" s="872"/>
      <c r="D57" s="79"/>
      <c r="E57" s="79"/>
      <c r="Q57" s="79"/>
    </row>
  </sheetData>
  <mergeCells count="3">
    <mergeCell ref="A1:C1"/>
    <mergeCell ref="A2:C2"/>
    <mergeCell ref="A3:C3"/>
  </mergeCells>
  <phoneticPr fontId="64" type="noConversion"/>
  <pageMargins left="0.7" right="0.7" top="0.7" bottom="0.7" header="0.3" footer="0.5"/>
  <pageSetup scale="66" orientation="landscape" r:id="rId1"/>
  <headerFooter>
    <oddFooter>&amp;CPage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20"/>
  <sheetViews>
    <sheetView workbookViewId="0">
      <selection sqref="A1:G20"/>
    </sheetView>
  </sheetViews>
  <sheetFormatPr defaultColWidth="9.140625" defaultRowHeight="12.75"/>
  <cols>
    <col min="1" max="1" width="5.28515625" style="696" customWidth="1"/>
    <col min="2" max="2" width="48.28515625" style="189" bestFit="1" customWidth="1"/>
    <col min="3" max="3" width="11.5703125" style="189" customWidth="1"/>
    <col min="4" max="4" width="17.28515625" style="189" bestFit="1" customWidth="1"/>
    <col min="5" max="5" width="13.7109375" style="189" bestFit="1" customWidth="1"/>
    <col min="6" max="7" width="14.140625" style="189" bestFit="1" customWidth="1"/>
    <col min="8" max="249" width="9.140625" style="189"/>
    <col min="250" max="250" width="24.85546875" style="189" customWidth="1"/>
    <col min="251" max="256" width="17.85546875" style="189" customWidth="1"/>
    <col min="257" max="257" width="15.5703125" style="189" bestFit="1" customWidth="1"/>
    <col min="258" max="258" width="8.7109375" style="189" customWidth="1"/>
    <col min="259" max="259" width="14.5703125" style="189" bestFit="1" customWidth="1"/>
    <col min="260" max="505" width="9.140625" style="189"/>
    <col min="506" max="506" width="24.85546875" style="189" customWidth="1"/>
    <col min="507" max="512" width="17.85546875" style="189" customWidth="1"/>
    <col min="513" max="513" width="15.5703125" style="189" bestFit="1" customWidth="1"/>
    <col min="514" max="514" width="8.7109375" style="189" customWidth="1"/>
    <col min="515" max="515" width="14.5703125" style="189" bestFit="1" customWidth="1"/>
    <col min="516" max="761" width="9.140625" style="189"/>
    <col min="762" max="762" width="24.85546875" style="189" customWidth="1"/>
    <col min="763" max="768" width="17.85546875" style="189" customWidth="1"/>
    <col min="769" max="769" width="15.5703125" style="189" bestFit="1" customWidth="1"/>
    <col min="770" max="770" width="8.7109375" style="189" customWidth="1"/>
    <col min="771" max="771" width="14.5703125" style="189" bestFit="1" customWidth="1"/>
    <col min="772" max="1017" width="9.140625" style="189"/>
    <col min="1018" max="1018" width="24.85546875" style="189" customWidth="1"/>
    <col min="1019" max="1024" width="17.85546875" style="189" customWidth="1"/>
    <col min="1025" max="1025" width="15.5703125" style="189" bestFit="1" customWidth="1"/>
    <col min="1026" max="1026" width="8.7109375" style="189" customWidth="1"/>
    <col min="1027" max="1027" width="14.5703125" style="189" bestFit="1" customWidth="1"/>
    <col min="1028" max="1273" width="9.140625" style="189"/>
    <col min="1274" max="1274" width="24.85546875" style="189" customWidth="1"/>
    <col min="1275" max="1280" width="17.85546875" style="189" customWidth="1"/>
    <col min="1281" max="1281" width="15.5703125" style="189" bestFit="1" customWidth="1"/>
    <col min="1282" max="1282" width="8.7109375" style="189" customWidth="1"/>
    <col min="1283" max="1283" width="14.5703125" style="189" bestFit="1" customWidth="1"/>
    <col min="1284" max="1529" width="9.140625" style="189"/>
    <col min="1530" max="1530" width="24.85546875" style="189" customWidth="1"/>
    <col min="1531" max="1536" width="17.85546875" style="189" customWidth="1"/>
    <col min="1537" max="1537" width="15.5703125" style="189" bestFit="1" customWidth="1"/>
    <col min="1538" max="1538" width="8.7109375" style="189" customWidth="1"/>
    <col min="1539" max="1539" width="14.5703125" style="189" bestFit="1" customWidth="1"/>
    <col min="1540" max="1785" width="9.140625" style="189"/>
    <col min="1786" max="1786" width="24.85546875" style="189" customWidth="1"/>
    <col min="1787" max="1792" width="17.85546875" style="189" customWidth="1"/>
    <col min="1793" max="1793" width="15.5703125" style="189" bestFit="1" customWidth="1"/>
    <col min="1794" max="1794" width="8.7109375" style="189" customWidth="1"/>
    <col min="1795" max="1795" width="14.5703125" style="189" bestFit="1" customWidth="1"/>
    <col min="1796" max="2041" width="9.140625" style="189"/>
    <col min="2042" max="2042" width="24.85546875" style="189" customWidth="1"/>
    <col min="2043" max="2048" width="17.85546875" style="189" customWidth="1"/>
    <col min="2049" max="2049" width="15.5703125" style="189" bestFit="1" customWidth="1"/>
    <col min="2050" max="2050" width="8.7109375" style="189" customWidth="1"/>
    <col min="2051" max="2051" width="14.5703125" style="189" bestFit="1" customWidth="1"/>
    <col min="2052" max="2297" width="9.140625" style="189"/>
    <col min="2298" max="2298" width="24.85546875" style="189" customWidth="1"/>
    <col min="2299" max="2304" width="17.85546875" style="189" customWidth="1"/>
    <col min="2305" max="2305" width="15.5703125" style="189" bestFit="1" customWidth="1"/>
    <col min="2306" max="2306" width="8.7109375" style="189" customWidth="1"/>
    <col min="2307" max="2307" width="14.5703125" style="189" bestFit="1" customWidth="1"/>
    <col min="2308" max="2553" width="9.140625" style="189"/>
    <col min="2554" max="2554" width="24.85546875" style="189" customWidth="1"/>
    <col min="2555" max="2560" width="17.85546875" style="189" customWidth="1"/>
    <col min="2561" max="2561" width="15.5703125" style="189" bestFit="1" customWidth="1"/>
    <col min="2562" max="2562" width="8.7109375" style="189" customWidth="1"/>
    <col min="2563" max="2563" width="14.5703125" style="189" bestFit="1" customWidth="1"/>
    <col min="2564" max="2809" width="9.140625" style="189"/>
    <col min="2810" max="2810" width="24.85546875" style="189" customWidth="1"/>
    <col min="2811" max="2816" width="17.85546875" style="189" customWidth="1"/>
    <col min="2817" max="2817" width="15.5703125" style="189" bestFit="1" customWidth="1"/>
    <col min="2818" max="2818" width="8.7109375" style="189" customWidth="1"/>
    <col min="2819" max="2819" width="14.5703125" style="189" bestFit="1" customWidth="1"/>
    <col min="2820" max="3065" width="9.140625" style="189"/>
    <col min="3066" max="3066" width="24.85546875" style="189" customWidth="1"/>
    <col min="3067" max="3072" width="17.85546875" style="189" customWidth="1"/>
    <col min="3073" max="3073" width="15.5703125" style="189" bestFit="1" customWidth="1"/>
    <col min="3074" max="3074" width="8.7109375" style="189" customWidth="1"/>
    <col min="3075" max="3075" width="14.5703125" style="189" bestFit="1" customWidth="1"/>
    <col min="3076" max="3321" width="9.140625" style="189"/>
    <col min="3322" max="3322" width="24.85546875" style="189" customWidth="1"/>
    <col min="3323" max="3328" width="17.85546875" style="189" customWidth="1"/>
    <col min="3329" max="3329" width="15.5703125" style="189" bestFit="1" customWidth="1"/>
    <col min="3330" max="3330" width="8.7109375" style="189" customWidth="1"/>
    <col min="3331" max="3331" width="14.5703125" style="189" bestFit="1" customWidth="1"/>
    <col min="3332" max="3577" width="9.140625" style="189"/>
    <col min="3578" max="3578" width="24.85546875" style="189" customWidth="1"/>
    <col min="3579" max="3584" width="17.85546875" style="189" customWidth="1"/>
    <col min="3585" max="3585" width="15.5703125" style="189" bestFit="1" customWidth="1"/>
    <col min="3586" max="3586" width="8.7109375" style="189" customWidth="1"/>
    <col min="3587" max="3587" width="14.5703125" style="189" bestFit="1" customWidth="1"/>
    <col min="3588" max="3833" width="9.140625" style="189"/>
    <col min="3834" max="3834" width="24.85546875" style="189" customWidth="1"/>
    <col min="3835" max="3840" width="17.85546875" style="189" customWidth="1"/>
    <col min="3841" max="3841" width="15.5703125" style="189" bestFit="1" customWidth="1"/>
    <col min="3842" max="3842" width="8.7109375" style="189" customWidth="1"/>
    <col min="3843" max="3843" width="14.5703125" style="189" bestFit="1" customWidth="1"/>
    <col min="3844" max="4089" width="9.140625" style="189"/>
    <col min="4090" max="4090" width="24.85546875" style="189" customWidth="1"/>
    <col min="4091" max="4096" width="17.85546875" style="189" customWidth="1"/>
    <col min="4097" max="4097" width="15.5703125" style="189" bestFit="1" customWidth="1"/>
    <col min="4098" max="4098" width="8.7109375" style="189" customWidth="1"/>
    <col min="4099" max="4099" width="14.5703125" style="189" bestFit="1" customWidth="1"/>
    <col min="4100" max="4345" width="9.140625" style="189"/>
    <col min="4346" max="4346" width="24.85546875" style="189" customWidth="1"/>
    <col min="4347" max="4352" width="17.85546875" style="189" customWidth="1"/>
    <col min="4353" max="4353" width="15.5703125" style="189" bestFit="1" customWidth="1"/>
    <col min="4354" max="4354" width="8.7109375" style="189" customWidth="1"/>
    <col min="4355" max="4355" width="14.5703125" style="189" bestFit="1" customWidth="1"/>
    <col min="4356" max="4601" width="9.140625" style="189"/>
    <col min="4602" max="4602" width="24.85546875" style="189" customWidth="1"/>
    <col min="4603" max="4608" width="17.85546875" style="189" customWidth="1"/>
    <col min="4609" max="4609" width="15.5703125" style="189" bestFit="1" customWidth="1"/>
    <col min="4610" max="4610" width="8.7109375" style="189" customWidth="1"/>
    <col min="4611" max="4611" width="14.5703125" style="189" bestFit="1" customWidth="1"/>
    <col min="4612" max="4857" width="9.140625" style="189"/>
    <col min="4858" max="4858" width="24.85546875" style="189" customWidth="1"/>
    <col min="4859" max="4864" width="17.85546875" style="189" customWidth="1"/>
    <col min="4865" max="4865" width="15.5703125" style="189" bestFit="1" customWidth="1"/>
    <col min="4866" max="4866" width="8.7109375" style="189" customWidth="1"/>
    <col min="4867" max="4867" width="14.5703125" style="189" bestFit="1" customWidth="1"/>
    <col min="4868" max="5113" width="9.140625" style="189"/>
    <col min="5114" max="5114" width="24.85546875" style="189" customWidth="1"/>
    <col min="5115" max="5120" width="17.85546875" style="189" customWidth="1"/>
    <col min="5121" max="5121" width="15.5703125" style="189" bestFit="1" customWidth="1"/>
    <col min="5122" max="5122" width="8.7109375" style="189" customWidth="1"/>
    <col min="5123" max="5123" width="14.5703125" style="189" bestFit="1" customWidth="1"/>
    <col min="5124" max="5369" width="9.140625" style="189"/>
    <col min="5370" max="5370" width="24.85546875" style="189" customWidth="1"/>
    <col min="5371" max="5376" width="17.85546875" style="189" customWidth="1"/>
    <col min="5377" max="5377" width="15.5703125" style="189" bestFit="1" customWidth="1"/>
    <col min="5378" max="5378" width="8.7109375" style="189" customWidth="1"/>
    <col min="5379" max="5379" width="14.5703125" style="189" bestFit="1" customWidth="1"/>
    <col min="5380" max="5625" width="9.140625" style="189"/>
    <col min="5626" max="5626" width="24.85546875" style="189" customWidth="1"/>
    <col min="5627" max="5632" width="17.85546875" style="189" customWidth="1"/>
    <col min="5633" max="5633" width="15.5703125" style="189" bestFit="1" customWidth="1"/>
    <col min="5634" max="5634" width="8.7109375" style="189" customWidth="1"/>
    <col min="5635" max="5635" width="14.5703125" style="189" bestFit="1" customWidth="1"/>
    <col min="5636" max="5881" width="9.140625" style="189"/>
    <col min="5882" max="5882" width="24.85546875" style="189" customWidth="1"/>
    <col min="5883" max="5888" width="17.85546875" style="189" customWidth="1"/>
    <col min="5889" max="5889" width="15.5703125" style="189" bestFit="1" customWidth="1"/>
    <col min="5890" max="5890" width="8.7109375" style="189" customWidth="1"/>
    <col min="5891" max="5891" width="14.5703125" style="189" bestFit="1" customWidth="1"/>
    <col min="5892" max="6137" width="9.140625" style="189"/>
    <col min="6138" max="6138" width="24.85546875" style="189" customWidth="1"/>
    <col min="6139" max="6144" width="17.85546875" style="189" customWidth="1"/>
    <col min="6145" max="6145" width="15.5703125" style="189" bestFit="1" customWidth="1"/>
    <col min="6146" max="6146" width="8.7109375" style="189" customWidth="1"/>
    <col min="6147" max="6147" width="14.5703125" style="189" bestFit="1" customWidth="1"/>
    <col min="6148" max="6393" width="9.140625" style="189"/>
    <col min="6394" max="6394" width="24.85546875" style="189" customWidth="1"/>
    <col min="6395" max="6400" width="17.85546875" style="189" customWidth="1"/>
    <col min="6401" max="6401" width="15.5703125" style="189" bestFit="1" customWidth="1"/>
    <col min="6402" max="6402" width="8.7109375" style="189" customWidth="1"/>
    <col min="6403" max="6403" width="14.5703125" style="189" bestFit="1" customWidth="1"/>
    <col min="6404" max="6649" width="9.140625" style="189"/>
    <col min="6650" max="6650" width="24.85546875" style="189" customWidth="1"/>
    <col min="6651" max="6656" width="17.85546875" style="189" customWidth="1"/>
    <col min="6657" max="6657" width="15.5703125" style="189" bestFit="1" customWidth="1"/>
    <col min="6658" max="6658" width="8.7109375" style="189" customWidth="1"/>
    <col min="6659" max="6659" width="14.5703125" style="189" bestFit="1" customWidth="1"/>
    <col min="6660" max="6905" width="9.140625" style="189"/>
    <col min="6906" max="6906" width="24.85546875" style="189" customWidth="1"/>
    <col min="6907" max="6912" width="17.85546875" style="189" customWidth="1"/>
    <col min="6913" max="6913" width="15.5703125" style="189" bestFit="1" customWidth="1"/>
    <col min="6914" max="6914" width="8.7109375" style="189" customWidth="1"/>
    <col min="6915" max="6915" width="14.5703125" style="189" bestFit="1" customWidth="1"/>
    <col min="6916" max="7161" width="9.140625" style="189"/>
    <col min="7162" max="7162" width="24.85546875" style="189" customWidth="1"/>
    <col min="7163" max="7168" width="17.85546875" style="189" customWidth="1"/>
    <col min="7169" max="7169" width="15.5703125" style="189" bestFit="1" customWidth="1"/>
    <col min="7170" max="7170" width="8.7109375" style="189" customWidth="1"/>
    <col min="7171" max="7171" width="14.5703125" style="189" bestFit="1" customWidth="1"/>
    <col min="7172" max="7417" width="9.140625" style="189"/>
    <col min="7418" max="7418" width="24.85546875" style="189" customWidth="1"/>
    <col min="7419" max="7424" width="17.85546875" style="189" customWidth="1"/>
    <col min="7425" max="7425" width="15.5703125" style="189" bestFit="1" customWidth="1"/>
    <col min="7426" max="7426" width="8.7109375" style="189" customWidth="1"/>
    <col min="7427" max="7427" width="14.5703125" style="189" bestFit="1" customWidth="1"/>
    <col min="7428" max="7673" width="9.140625" style="189"/>
    <col min="7674" max="7674" width="24.85546875" style="189" customWidth="1"/>
    <col min="7675" max="7680" width="17.85546875" style="189" customWidth="1"/>
    <col min="7681" max="7681" width="15.5703125" style="189" bestFit="1" customWidth="1"/>
    <col min="7682" max="7682" width="8.7109375" style="189" customWidth="1"/>
    <col min="7683" max="7683" width="14.5703125" style="189" bestFit="1" customWidth="1"/>
    <col min="7684" max="7929" width="9.140625" style="189"/>
    <col min="7930" max="7930" width="24.85546875" style="189" customWidth="1"/>
    <col min="7931" max="7936" width="17.85546875" style="189" customWidth="1"/>
    <col min="7937" max="7937" width="15.5703125" style="189" bestFit="1" customWidth="1"/>
    <col min="7938" max="7938" width="8.7109375" style="189" customWidth="1"/>
    <col min="7939" max="7939" width="14.5703125" style="189" bestFit="1" customWidth="1"/>
    <col min="7940" max="8185" width="9.140625" style="189"/>
    <col min="8186" max="8186" width="24.85546875" style="189" customWidth="1"/>
    <col min="8187" max="8192" width="17.85546875" style="189" customWidth="1"/>
    <col min="8193" max="8193" width="15.5703125" style="189" bestFit="1" customWidth="1"/>
    <col min="8194" max="8194" width="8.7109375" style="189" customWidth="1"/>
    <col min="8195" max="8195" width="14.5703125" style="189" bestFit="1" customWidth="1"/>
    <col min="8196" max="8441" width="9.140625" style="189"/>
    <col min="8442" max="8442" width="24.85546875" style="189" customWidth="1"/>
    <col min="8443" max="8448" width="17.85546875" style="189" customWidth="1"/>
    <col min="8449" max="8449" width="15.5703125" style="189" bestFit="1" customWidth="1"/>
    <col min="8450" max="8450" width="8.7109375" style="189" customWidth="1"/>
    <col min="8451" max="8451" width="14.5703125" style="189" bestFit="1" customWidth="1"/>
    <col min="8452" max="8697" width="9.140625" style="189"/>
    <col min="8698" max="8698" width="24.85546875" style="189" customWidth="1"/>
    <col min="8699" max="8704" width="17.85546875" style="189" customWidth="1"/>
    <col min="8705" max="8705" width="15.5703125" style="189" bestFit="1" customWidth="1"/>
    <col min="8706" max="8706" width="8.7109375" style="189" customWidth="1"/>
    <col min="8707" max="8707" width="14.5703125" style="189" bestFit="1" customWidth="1"/>
    <col min="8708" max="8953" width="9.140625" style="189"/>
    <col min="8954" max="8954" width="24.85546875" style="189" customWidth="1"/>
    <col min="8955" max="8960" width="17.85546875" style="189" customWidth="1"/>
    <col min="8961" max="8961" width="15.5703125" style="189" bestFit="1" customWidth="1"/>
    <col min="8962" max="8962" width="8.7109375" style="189" customWidth="1"/>
    <col min="8963" max="8963" width="14.5703125" style="189" bestFit="1" customWidth="1"/>
    <col min="8964" max="9209" width="9.140625" style="189"/>
    <col min="9210" max="9210" width="24.85546875" style="189" customWidth="1"/>
    <col min="9211" max="9216" width="17.85546875" style="189" customWidth="1"/>
    <col min="9217" max="9217" width="15.5703125" style="189" bestFit="1" customWidth="1"/>
    <col min="9218" max="9218" width="8.7109375" style="189" customWidth="1"/>
    <col min="9219" max="9219" width="14.5703125" style="189" bestFit="1" customWidth="1"/>
    <col min="9220" max="9465" width="9.140625" style="189"/>
    <col min="9466" max="9466" width="24.85546875" style="189" customWidth="1"/>
    <col min="9467" max="9472" width="17.85546875" style="189" customWidth="1"/>
    <col min="9473" max="9473" width="15.5703125" style="189" bestFit="1" customWidth="1"/>
    <col min="9474" max="9474" width="8.7109375" style="189" customWidth="1"/>
    <col min="9475" max="9475" width="14.5703125" style="189" bestFit="1" customWidth="1"/>
    <col min="9476" max="9721" width="9.140625" style="189"/>
    <col min="9722" max="9722" width="24.85546875" style="189" customWidth="1"/>
    <col min="9723" max="9728" width="17.85546875" style="189" customWidth="1"/>
    <col min="9729" max="9729" width="15.5703125" style="189" bestFit="1" customWidth="1"/>
    <col min="9730" max="9730" width="8.7109375" style="189" customWidth="1"/>
    <col min="9731" max="9731" width="14.5703125" style="189" bestFit="1" customWidth="1"/>
    <col min="9732" max="9977" width="9.140625" style="189"/>
    <col min="9978" max="9978" width="24.85546875" style="189" customWidth="1"/>
    <col min="9979" max="9984" width="17.85546875" style="189" customWidth="1"/>
    <col min="9985" max="9985" width="15.5703125" style="189" bestFit="1" customWidth="1"/>
    <col min="9986" max="9986" width="8.7109375" style="189" customWidth="1"/>
    <col min="9987" max="9987" width="14.5703125" style="189" bestFit="1" customWidth="1"/>
    <col min="9988" max="10233" width="9.140625" style="189"/>
    <col min="10234" max="10234" width="24.85546875" style="189" customWidth="1"/>
    <col min="10235" max="10240" width="17.85546875" style="189" customWidth="1"/>
    <col min="10241" max="10241" width="15.5703125" style="189" bestFit="1" customWidth="1"/>
    <col min="10242" max="10242" width="8.7109375" style="189" customWidth="1"/>
    <col min="10243" max="10243" width="14.5703125" style="189" bestFit="1" customWidth="1"/>
    <col min="10244" max="10489" width="9.140625" style="189"/>
    <col min="10490" max="10490" width="24.85546875" style="189" customWidth="1"/>
    <col min="10491" max="10496" width="17.85546875" style="189" customWidth="1"/>
    <col min="10497" max="10497" width="15.5703125" style="189" bestFit="1" customWidth="1"/>
    <col min="10498" max="10498" width="8.7109375" style="189" customWidth="1"/>
    <col min="10499" max="10499" width="14.5703125" style="189" bestFit="1" customWidth="1"/>
    <col min="10500" max="10745" width="9.140625" style="189"/>
    <col min="10746" max="10746" width="24.85546875" style="189" customWidth="1"/>
    <col min="10747" max="10752" width="17.85546875" style="189" customWidth="1"/>
    <col min="10753" max="10753" width="15.5703125" style="189" bestFit="1" customWidth="1"/>
    <col min="10754" max="10754" width="8.7109375" style="189" customWidth="1"/>
    <col min="10755" max="10755" width="14.5703125" style="189" bestFit="1" customWidth="1"/>
    <col min="10756" max="11001" width="9.140625" style="189"/>
    <col min="11002" max="11002" width="24.85546875" style="189" customWidth="1"/>
    <col min="11003" max="11008" width="17.85546875" style="189" customWidth="1"/>
    <col min="11009" max="11009" width="15.5703125" style="189" bestFit="1" customWidth="1"/>
    <col min="11010" max="11010" width="8.7109375" style="189" customWidth="1"/>
    <col min="11011" max="11011" width="14.5703125" style="189" bestFit="1" customWidth="1"/>
    <col min="11012" max="11257" width="9.140625" style="189"/>
    <col min="11258" max="11258" width="24.85546875" style="189" customWidth="1"/>
    <col min="11259" max="11264" width="17.85546875" style="189" customWidth="1"/>
    <col min="11265" max="11265" width="15.5703125" style="189" bestFit="1" customWidth="1"/>
    <col min="11266" max="11266" width="8.7109375" style="189" customWidth="1"/>
    <col min="11267" max="11267" width="14.5703125" style="189" bestFit="1" customWidth="1"/>
    <col min="11268" max="11513" width="9.140625" style="189"/>
    <col min="11514" max="11514" width="24.85546875" style="189" customWidth="1"/>
    <col min="11515" max="11520" width="17.85546875" style="189" customWidth="1"/>
    <col min="11521" max="11521" width="15.5703125" style="189" bestFit="1" customWidth="1"/>
    <col min="11522" max="11522" width="8.7109375" style="189" customWidth="1"/>
    <col min="11523" max="11523" width="14.5703125" style="189" bestFit="1" customWidth="1"/>
    <col min="11524" max="11769" width="9.140625" style="189"/>
    <col min="11770" max="11770" width="24.85546875" style="189" customWidth="1"/>
    <col min="11771" max="11776" width="17.85546875" style="189" customWidth="1"/>
    <col min="11777" max="11777" width="15.5703125" style="189" bestFit="1" customWidth="1"/>
    <col min="11778" max="11778" width="8.7109375" style="189" customWidth="1"/>
    <col min="11779" max="11779" width="14.5703125" style="189" bestFit="1" customWidth="1"/>
    <col min="11780" max="12025" width="9.140625" style="189"/>
    <col min="12026" max="12026" width="24.85546875" style="189" customWidth="1"/>
    <col min="12027" max="12032" width="17.85546875" style="189" customWidth="1"/>
    <col min="12033" max="12033" width="15.5703125" style="189" bestFit="1" customWidth="1"/>
    <col min="12034" max="12034" width="8.7109375" style="189" customWidth="1"/>
    <col min="12035" max="12035" width="14.5703125" style="189" bestFit="1" customWidth="1"/>
    <col min="12036" max="12281" width="9.140625" style="189"/>
    <col min="12282" max="12282" width="24.85546875" style="189" customWidth="1"/>
    <col min="12283" max="12288" width="17.85546875" style="189" customWidth="1"/>
    <col min="12289" max="12289" width="15.5703125" style="189" bestFit="1" customWidth="1"/>
    <col min="12290" max="12290" width="8.7109375" style="189" customWidth="1"/>
    <col min="12291" max="12291" width="14.5703125" style="189" bestFit="1" customWidth="1"/>
    <col min="12292" max="12537" width="9.140625" style="189"/>
    <col min="12538" max="12538" width="24.85546875" style="189" customWidth="1"/>
    <col min="12539" max="12544" width="17.85546875" style="189" customWidth="1"/>
    <col min="12545" max="12545" width="15.5703125" style="189" bestFit="1" customWidth="1"/>
    <col min="12546" max="12546" width="8.7109375" style="189" customWidth="1"/>
    <col min="12547" max="12547" width="14.5703125" style="189" bestFit="1" customWidth="1"/>
    <col min="12548" max="12793" width="9.140625" style="189"/>
    <col min="12794" max="12794" width="24.85546875" style="189" customWidth="1"/>
    <col min="12795" max="12800" width="17.85546875" style="189" customWidth="1"/>
    <col min="12801" max="12801" width="15.5703125" style="189" bestFit="1" customWidth="1"/>
    <col min="12802" max="12802" width="8.7109375" style="189" customWidth="1"/>
    <col min="12803" max="12803" width="14.5703125" style="189" bestFit="1" customWidth="1"/>
    <col min="12804" max="13049" width="9.140625" style="189"/>
    <col min="13050" max="13050" width="24.85546875" style="189" customWidth="1"/>
    <col min="13051" max="13056" width="17.85546875" style="189" customWidth="1"/>
    <col min="13057" max="13057" width="15.5703125" style="189" bestFit="1" customWidth="1"/>
    <col min="13058" max="13058" width="8.7109375" style="189" customWidth="1"/>
    <col min="13059" max="13059" width="14.5703125" style="189" bestFit="1" customWidth="1"/>
    <col min="13060" max="13305" width="9.140625" style="189"/>
    <col min="13306" max="13306" width="24.85546875" style="189" customWidth="1"/>
    <col min="13307" max="13312" width="17.85546875" style="189" customWidth="1"/>
    <col min="13313" max="13313" width="15.5703125" style="189" bestFit="1" customWidth="1"/>
    <col min="13314" max="13314" width="8.7109375" style="189" customWidth="1"/>
    <col min="13315" max="13315" width="14.5703125" style="189" bestFit="1" customWidth="1"/>
    <col min="13316" max="13561" width="9.140625" style="189"/>
    <col min="13562" max="13562" width="24.85546875" style="189" customWidth="1"/>
    <col min="13563" max="13568" width="17.85546875" style="189" customWidth="1"/>
    <col min="13569" max="13569" width="15.5703125" style="189" bestFit="1" customWidth="1"/>
    <col min="13570" max="13570" width="8.7109375" style="189" customWidth="1"/>
    <col min="13571" max="13571" width="14.5703125" style="189" bestFit="1" customWidth="1"/>
    <col min="13572" max="13817" width="9.140625" style="189"/>
    <col min="13818" max="13818" width="24.85546875" style="189" customWidth="1"/>
    <col min="13819" max="13824" width="17.85546875" style="189" customWidth="1"/>
    <col min="13825" max="13825" width="15.5703125" style="189" bestFit="1" customWidth="1"/>
    <col min="13826" max="13826" width="8.7109375" style="189" customWidth="1"/>
    <col min="13827" max="13827" width="14.5703125" style="189" bestFit="1" customWidth="1"/>
    <col min="13828" max="14073" width="9.140625" style="189"/>
    <col min="14074" max="14074" width="24.85546875" style="189" customWidth="1"/>
    <col min="14075" max="14080" width="17.85546875" style="189" customWidth="1"/>
    <col min="14081" max="14081" width="15.5703125" style="189" bestFit="1" customWidth="1"/>
    <col min="14082" max="14082" width="8.7109375" style="189" customWidth="1"/>
    <col min="14083" max="14083" width="14.5703125" style="189" bestFit="1" customWidth="1"/>
    <col min="14084" max="14329" width="9.140625" style="189"/>
    <col min="14330" max="14330" width="24.85546875" style="189" customWidth="1"/>
    <col min="14331" max="14336" width="17.85546875" style="189" customWidth="1"/>
    <col min="14337" max="14337" width="15.5703125" style="189" bestFit="1" customWidth="1"/>
    <col min="14338" max="14338" width="8.7109375" style="189" customWidth="1"/>
    <col min="14339" max="14339" width="14.5703125" style="189" bestFit="1" customWidth="1"/>
    <col min="14340" max="14585" width="9.140625" style="189"/>
    <col min="14586" max="14586" width="24.85546875" style="189" customWidth="1"/>
    <col min="14587" max="14592" width="17.85546875" style="189" customWidth="1"/>
    <col min="14593" max="14593" width="15.5703125" style="189" bestFit="1" customWidth="1"/>
    <col min="14594" max="14594" width="8.7109375" style="189" customWidth="1"/>
    <col min="14595" max="14595" width="14.5703125" style="189" bestFit="1" customWidth="1"/>
    <col min="14596" max="14841" width="9.140625" style="189"/>
    <col min="14842" max="14842" width="24.85546875" style="189" customWidth="1"/>
    <col min="14843" max="14848" width="17.85546875" style="189" customWidth="1"/>
    <col min="14849" max="14849" width="15.5703125" style="189" bestFit="1" customWidth="1"/>
    <col min="14850" max="14850" width="8.7109375" style="189" customWidth="1"/>
    <col min="14851" max="14851" width="14.5703125" style="189" bestFit="1" customWidth="1"/>
    <col min="14852" max="15097" width="9.140625" style="189"/>
    <col min="15098" max="15098" width="24.85546875" style="189" customWidth="1"/>
    <col min="15099" max="15104" width="17.85546875" style="189" customWidth="1"/>
    <col min="15105" max="15105" width="15.5703125" style="189" bestFit="1" customWidth="1"/>
    <col min="15106" max="15106" width="8.7109375" style="189" customWidth="1"/>
    <col min="15107" max="15107" width="14.5703125" style="189" bestFit="1" customWidth="1"/>
    <col min="15108" max="15353" width="9.140625" style="189"/>
    <col min="15354" max="15354" width="24.85546875" style="189" customWidth="1"/>
    <col min="15355" max="15360" width="17.85546875" style="189" customWidth="1"/>
    <col min="15361" max="15361" width="15.5703125" style="189" bestFit="1" customWidth="1"/>
    <col min="15362" max="15362" width="8.7109375" style="189" customWidth="1"/>
    <col min="15363" max="15363" width="14.5703125" style="189" bestFit="1" customWidth="1"/>
    <col min="15364" max="15609" width="9.140625" style="189"/>
    <col min="15610" max="15610" width="24.85546875" style="189" customWidth="1"/>
    <col min="15611" max="15616" width="17.85546875" style="189" customWidth="1"/>
    <col min="15617" max="15617" width="15.5703125" style="189" bestFit="1" customWidth="1"/>
    <col min="15618" max="15618" width="8.7109375" style="189" customWidth="1"/>
    <col min="15619" max="15619" width="14.5703125" style="189" bestFit="1" customWidth="1"/>
    <col min="15620" max="15865" width="9.140625" style="189"/>
    <col min="15866" max="15866" width="24.85546875" style="189" customWidth="1"/>
    <col min="15867" max="15872" width="17.85546875" style="189" customWidth="1"/>
    <col min="15873" max="15873" width="15.5703125" style="189" bestFit="1" customWidth="1"/>
    <col min="15874" max="15874" width="8.7109375" style="189" customWidth="1"/>
    <col min="15875" max="15875" width="14.5703125" style="189" bestFit="1" customWidth="1"/>
    <col min="15876" max="16121" width="9.140625" style="189"/>
    <col min="16122" max="16122" width="24.85546875" style="189" customWidth="1"/>
    <col min="16123" max="16128" width="17.85546875" style="189" customWidth="1"/>
    <col min="16129" max="16129" width="15.5703125" style="189" bestFit="1" customWidth="1"/>
    <col min="16130" max="16130" width="8.7109375" style="189" customWidth="1"/>
    <col min="16131" max="16131" width="14.5703125" style="189" bestFit="1" customWidth="1"/>
    <col min="16132" max="16384" width="9.140625" style="189"/>
  </cols>
  <sheetData>
    <row r="1" spans="1:13" s="44" customFormat="1">
      <c r="A1" s="1660" t="str">
        <f>+'MISO Cover'!C6</f>
        <v>Entergy New Orleans, Inc.</v>
      </c>
      <c r="B1" s="1660"/>
      <c r="C1" s="1660"/>
      <c r="D1" s="1660"/>
      <c r="E1" s="1660"/>
      <c r="F1" s="1660"/>
      <c r="G1" s="1660"/>
    </row>
    <row r="2" spans="1:13" s="44" customFormat="1">
      <c r="A2" s="1660" t="s">
        <v>950</v>
      </c>
      <c r="B2" s="1660"/>
      <c r="C2" s="1660"/>
      <c r="D2" s="1660"/>
      <c r="E2" s="1660"/>
      <c r="F2" s="1660"/>
      <c r="G2" s="1660"/>
      <c r="H2" s="810"/>
    </row>
    <row r="3" spans="1:13" s="44" customFormat="1">
      <c r="A3" s="1660" t="str">
        <f>+'MISO Cover'!K4</f>
        <v>For  the 12 Months Ended 12/31/2014</v>
      </c>
      <c r="B3" s="1660"/>
      <c r="C3" s="1660"/>
      <c r="D3" s="1660"/>
      <c r="E3" s="1660"/>
      <c r="F3" s="1660"/>
      <c r="G3" s="1660"/>
    </row>
    <row r="4" spans="1:13" s="44" customFormat="1">
      <c r="A4" s="1235"/>
      <c r="B4" s="221"/>
      <c r="C4" s="221"/>
      <c r="D4" s="221"/>
      <c r="E4" s="221"/>
      <c r="F4" s="221"/>
    </row>
    <row r="5" spans="1:13" s="44" customFormat="1">
      <c r="A5" s="1235" t="s">
        <v>525</v>
      </c>
      <c r="B5" s="1235" t="s">
        <v>167</v>
      </c>
      <c r="C5" s="1234" t="s">
        <v>215</v>
      </c>
      <c r="D5" s="1234" t="s">
        <v>155</v>
      </c>
      <c r="E5" s="1234" t="s">
        <v>168</v>
      </c>
      <c r="F5" s="1234" t="s">
        <v>166</v>
      </c>
      <c r="G5" s="1234" t="s">
        <v>257</v>
      </c>
    </row>
    <row r="6" spans="1:13" s="44" customFormat="1" ht="25.5">
      <c r="A6" s="1234">
        <v>1</v>
      </c>
      <c r="B6" s="221"/>
      <c r="C6" s="896"/>
      <c r="D6" s="896"/>
      <c r="E6" s="1547" t="s">
        <v>266</v>
      </c>
      <c r="F6" s="1548" t="s">
        <v>261</v>
      </c>
      <c r="G6" s="1549" t="s">
        <v>242</v>
      </c>
    </row>
    <row r="7" spans="1:13" s="44" customFormat="1">
      <c r="A7" s="1234">
        <f>+A6+1</f>
        <v>2</v>
      </c>
      <c r="B7" s="45" t="s">
        <v>706</v>
      </c>
      <c r="C7" s="43" t="str">
        <f>+"Sum Line "&amp;A$11&amp;" Subparts for Included"</f>
        <v>Sum Line 6 Subparts for Included</v>
      </c>
      <c r="D7" s="269"/>
      <c r="E7" s="897">
        <f>+SUM(E12:E12)</f>
        <v>755746.5</v>
      </c>
      <c r="F7" s="897">
        <f>+SUM(F12:F12)</f>
        <v>755058.31</v>
      </c>
      <c r="G7" s="898">
        <f>+(E7+F7)/2</f>
        <v>755402.40500000003</v>
      </c>
    </row>
    <row r="8" spans="1:13" s="44" customFormat="1" ht="15">
      <c r="A8" s="1234">
        <f>+A7+1</f>
        <v>3</v>
      </c>
      <c r="B8" s="45" t="s">
        <v>707</v>
      </c>
      <c r="C8" s="43" t="str">
        <f>+"Sum Line "&amp;A$11&amp;" Subparts for Excluded"</f>
        <v>Sum Line 6 Subparts for Excluded</v>
      </c>
      <c r="D8" s="899"/>
      <c r="E8" s="1263">
        <f>+SUM(E13:E15)</f>
        <v>0</v>
      </c>
      <c r="F8" s="1263">
        <f>+SUM(F13:F15)</f>
        <v>0</v>
      </c>
      <c r="G8" s="900">
        <f>+(E8+F8)/2</f>
        <v>0</v>
      </c>
    </row>
    <row r="9" spans="1:13" s="44" customFormat="1">
      <c r="A9" s="1234">
        <f>+A8+1</f>
        <v>4</v>
      </c>
      <c r="B9" s="45" t="s">
        <v>214</v>
      </c>
      <c r="C9" s="43"/>
      <c r="D9" s="269"/>
      <c r="E9" s="897">
        <f>SUM(E7:E8)</f>
        <v>755746.5</v>
      </c>
      <c r="F9" s="897">
        <f>SUM(F7:F8)</f>
        <v>755058.31</v>
      </c>
      <c r="G9" s="898">
        <f>+(E9+F9)/2</f>
        <v>755402.40500000003</v>
      </c>
    </row>
    <row r="10" spans="1:13" s="44" customFormat="1">
      <c r="A10" s="1234">
        <f>+A9+1</f>
        <v>5</v>
      </c>
      <c r="B10" s="189"/>
      <c r="C10" s="695"/>
      <c r="D10" s="695"/>
      <c r="E10" s="695"/>
      <c r="F10" s="1543"/>
      <c r="G10" s="45"/>
      <c r="H10" s="43"/>
      <c r="I10" s="43"/>
    </row>
    <row r="11" spans="1:13" ht="25.5">
      <c r="A11" s="1234">
        <f>+A10+1</f>
        <v>6</v>
      </c>
      <c r="B11" s="1550" t="s">
        <v>556</v>
      </c>
      <c r="C11" s="1550" t="s">
        <v>867</v>
      </c>
      <c r="D11" s="1550" t="s">
        <v>1221</v>
      </c>
      <c r="E11" s="1551" t="str">
        <f>+E6</f>
        <v>Beginning of Year</v>
      </c>
      <c r="F11" s="1552" t="str">
        <f>+F6</f>
        <v>End of Year</v>
      </c>
      <c r="G11" s="1553" t="str">
        <f>+G6</f>
        <v>Average</v>
      </c>
      <c r="H11" s="45"/>
      <c r="I11" s="45"/>
    </row>
    <row r="12" spans="1:13" ht="15.75">
      <c r="A12" s="1234">
        <f>+A11+0.01</f>
        <v>6.01</v>
      </c>
      <c r="B12" s="1264" t="s">
        <v>1298</v>
      </c>
      <c r="C12" s="1264" t="s">
        <v>1299</v>
      </c>
      <c r="D12" s="1527" t="s">
        <v>1440</v>
      </c>
      <c r="E12" s="1370">
        <v>755746.5</v>
      </c>
      <c r="F12" s="1544">
        <v>755058.31</v>
      </c>
      <c r="G12" s="269">
        <f>+SUM(E12,F12)/2</f>
        <v>755402.40500000003</v>
      </c>
      <c r="H12" s="45"/>
      <c r="I12" s="1555" t="s">
        <v>1458</v>
      </c>
    </row>
    <row r="13" spans="1:13" ht="15">
      <c r="A13" s="1371">
        <f>+A12+0.01</f>
        <v>6.02</v>
      </c>
      <c r="B13" s="1369" t="s">
        <v>1272</v>
      </c>
      <c r="C13" s="1369"/>
      <c r="D13" s="1369"/>
      <c r="E13" s="1481">
        <v>0</v>
      </c>
      <c r="F13" s="1545">
        <v>0</v>
      </c>
      <c r="G13" s="269">
        <f t="shared" ref="G13:G15" si="0">+SUM(E13,F13)/2</f>
        <v>0</v>
      </c>
      <c r="H13" s="45"/>
      <c r="I13" s="1556" t="s">
        <v>956</v>
      </c>
    </row>
    <row r="14" spans="1:13">
      <c r="A14" s="1371" t="s">
        <v>1266</v>
      </c>
      <c r="B14" s="1369" t="s">
        <v>1272</v>
      </c>
      <c r="C14" s="1369"/>
      <c r="D14" s="1369"/>
      <c r="E14" s="1481">
        <v>0</v>
      </c>
      <c r="F14" s="1545">
        <v>0</v>
      </c>
      <c r="G14" s="269">
        <f t="shared" si="0"/>
        <v>0</v>
      </c>
      <c r="H14" s="45"/>
      <c r="I14" s="1713" t="s">
        <v>1459</v>
      </c>
      <c r="J14" s="1713"/>
      <c r="K14" s="1713"/>
      <c r="L14" s="1713"/>
      <c r="M14" s="1713"/>
    </row>
    <row r="15" spans="1:13">
      <c r="A15" s="1371" t="s">
        <v>1271</v>
      </c>
      <c r="B15" s="1369" t="s">
        <v>1272</v>
      </c>
      <c r="C15" s="1369"/>
      <c r="D15" s="1369"/>
      <c r="E15" s="1482">
        <v>0</v>
      </c>
      <c r="F15" s="1546">
        <v>0</v>
      </c>
      <c r="G15" s="569">
        <f t="shared" si="0"/>
        <v>0</v>
      </c>
      <c r="H15" s="45"/>
      <c r="I15" s="1713"/>
      <c r="J15" s="1713"/>
      <c r="K15" s="1713"/>
      <c r="L15" s="1713"/>
      <c r="M15" s="1713"/>
    </row>
    <row r="16" spans="1:13">
      <c r="A16" s="982">
        <f>+A11+1</f>
        <v>7</v>
      </c>
      <c r="B16" s="1264" t="s">
        <v>214</v>
      </c>
      <c r="C16" s="1264"/>
      <c r="D16" s="1264"/>
      <c r="E16" s="1247">
        <f>SUM(E12:E15)</f>
        <v>755746.5</v>
      </c>
      <c r="F16" s="1247">
        <f>SUM(F12:F15)</f>
        <v>755058.31</v>
      </c>
      <c r="G16" s="1247">
        <f>SUM(G12:G15)</f>
        <v>755402.40500000003</v>
      </c>
      <c r="H16" s="45"/>
      <c r="I16" s="1713"/>
      <c r="J16" s="1713"/>
      <c r="K16" s="1713"/>
      <c r="L16" s="1713"/>
      <c r="M16" s="1713"/>
    </row>
    <row r="17" spans="1:13">
      <c r="A17" s="567"/>
      <c r="B17" s="45"/>
      <c r="C17" s="45"/>
      <c r="D17" s="45"/>
      <c r="E17" s="45"/>
      <c r="F17" s="983"/>
      <c r="G17" s="45"/>
      <c r="I17" s="1713"/>
      <c r="J17" s="1713"/>
      <c r="K17" s="1713"/>
      <c r="L17" s="1713"/>
      <c r="M17" s="1713"/>
    </row>
    <row r="18" spans="1:13">
      <c r="A18" s="45" t="s">
        <v>592</v>
      </c>
      <c r="B18" s="45"/>
      <c r="C18" s="45"/>
      <c r="D18" s="45"/>
      <c r="E18" s="45"/>
      <c r="F18" s="45"/>
      <c r="G18" s="45"/>
      <c r="I18" s="1713"/>
      <c r="J18" s="1713"/>
      <c r="K18" s="1713"/>
      <c r="L18" s="1713"/>
      <c r="M18" s="1713"/>
    </row>
    <row r="19" spans="1:13" s="697" customFormat="1">
      <c r="A19" s="903" t="s">
        <v>271</v>
      </c>
      <c r="B19" s="1712" t="str">
        <f>+"Reference Appendix A Note "&amp;'Appendix A'!A316</f>
        <v>Reference Appendix A Note M</v>
      </c>
      <c r="C19" s="1712"/>
      <c r="D19" s="1712"/>
      <c r="E19" s="1712"/>
      <c r="F19" s="1712"/>
      <c r="G19" s="1712"/>
      <c r="I19" s="1713"/>
      <c r="J19" s="1713"/>
      <c r="K19" s="1713"/>
      <c r="L19" s="1713"/>
      <c r="M19" s="1713"/>
    </row>
    <row r="20" spans="1:13">
      <c r="A20" s="903"/>
    </row>
  </sheetData>
  <mergeCells count="5">
    <mergeCell ref="B19:G19"/>
    <mergeCell ref="A1:G1"/>
    <mergeCell ref="A2:G2"/>
    <mergeCell ref="A3:G3"/>
    <mergeCell ref="I14:M19"/>
  </mergeCells>
  <printOptions horizontalCentered="1"/>
  <pageMargins left="0.7" right="0.7" top="0.7" bottom="0.7" header="0.3" footer="0.5"/>
  <pageSetup scale="74" fitToHeight="2" orientation="portrait" r:id="rId1"/>
  <headerFooter>
    <oddFooter>&amp;CPage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3"/>
  <sheetViews>
    <sheetView zoomScaleNormal="100" workbookViewId="0">
      <selection activeCell="A8" sqref="A8"/>
    </sheetView>
  </sheetViews>
  <sheetFormatPr defaultColWidth="8.85546875" defaultRowHeight="12.75"/>
  <cols>
    <col min="1" max="1" width="4.28515625" style="699" customWidth="1"/>
    <col min="2" max="2" width="44.42578125" style="44" customWidth="1"/>
    <col min="3" max="11" width="11.42578125" style="44" bestFit="1" customWidth="1"/>
    <col min="12" max="16" width="11.28515625" style="44" customWidth="1"/>
    <col min="17" max="16384" width="8.85546875" style="44"/>
  </cols>
  <sheetData>
    <row r="1" spans="1:17">
      <c r="A1" s="1716" t="str">
        <f>+'MISO Cover'!C6</f>
        <v>Entergy New Orleans, Inc.</v>
      </c>
      <c r="B1" s="1716"/>
      <c r="C1" s="1716"/>
      <c r="D1" s="1716"/>
      <c r="E1" s="1716"/>
      <c r="F1" s="1716"/>
      <c r="G1" s="1716"/>
      <c r="H1" s="1716"/>
      <c r="I1" s="1716"/>
      <c r="J1" s="1716"/>
      <c r="K1" s="1716"/>
      <c r="L1" s="1716"/>
      <c r="M1" s="1716"/>
      <c r="N1" s="1716"/>
      <c r="O1" s="1716"/>
      <c r="P1" s="1716"/>
      <c r="Q1" s="810"/>
    </row>
    <row r="2" spans="1:17">
      <c r="A2" s="1714" t="s">
        <v>1225</v>
      </c>
      <c r="B2" s="1714"/>
      <c r="C2" s="1714"/>
      <c r="D2" s="1714"/>
      <c r="E2" s="1714"/>
      <c r="F2" s="1714"/>
      <c r="G2" s="1714"/>
      <c r="H2" s="1714"/>
      <c r="I2" s="1714"/>
      <c r="J2" s="1714"/>
      <c r="K2" s="1714"/>
      <c r="L2" s="1714"/>
      <c r="M2" s="1714"/>
      <c r="N2" s="1714"/>
      <c r="O2" s="1714"/>
      <c r="P2" s="1714"/>
    </row>
    <row r="3" spans="1:17">
      <c r="A3" s="1714" t="str">
        <f>+'MISO Cover'!K4</f>
        <v>For  the 12 Months Ended 12/31/2014</v>
      </c>
      <c r="B3" s="1714"/>
      <c r="C3" s="1714"/>
      <c r="D3" s="1714"/>
      <c r="E3" s="1714"/>
      <c r="F3" s="1714"/>
      <c r="G3" s="1714"/>
      <c r="H3" s="1714"/>
      <c r="I3" s="1714"/>
      <c r="J3" s="1714"/>
      <c r="K3" s="1714"/>
      <c r="L3" s="1714"/>
      <c r="M3" s="1714"/>
      <c r="N3" s="1714"/>
      <c r="O3" s="1714"/>
      <c r="P3" s="1714"/>
    </row>
    <row r="4" spans="1:17">
      <c r="A4" s="769"/>
    </row>
    <row r="5" spans="1:17" s="771" customFormat="1">
      <c r="A5" s="769" t="s">
        <v>525</v>
      </c>
      <c r="B5" s="771" t="s">
        <v>167</v>
      </c>
      <c r="C5" s="771" t="s">
        <v>215</v>
      </c>
      <c r="D5" s="771" t="s">
        <v>155</v>
      </c>
      <c r="E5" s="771" t="s">
        <v>168</v>
      </c>
      <c r="F5" s="771" t="s">
        <v>166</v>
      </c>
      <c r="G5" s="771" t="s">
        <v>257</v>
      </c>
      <c r="H5" s="771" t="s">
        <v>169</v>
      </c>
      <c r="I5" s="771" t="s">
        <v>270</v>
      </c>
      <c r="J5" s="771" t="s">
        <v>159</v>
      </c>
      <c r="K5" s="771" t="s">
        <v>160</v>
      </c>
      <c r="L5" s="771" t="s">
        <v>171</v>
      </c>
      <c r="M5" s="771" t="s">
        <v>199</v>
      </c>
      <c r="N5" s="771" t="s">
        <v>200</v>
      </c>
      <c r="O5" s="771" t="s">
        <v>258</v>
      </c>
      <c r="P5" s="771" t="s">
        <v>439</v>
      </c>
    </row>
    <row r="6" spans="1:17" s="771" customFormat="1">
      <c r="A6" s="769"/>
      <c r="C6" s="1494" t="s">
        <v>137</v>
      </c>
      <c r="D6" s="1494" t="s">
        <v>127</v>
      </c>
      <c r="E6" s="1494" t="s">
        <v>128</v>
      </c>
      <c r="F6" s="1494" t="s">
        <v>129</v>
      </c>
      <c r="G6" s="1494" t="s">
        <v>130</v>
      </c>
      <c r="H6" s="1494" t="s">
        <v>126</v>
      </c>
      <c r="I6" s="1494" t="s">
        <v>131</v>
      </c>
      <c r="J6" s="1494" t="s">
        <v>132</v>
      </c>
      <c r="K6" s="1494" t="s">
        <v>133</v>
      </c>
      <c r="L6" s="1494" t="s">
        <v>134</v>
      </c>
      <c r="M6" s="1494" t="s">
        <v>135</v>
      </c>
      <c r="N6" s="1494" t="s">
        <v>136</v>
      </c>
      <c r="O6" s="1494" t="s">
        <v>137</v>
      </c>
      <c r="P6" s="1506" t="s">
        <v>710</v>
      </c>
    </row>
    <row r="7" spans="1:17">
      <c r="A7" s="967">
        <v>1</v>
      </c>
      <c r="B7" s="44" t="s">
        <v>808</v>
      </c>
      <c r="C7" s="811"/>
      <c r="D7" s="811"/>
    </row>
    <row r="8" spans="1:17">
      <c r="A8" s="1365">
        <v>1.1000000000000001</v>
      </c>
      <c r="B8" s="1318" t="s">
        <v>1272</v>
      </c>
      <c r="C8" s="1366"/>
      <c r="D8" s="1366"/>
      <c r="E8" s="1366"/>
      <c r="F8" s="1366"/>
      <c r="G8" s="1366"/>
      <c r="H8" s="1366"/>
      <c r="I8" s="1366"/>
      <c r="J8" s="1366"/>
      <c r="K8" s="1366"/>
      <c r="L8" s="1366"/>
      <c r="M8" s="1366"/>
      <c r="N8" s="1366"/>
      <c r="O8" s="1366"/>
      <c r="P8" s="256">
        <f t="shared" ref="P8:P9" si="0">+SUM(C8:O8)/13</f>
        <v>0</v>
      </c>
    </row>
    <row r="9" spans="1:17">
      <c r="A9" s="1365" t="s">
        <v>1266</v>
      </c>
      <c r="B9" s="1318" t="s">
        <v>1272</v>
      </c>
      <c r="C9" s="1366"/>
      <c r="D9" s="1366"/>
      <c r="E9" s="1366"/>
      <c r="F9" s="1366"/>
      <c r="G9" s="1366"/>
      <c r="H9" s="1366"/>
      <c r="I9" s="1366"/>
      <c r="J9" s="1366"/>
      <c r="K9" s="1366"/>
      <c r="L9" s="1366"/>
      <c r="M9" s="1366"/>
      <c r="N9" s="1366"/>
      <c r="O9" s="1366"/>
      <c r="P9" s="256">
        <f t="shared" si="0"/>
        <v>0</v>
      </c>
    </row>
    <row r="10" spans="1:17" ht="15">
      <c r="A10" s="1365" t="s">
        <v>1270</v>
      </c>
      <c r="B10" s="1318" t="s">
        <v>1272</v>
      </c>
      <c r="C10" s="1367"/>
      <c r="D10" s="1367"/>
      <c r="E10" s="1367"/>
      <c r="F10" s="1367"/>
      <c r="G10" s="1367"/>
      <c r="H10" s="1367"/>
      <c r="I10" s="1367"/>
      <c r="J10" s="1367"/>
      <c r="K10" s="1367"/>
      <c r="L10" s="1367"/>
      <c r="M10" s="1367"/>
      <c r="N10" s="1367"/>
      <c r="O10" s="1367"/>
      <c r="P10" s="570">
        <f>+SUM(C10:O10)/13</f>
        <v>0</v>
      </c>
    </row>
    <row r="11" spans="1:17">
      <c r="A11" s="1290">
        <f>+A7+1</f>
        <v>2</v>
      </c>
      <c r="B11" s="579" t="str">
        <f>+"Total - Generator (Sum of Line "&amp;A7&amp;" Subparts)"</f>
        <v>Total - Generator (Sum of Line 1 Subparts)</v>
      </c>
      <c r="C11" s="712">
        <f t="shared" ref="C11:P11" si="1">SUM(C8:C10)</f>
        <v>0</v>
      </c>
      <c r="D11" s="712">
        <f t="shared" si="1"/>
        <v>0</v>
      </c>
      <c r="E11" s="712">
        <f t="shared" si="1"/>
        <v>0</v>
      </c>
      <c r="F11" s="712">
        <f t="shared" si="1"/>
        <v>0</v>
      </c>
      <c r="G11" s="712">
        <f t="shared" si="1"/>
        <v>0</v>
      </c>
      <c r="H11" s="712">
        <f t="shared" si="1"/>
        <v>0</v>
      </c>
      <c r="I11" s="712">
        <f t="shared" si="1"/>
        <v>0</v>
      </c>
      <c r="J11" s="712">
        <f t="shared" si="1"/>
        <v>0</v>
      </c>
      <c r="K11" s="712">
        <f t="shared" si="1"/>
        <v>0</v>
      </c>
      <c r="L11" s="712">
        <f t="shared" si="1"/>
        <v>0</v>
      </c>
      <c r="M11" s="712">
        <f t="shared" si="1"/>
        <v>0</v>
      </c>
      <c r="N11" s="712">
        <f t="shared" si="1"/>
        <v>0</v>
      </c>
      <c r="O11" s="712">
        <f t="shared" si="1"/>
        <v>0</v>
      </c>
      <c r="P11" s="812">
        <f t="shared" si="1"/>
        <v>0</v>
      </c>
    </row>
    <row r="12" spans="1:17">
      <c r="A12" s="967">
        <f>+A11+1</f>
        <v>3</v>
      </c>
      <c r="B12" s="579"/>
      <c r="C12" s="277"/>
      <c r="D12" s="277"/>
      <c r="E12" s="277"/>
      <c r="F12" s="277"/>
      <c r="G12" s="277"/>
      <c r="H12" s="277"/>
      <c r="I12" s="277"/>
      <c r="J12" s="277"/>
      <c r="K12" s="277"/>
      <c r="L12" s="277"/>
      <c r="M12" s="277"/>
      <c r="N12" s="277"/>
      <c r="O12" s="277"/>
    </row>
    <row r="13" spans="1:17">
      <c r="A13" s="967">
        <f>+A12+1</f>
        <v>4</v>
      </c>
      <c r="B13" s="708" t="s">
        <v>806</v>
      </c>
      <c r="C13" s="277"/>
      <c r="D13" s="277"/>
      <c r="E13" s="277"/>
      <c r="F13" s="277"/>
      <c r="G13" s="277"/>
      <c r="H13" s="277"/>
      <c r="I13" s="277"/>
      <c r="J13" s="277"/>
      <c r="K13" s="277"/>
      <c r="L13" s="277"/>
      <c r="M13" s="277"/>
      <c r="N13" s="277"/>
      <c r="O13" s="277"/>
    </row>
    <row r="14" spans="1:17">
      <c r="A14" s="1368">
        <f>+A13+0.1</f>
        <v>4.0999999999999996</v>
      </c>
      <c r="B14" s="1318" t="s">
        <v>1272</v>
      </c>
      <c r="C14" s="195"/>
      <c r="D14" s="195"/>
      <c r="E14" s="195"/>
      <c r="F14" s="195"/>
      <c r="G14" s="195"/>
      <c r="H14" s="195"/>
      <c r="I14" s="195"/>
      <c r="J14" s="195"/>
      <c r="K14" s="195"/>
      <c r="L14" s="195"/>
      <c r="M14" s="195"/>
      <c r="N14" s="195"/>
      <c r="O14" s="195"/>
      <c r="P14" s="531">
        <f t="shared" ref="P14:P16" si="2">+SUM(C14:O14)/13</f>
        <v>0</v>
      </c>
    </row>
    <row r="15" spans="1:17">
      <c r="A15" s="1368" t="s">
        <v>1266</v>
      </c>
      <c r="B15" s="1318" t="s">
        <v>1272</v>
      </c>
      <c r="C15" s="195"/>
      <c r="D15" s="195"/>
      <c r="E15" s="195"/>
      <c r="F15" s="195"/>
      <c r="G15" s="195"/>
      <c r="H15" s="195"/>
      <c r="I15" s="195"/>
      <c r="J15" s="195"/>
      <c r="K15" s="195"/>
      <c r="L15" s="195"/>
      <c r="M15" s="195"/>
      <c r="N15" s="195"/>
      <c r="O15" s="195"/>
      <c r="P15" s="531">
        <f t="shared" si="2"/>
        <v>0</v>
      </c>
    </row>
    <row r="16" spans="1:17">
      <c r="A16" s="1368" t="s">
        <v>1267</v>
      </c>
      <c r="B16" s="1318" t="s">
        <v>1272</v>
      </c>
      <c r="C16" s="264"/>
      <c r="D16" s="264"/>
      <c r="E16" s="264"/>
      <c r="F16" s="264"/>
      <c r="G16" s="264"/>
      <c r="H16" s="264"/>
      <c r="I16" s="264"/>
      <c r="J16" s="264"/>
      <c r="K16" s="264"/>
      <c r="L16" s="264"/>
      <c r="M16" s="264"/>
      <c r="N16" s="264"/>
      <c r="O16" s="264"/>
      <c r="P16" s="570">
        <f t="shared" si="2"/>
        <v>0</v>
      </c>
    </row>
    <row r="17" spans="1:16" s="43" customFormat="1">
      <c r="A17" s="967">
        <f>+A13+1</f>
        <v>5</v>
      </c>
      <c r="B17" s="579" t="str">
        <f>+"Total - Transm Substation (Sum of Line "&amp;A13&amp;" Subparts)"</f>
        <v>Total - Transm Substation (Sum of Line 4 Subparts)</v>
      </c>
      <c r="C17" s="79">
        <f t="shared" ref="C17:O17" si="3">SUM(C14:C16)</f>
        <v>0</v>
      </c>
      <c r="D17" s="79">
        <f t="shared" si="3"/>
        <v>0</v>
      </c>
      <c r="E17" s="79">
        <f t="shared" si="3"/>
        <v>0</v>
      </c>
      <c r="F17" s="79">
        <f t="shared" si="3"/>
        <v>0</v>
      </c>
      <c r="G17" s="79">
        <f t="shared" si="3"/>
        <v>0</v>
      </c>
      <c r="H17" s="79">
        <f t="shared" si="3"/>
        <v>0</v>
      </c>
      <c r="I17" s="79">
        <f t="shared" si="3"/>
        <v>0</v>
      </c>
      <c r="J17" s="79">
        <f t="shared" si="3"/>
        <v>0</v>
      </c>
      <c r="K17" s="79">
        <f t="shared" si="3"/>
        <v>0</v>
      </c>
      <c r="L17" s="79">
        <f t="shared" si="3"/>
        <v>0</v>
      </c>
      <c r="M17" s="79">
        <f t="shared" si="3"/>
        <v>0</v>
      </c>
      <c r="N17" s="79">
        <f t="shared" si="3"/>
        <v>0</v>
      </c>
      <c r="O17" s="79">
        <f t="shared" si="3"/>
        <v>0</v>
      </c>
      <c r="P17" s="79">
        <f>+SUM(C17:O17)/13</f>
        <v>0</v>
      </c>
    </row>
    <row r="18" spans="1:16" s="43" customFormat="1">
      <c r="A18" s="967">
        <f>+A17+1</f>
        <v>6</v>
      </c>
      <c r="B18" s="579"/>
      <c r="C18" s="79"/>
      <c r="D18" s="79"/>
      <c r="E18" s="79"/>
      <c r="F18" s="79"/>
      <c r="G18" s="79"/>
      <c r="H18" s="79"/>
      <c r="I18" s="79"/>
      <c r="J18" s="79"/>
      <c r="K18" s="79"/>
      <c r="L18" s="79"/>
      <c r="M18" s="79"/>
      <c r="N18" s="79"/>
      <c r="O18" s="79"/>
      <c r="P18" s="79"/>
    </row>
    <row r="19" spans="1:16" ht="13.5" thickBot="1">
      <c r="A19" s="967">
        <f>+A18+1</f>
        <v>7</v>
      </c>
      <c r="B19" s="207" t="s">
        <v>807</v>
      </c>
      <c r="C19" s="713">
        <f t="shared" ref="C19:P19" si="4">+C11+C17</f>
        <v>0</v>
      </c>
      <c r="D19" s="713">
        <f t="shared" si="4"/>
        <v>0</v>
      </c>
      <c r="E19" s="713">
        <f t="shared" si="4"/>
        <v>0</v>
      </c>
      <c r="F19" s="713">
        <f t="shared" si="4"/>
        <v>0</v>
      </c>
      <c r="G19" s="713">
        <f t="shared" si="4"/>
        <v>0</v>
      </c>
      <c r="H19" s="713">
        <f t="shared" si="4"/>
        <v>0</v>
      </c>
      <c r="I19" s="713">
        <f t="shared" si="4"/>
        <v>0</v>
      </c>
      <c r="J19" s="713">
        <f t="shared" si="4"/>
        <v>0</v>
      </c>
      <c r="K19" s="713">
        <f t="shared" si="4"/>
        <v>0</v>
      </c>
      <c r="L19" s="713">
        <f t="shared" si="4"/>
        <v>0</v>
      </c>
      <c r="M19" s="713">
        <f t="shared" si="4"/>
        <v>0</v>
      </c>
      <c r="N19" s="713">
        <f t="shared" si="4"/>
        <v>0</v>
      </c>
      <c r="O19" s="713">
        <f t="shared" si="4"/>
        <v>0</v>
      </c>
      <c r="P19" s="713">
        <f t="shared" si="4"/>
        <v>0</v>
      </c>
    </row>
    <row r="20" spans="1:16" ht="13.5" thickTop="1">
      <c r="A20" s="967"/>
      <c r="B20" s="579" t="str">
        <f>+"Sum of Lines "&amp;A11&amp;" + "&amp;A17</f>
        <v>Sum of Lines 2 + 5</v>
      </c>
      <c r="C20" s="256"/>
      <c r="D20" s="256"/>
    </row>
    <row r="21" spans="1:16">
      <c r="A21" s="967"/>
      <c r="B21" s="579"/>
      <c r="C21" s="256"/>
      <c r="D21" s="256"/>
    </row>
    <row r="22" spans="1:16">
      <c r="A22" s="45" t="s">
        <v>592</v>
      </c>
    </row>
    <row r="23" spans="1:16">
      <c r="A23" s="788" t="s">
        <v>271</v>
      </c>
      <c r="B23" s="1715" t="str">
        <f>+"Reference Appendix A Note "&amp;'Appendix A'!A316</f>
        <v>Reference Appendix A Note M</v>
      </c>
      <c r="C23" s="1715"/>
      <c r="D23" s="1715"/>
      <c r="E23" s="1715"/>
      <c r="F23" s="1715"/>
      <c r="G23" s="1715"/>
      <c r="H23" s="1715"/>
      <c r="I23" s="1715"/>
      <c r="J23" s="1715"/>
      <c r="K23" s="1715"/>
      <c r="L23" s="1715"/>
      <c r="M23" s="1715"/>
      <c r="N23" s="1715"/>
      <c r="O23" s="1715"/>
      <c r="P23" s="1715"/>
    </row>
  </sheetData>
  <mergeCells count="4">
    <mergeCell ref="A3:P3"/>
    <mergeCell ref="B23:P23"/>
    <mergeCell ref="A1:P1"/>
    <mergeCell ref="A2:P2"/>
  </mergeCells>
  <pageMargins left="0.7" right="0.7" top="0.7" bottom="0.7" header="0.3" footer="0.5"/>
  <pageSetup scale="60" orientation="landscape" r:id="rId1"/>
  <headerFooter>
    <oddFooter>&amp;CPage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Y343"/>
  <sheetViews>
    <sheetView zoomScale="70" zoomScaleNormal="70" zoomScaleSheetLayoutView="90" workbookViewId="0">
      <selection sqref="A1:H1"/>
    </sheetView>
  </sheetViews>
  <sheetFormatPr defaultColWidth="11.5703125" defaultRowHeight="15"/>
  <cols>
    <col min="1" max="1" width="7" style="2" customWidth="1"/>
    <col min="2" max="2" width="2.140625" style="2" customWidth="1"/>
    <col min="3" max="3" width="45" style="210" customWidth="1"/>
    <col min="4" max="5" width="19.5703125" style="266" customWidth="1"/>
    <col min="6" max="6" width="49.5703125" style="266" bestFit="1" customWidth="1"/>
    <col min="7" max="8" width="17.5703125" style="266" bestFit="1" customWidth="1"/>
    <col min="9" max="9" width="15.85546875" style="266" customWidth="1"/>
    <col min="10" max="16384" width="11.5703125" style="266"/>
  </cols>
  <sheetData>
    <row r="1" spans="1:13" ht="23.25" customHeight="1">
      <c r="A1" s="1645" t="str">
        <f>+"ATTACHMENT O - "&amp;'MISO Cover'!C6</f>
        <v>ATTACHMENT O - Entergy New Orleans, Inc.</v>
      </c>
      <c r="B1" s="1645"/>
      <c r="C1" s="1645"/>
      <c r="D1" s="1645"/>
      <c r="E1" s="1645"/>
      <c r="F1" s="1645"/>
      <c r="G1" s="1645"/>
      <c r="H1" s="1645"/>
    </row>
    <row r="2" spans="1:13" ht="17.25" customHeight="1">
      <c r="A2" s="67"/>
      <c r="C2" s="2"/>
    </row>
    <row r="3" spans="1:13" s="471" customFormat="1" ht="18">
      <c r="A3" s="1646" t="str">
        <f>+'MISO Cover'!K4</f>
        <v>For  the 12 Months Ended 12/31/2014</v>
      </c>
      <c r="B3" s="1646"/>
      <c r="C3" s="1646"/>
      <c r="D3" s="1646"/>
      <c r="E3" s="1646"/>
      <c r="F3" s="1646"/>
      <c r="G3" s="1646"/>
      <c r="H3" s="1646"/>
      <c r="I3" s="458"/>
      <c r="J3" s="458"/>
      <c r="K3" s="458"/>
      <c r="L3" s="458"/>
      <c r="M3" s="458"/>
    </row>
    <row r="4" spans="1:13" ht="16.5" customHeight="1" thickBot="1">
      <c r="A4" s="39"/>
      <c r="C4" s="2"/>
    </row>
    <row r="5" spans="1:13" s="1" customFormat="1" ht="23.25">
      <c r="A5" s="477" t="s">
        <v>235</v>
      </c>
      <c r="B5" s="478"/>
      <c r="C5" s="478"/>
      <c r="D5" s="478"/>
      <c r="E5" s="479" t="s">
        <v>225</v>
      </c>
      <c r="F5" s="480" t="s">
        <v>523</v>
      </c>
      <c r="G5" s="474" t="s">
        <v>529</v>
      </c>
      <c r="H5" s="911" t="s">
        <v>614</v>
      </c>
    </row>
    <row r="6" spans="1:13" s="37" customFormat="1" ht="15.75">
      <c r="A6" s="1078" t="s">
        <v>167</v>
      </c>
      <c r="B6" s="472" t="s">
        <v>215</v>
      </c>
      <c r="C6" s="472" t="s">
        <v>155</v>
      </c>
      <c r="D6" s="472" t="s">
        <v>168</v>
      </c>
      <c r="E6" s="469" t="s">
        <v>166</v>
      </c>
      <c r="F6" s="470" t="s">
        <v>257</v>
      </c>
      <c r="G6" s="470" t="s">
        <v>169</v>
      </c>
      <c r="H6" s="1534" t="s">
        <v>270</v>
      </c>
    </row>
    <row r="7" spans="1:13">
      <c r="A7" s="77"/>
      <c r="B7" s="1382"/>
      <c r="C7" s="1383"/>
      <c r="D7" s="1383"/>
      <c r="E7" s="1384"/>
      <c r="F7" s="912"/>
      <c r="G7" s="1380"/>
      <c r="H7" s="1381"/>
    </row>
    <row r="8" spans="1:13" s="267" customFormat="1" ht="16.5" thickBot="1">
      <c r="A8" s="1079" t="s">
        <v>186</v>
      </c>
      <c r="B8" s="247"/>
      <c r="C8" s="245"/>
      <c r="D8" s="245"/>
      <c r="E8" s="1026" t="str">
        <f>"(Note "&amp;A$328&amp;")"</f>
        <v>(Note Y)</v>
      </c>
      <c r="F8" s="246"/>
      <c r="G8" s="475"/>
      <c r="H8" s="476"/>
    </row>
    <row r="9" spans="1:13" s="267" customFormat="1" ht="15.75">
      <c r="A9" s="102"/>
      <c r="B9" s="103"/>
      <c r="C9" s="103"/>
      <c r="D9" s="103"/>
      <c r="E9" s="104"/>
      <c r="F9" s="130"/>
      <c r="G9" s="105"/>
      <c r="H9" s="1083"/>
    </row>
    <row r="10" spans="1:13" ht="15.75">
      <c r="A10" s="106"/>
      <c r="B10" s="5" t="s">
        <v>187</v>
      </c>
      <c r="C10" s="9"/>
      <c r="D10" s="9"/>
      <c r="E10" s="109"/>
      <c r="F10" s="136"/>
      <c r="G10" s="71"/>
      <c r="H10" s="1084"/>
    </row>
    <row r="11" spans="1:13">
      <c r="A11" s="77">
        <v>1</v>
      </c>
      <c r="B11" s="33"/>
      <c r="C11" s="15" t="s">
        <v>163</v>
      </c>
      <c r="D11" s="108"/>
      <c r="E11" s="36"/>
      <c r="F11" s="136" t="str">
        <f>+"WP03 W&amp;S Line "&amp;'WP03 W&amp;S'!A10&amp;" Column "&amp;'WP03 W&amp;S'!C5</f>
        <v>WP03 W&amp;S Line 2 Column B</v>
      </c>
      <c r="G11" s="101">
        <f>'WP03 W&amp;S'!C10</f>
        <v>1711851</v>
      </c>
      <c r="H11" s="1085">
        <f>'WP03 W&amp;S'!C10</f>
        <v>1711851</v>
      </c>
    </row>
    <row r="12" spans="1:13">
      <c r="A12" s="77">
        <f>+A11+1</f>
        <v>2</v>
      </c>
      <c r="B12" s="33"/>
      <c r="C12" s="465" t="s">
        <v>792</v>
      </c>
      <c r="D12" s="907"/>
      <c r="E12" s="76" t="str">
        <f>"(Note "&amp;A$335&amp;")"</f>
        <v>(Note FF)</v>
      </c>
      <c r="F12" s="137" t="str">
        <f>+"WP02 Support Line "&amp;'WP02 Support'!A18&amp;" Column "&amp;'WP02 Support'!D5</f>
        <v>WP02 Support Line 5 Column C</v>
      </c>
      <c r="G12" s="670">
        <f>+'WP02 Support'!D18</f>
        <v>-558.01</v>
      </c>
      <c r="H12" s="1086">
        <f>+'WP02 Support'!D18</f>
        <v>-558.01</v>
      </c>
    </row>
    <row r="13" spans="1:13">
      <c r="A13" s="77">
        <f>+A12+1</f>
        <v>3</v>
      </c>
      <c r="B13" s="33"/>
      <c r="C13" s="15" t="s">
        <v>791</v>
      </c>
      <c r="D13" s="108"/>
      <c r="E13" s="36"/>
      <c r="F13" s="908" t="str">
        <f>"(Line "&amp;A11&amp;" + Line "&amp;A12&amp;")"</f>
        <v>(Line 1 + Line 2)</v>
      </c>
      <c r="G13" s="739">
        <f>+G11+G12</f>
        <v>1711292.99</v>
      </c>
      <c r="H13" s="1085">
        <f>+H11+H12</f>
        <v>1711292.99</v>
      </c>
    </row>
    <row r="14" spans="1:13">
      <c r="A14" s="77"/>
      <c r="B14" s="33"/>
      <c r="C14" s="15"/>
      <c r="D14" s="108"/>
      <c r="E14" s="36"/>
      <c r="F14" s="136"/>
      <c r="G14" s="457"/>
      <c r="H14" s="1085"/>
    </row>
    <row r="15" spans="1:13">
      <c r="A15" s="77">
        <f>+A13+1</f>
        <v>4</v>
      </c>
      <c r="B15" s="33"/>
      <c r="C15" s="15" t="s">
        <v>164</v>
      </c>
      <c r="D15" s="15"/>
      <c r="E15" s="36"/>
      <c r="F15" s="136" t="str">
        <f>+"WP03 W&amp;S Line "&amp;'WP03 W&amp;S'!A27&amp;" Column "&amp;'WP03 W&amp;S'!C5</f>
        <v>WP03 W&amp;S Line 5 Column B</v>
      </c>
      <c r="G15" s="101">
        <f>'WP03 W&amp;S'!C27</f>
        <v>23388777</v>
      </c>
      <c r="H15" s="1085">
        <f>'WP03 W&amp;S'!C27</f>
        <v>23388777</v>
      </c>
    </row>
    <row r="16" spans="1:13">
      <c r="A16" s="77">
        <f>+A15+1</f>
        <v>5</v>
      </c>
      <c r="B16" s="33"/>
      <c r="C16" s="465" t="s">
        <v>794</v>
      </c>
      <c r="D16" s="907"/>
      <c r="E16" s="76" t="str">
        <f>"(Note "&amp;A$335&amp;")"</f>
        <v>(Note FF)</v>
      </c>
      <c r="F16" s="137" t="str">
        <f>+"WP02 Support Line "&amp;'WP02 Support'!A28&amp;" Column "&amp;'WP02 Support'!D5</f>
        <v>WP02 Support Line 8 Column C</v>
      </c>
      <c r="G16" s="670">
        <f>+'WP02 Support'!D28</f>
        <v>-48402.088130151038</v>
      </c>
      <c r="H16" s="1086">
        <f>+'WP02 Support'!D28</f>
        <v>-48402.088130151038</v>
      </c>
    </row>
    <row r="17" spans="1:8">
      <c r="A17" s="77">
        <f>+A16+1</f>
        <v>6</v>
      </c>
      <c r="B17" s="33"/>
      <c r="C17" s="15" t="s">
        <v>793</v>
      </c>
      <c r="D17" s="108"/>
      <c r="E17" s="36"/>
      <c r="F17" s="50" t="str">
        <f>"(Line "&amp;A15&amp;" + Line "&amp;A16&amp;")"</f>
        <v>(Line 4 + Line 5)</v>
      </c>
      <c r="G17" s="101">
        <f>+G15+G16</f>
        <v>23340374.91186985</v>
      </c>
      <c r="H17" s="1085">
        <f>+H15+H16</f>
        <v>23340374.91186985</v>
      </c>
    </row>
    <row r="18" spans="1:8">
      <c r="A18" s="77"/>
      <c r="B18" s="33"/>
      <c r="C18" s="15"/>
      <c r="D18" s="15"/>
      <c r="E18" s="36"/>
      <c r="F18" s="136"/>
      <c r="G18" s="101"/>
      <c r="H18" s="1085"/>
    </row>
    <row r="19" spans="1:8">
      <c r="A19" s="77">
        <f>+A17+1</f>
        <v>7</v>
      </c>
      <c r="B19" s="33"/>
      <c r="C19" s="15" t="s">
        <v>796</v>
      </c>
      <c r="D19" s="15"/>
      <c r="E19" s="36"/>
      <c r="F19" s="136" t="str">
        <f>+"WP03 W&amp;S Line "&amp;'WP03 W&amp;S'!A33&amp;" Column "&amp;'WP03 W&amp;S'!C5</f>
        <v>WP03 W&amp;S Line 8 Column B</v>
      </c>
      <c r="G19" s="101">
        <f>'WP03 W&amp;S'!C33</f>
        <v>7832027</v>
      </c>
      <c r="H19" s="1085">
        <f>'WP03 W&amp;S'!C33</f>
        <v>7832027</v>
      </c>
    </row>
    <row r="20" spans="1:8">
      <c r="A20" s="77">
        <f>+A19+1</f>
        <v>8</v>
      </c>
      <c r="B20" s="33"/>
      <c r="C20" s="465" t="s">
        <v>790</v>
      </c>
      <c r="D20" s="907"/>
      <c r="E20" s="76" t="str">
        <f>"(Note "&amp;A$335&amp;")"</f>
        <v>(Note FF)</v>
      </c>
      <c r="F20" s="137" t="str">
        <f>+"WP02 Support Line "&amp;'WP02 Support'!A38&amp;" Column "&amp;'WP02 Support'!D5</f>
        <v>WP02 Support Line 11 Column C</v>
      </c>
      <c r="G20" s="670">
        <f>+'WP02 Support'!D38</f>
        <v>-47532.931848960463</v>
      </c>
      <c r="H20" s="1086">
        <f>+'WP02 Support'!D38</f>
        <v>-47532.931848960463</v>
      </c>
    </row>
    <row r="21" spans="1:8">
      <c r="A21" s="77">
        <f>+A20+1</f>
        <v>9</v>
      </c>
      <c r="B21" s="33"/>
      <c r="C21" s="15" t="s">
        <v>1055</v>
      </c>
      <c r="D21" s="108"/>
      <c r="E21" s="36"/>
      <c r="F21" s="50" t="str">
        <f>"(Line "&amp;A19&amp;" + Line "&amp;A20&amp;")"</f>
        <v>(Line 7 + Line 8)</v>
      </c>
      <c r="G21" s="101">
        <f>+G19+G20</f>
        <v>7784494.06815104</v>
      </c>
      <c r="H21" s="1085">
        <f>+H19+H20</f>
        <v>7784494.06815104</v>
      </c>
    </row>
    <row r="22" spans="1:8">
      <c r="A22" s="77"/>
      <c r="B22" s="33"/>
      <c r="C22" s="15"/>
      <c r="D22" s="15"/>
      <c r="E22" s="36"/>
      <c r="F22" s="136"/>
      <c r="G22" s="101"/>
      <c r="H22" s="1085"/>
    </row>
    <row r="23" spans="1:8">
      <c r="A23" s="77">
        <f>+A21+1</f>
        <v>10</v>
      </c>
      <c r="B23" s="33"/>
      <c r="C23" s="286" t="s">
        <v>795</v>
      </c>
      <c r="D23" s="287"/>
      <c r="E23" s="288"/>
      <c r="F23" s="912" t="str">
        <f>"(Line "&amp;A17&amp;" - Line "&amp;A21&amp;")"</f>
        <v>(Line 6 - Line 9)</v>
      </c>
      <c r="G23" s="914">
        <f>+G17-G21</f>
        <v>15555880.84371881</v>
      </c>
      <c r="H23" s="1087">
        <f>+H17-H21</f>
        <v>15555880.84371881</v>
      </c>
    </row>
    <row r="24" spans="1:8" ht="16.5" thickBot="1">
      <c r="A24" s="77">
        <f>+A23+1</f>
        <v>11</v>
      </c>
      <c r="B24" s="3" t="s">
        <v>202</v>
      </c>
      <c r="C24" s="3"/>
      <c r="D24" s="19"/>
      <c r="E24" s="53"/>
      <c r="F24" s="913" t="str">
        <f>"(Line "&amp;A13&amp;" / Line "&amp;A23&amp;")"</f>
        <v>(Line 3 / Line 10)</v>
      </c>
      <c r="G24" s="1385">
        <f>IF(G23=0,0,+G13/G23)</f>
        <v>0.11000939176587933</v>
      </c>
      <c r="H24" s="1511">
        <f>IF(H23=0,0,+H13/H23)</f>
        <v>0.11000939176587933</v>
      </c>
    </row>
    <row r="25" spans="1:8" ht="16.5" thickTop="1">
      <c r="A25" s="77"/>
      <c r="B25" s="33"/>
      <c r="C25" s="5"/>
      <c r="D25" s="9"/>
      <c r="E25" s="109"/>
      <c r="F25" s="143"/>
      <c r="G25" s="87"/>
      <c r="H25" s="1088"/>
    </row>
    <row r="26" spans="1:8" ht="15.75">
      <c r="A26" s="113"/>
      <c r="B26" s="5" t="s">
        <v>210</v>
      </c>
      <c r="C26" s="9"/>
      <c r="D26" s="15"/>
      <c r="E26" s="15"/>
      <c r="F26" s="132"/>
      <c r="G26" s="88"/>
      <c r="H26" s="1089"/>
    </row>
    <row r="27" spans="1:8">
      <c r="A27" s="77">
        <f>+A24+1</f>
        <v>12</v>
      </c>
      <c r="B27" s="15"/>
      <c r="C27" s="15" t="s">
        <v>594</v>
      </c>
      <c r="D27" s="459"/>
      <c r="E27" s="36" t="str">
        <f>"(Notes "&amp;A$305&amp;" "&amp;"&amp; "&amp;A$322&amp;")"</f>
        <v>(Notes B &amp; S)</v>
      </c>
      <c r="F27" s="136" t="str">
        <f>+"WP04 PIS Line "&amp;'WP04 PIS'!$A$23&amp;", Line "&amp;'WP04 PIS'!$A$21&amp;" Column "&amp;'WP04 PIS'!$L$5</f>
        <v>WP04 PIS Line 18, Line 16 Column K</v>
      </c>
      <c r="G27" s="101">
        <f>+'WP04 PIS'!L23</f>
        <v>915968511.13</v>
      </c>
      <c r="H27" s="1085">
        <f>+'WP04 PIS'!L21</f>
        <v>935695418.50999999</v>
      </c>
    </row>
    <row r="28" spans="1:8">
      <c r="A28" s="77">
        <f>+A27+1</f>
        <v>13</v>
      </c>
      <c r="B28" s="9"/>
      <c r="C28" s="465" t="s">
        <v>595</v>
      </c>
      <c r="D28" s="68"/>
      <c r="E28" s="76" t="str">
        <f>"(Notes "&amp;A$305&amp;" "&amp;"&amp; "&amp;A$322&amp;")"</f>
        <v>(Notes B &amp; S)</v>
      </c>
      <c r="F28" s="137" t="str">
        <f>+"WP04 PIS Line "&amp;'WP04 PIS'!$A$42&amp;", Line "&amp;'WP04 PIS'!$A$40&amp;" Column "&amp;'WP04 PIS'!$L$5</f>
        <v>WP04 PIS Line 37, Line 35 Column K</v>
      </c>
      <c r="G28" s="670">
        <f>+'WP04 PIS'!L42</f>
        <v>437344972.04692304</v>
      </c>
      <c r="H28" s="1086">
        <f>+'WP04 PIS'!L40</f>
        <v>448658276.32999998</v>
      </c>
    </row>
    <row r="29" spans="1:8">
      <c r="A29" s="77">
        <f>+A28+1</f>
        <v>14</v>
      </c>
      <c r="B29" s="15"/>
      <c r="C29" s="15" t="s">
        <v>596</v>
      </c>
      <c r="D29" s="15"/>
      <c r="E29" s="36"/>
      <c r="F29" s="136" t="str">
        <f>"(Line "&amp;A27&amp;" - Line "&amp;A28&amp;")"</f>
        <v>(Line 12 - Line 13)</v>
      </c>
      <c r="G29" s="101">
        <f>+G27-G28</f>
        <v>478623539.08307695</v>
      </c>
      <c r="H29" s="1085">
        <f>+H27-H28</f>
        <v>487037142.18000001</v>
      </c>
    </row>
    <row r="30" spans="1:8">
      <c r="A30" s="113"/>
      <c r="B30" s="15"/>
      <c r="C30" s="15"/>
      <c r="D30" s="15"/>
      <c r="E30" s="36"/>
      <c r="F30" s="132"/>
      <c r="G30" s="661"/>
      <c r="H30" s="1090"/>
    </row>
    <row r="31" spans="1:8">
      <c r="A31" s="77">
        <f>+A29+1</f>
        <v>15</v>
      </c>
      <c r="B31" s="15"/>
      <c r="C31" s="15" t="str">
        <f>+B50</f>
        <v>TOTAL Plant In Service - Transmission</v>
      </c>
      <c r="D31" s="459"/>
      <c r="E31" s="36"/>
      <c r="F31" s="137" t="str">
        <f>"(Line "&amp;A50&amp;")"</f>
        <v>(Line 27)</v>
      </c>
      <c r="G31" s="661">
        <f>+G50</f>
        <v>112853761.72890136</v>
      </c>
      <c r="H31" s="1090">
        <f>+H50</f>
        <v>120499302.78686926</v>
      </c>
    </row>
    <row r="32" spans="1:8" ht="16.5" thickBot="1">
      <c r="A32" s="77">
        <f>+A31+1</f>
        <v>16</v>
      </c>
      <c r="B32" s="162" t="s">
        <v>156</v>
      </c>
      <c r="C32" s="162"/>
      <c r="D32" s="460"/>
      <c r="E32" s="461"/>
      <c r="F32" s="133" t="str">
        <f>"(Line "&amp;A31&amp;" / Line "&amp;A27&amp;")"</f>
        <v>(Line 15 / Line 12)</v>
      </c>
      <c r="G32" s="1385">
        <f>IF(G27=0,0,+G31/G27)</f>
        <v>0.12320703207327227</v>
      </c>
      <c r="H32" s="1511">
        <f>IF(H27=0,0,+H31/H27)</f>
        <v>0.12878047749635471</v>
      </c>
    </row>
    <row r="33" spans="1:8" ht="15.75" thickTop="1">
      <c r="A33" s="113"/>
      <c r="B33" s="9"/>
      <c r="C33" s="9"/>
      <c r="D33" s="9"/>
      <c r="E33" s="36"/>
      <c r="F33" s="132"/>
      <c r="G33" s="88"/>
      <c r="H33" s="1089"/>
    </row>
    <row r="34" spans="1:8">
      <c r="A34" s="77">
        <f>+A32+1</f>
        <v>17</v>
      </c>
      <c r="B34" s="33"/>
      <c r="C34" s="61" t="str">
        <f>+B63</f>
        <v>TOTAL Net Property, Plant &amp; Equipment - Transmission</v>
      </c>
      <c r="D34" s="9"/>
      <c r="E34" s="36" t="str">
        <f>"(Notes "&amp;A$305&amp;" &amp; "&amp;A$322&amp;")"</f>
        <v>(Notes B &amp; S)</v>
      </c>
      <c r="F34" s="137" t="str">
        <f>"(Line "&amp;A63&amp;")"</f>
        <v>(Line 35)</v>
      </c>
      <c r="G34" s="661">
        <f>+G63</f>
        <v>46094698.015629843</v>
      </c>
      <c r="H34" s="1090">
        <f>+H63</f>
        <v>52360297.52704078</v>
      </c>
    </row>
    <row r="35" spans="1:8" ht="16.5" thickBot="1">
      <c r="A35" s="77">
        <f>+A34+1</f>
        <v>18</v>
      </c>
      <c r="B35" s="162" t="s">
        <v>207</v>
      </c>
      <c r="C35" s="162"/>
      <c r="D35" s="460"/>
      <c r="E35" s="461"/>
      <c r="F35" s="133" t="str">
        <f>"(Line "&amp;A34&amp;" / Line "&amp;A29&amp;")"</f>
        <v>(Line 17 / Line 14)</v>
      </c>
      <c r="G35" s="1385">
        <f>IF(G29=0,0,+G34/G29)</f>
        <v>9.6306792816616915E-2</v>
      </c>
      <c r="H35" s="1511">
        <f>IF(H29=0,0,+H34/H29)</f>
        <v>0.10750781201752653</v>
      </c>
    </row>
    <row r="36" spans="1:8" ht="16.5" thickTop="1">
      <c r="A36" s="126"/>
      <c r="B36" s="33"/>
      <c r="C36" s="5"/>
      <c r="D36" s="9"/>
      <c r="E36" s="109"/>
      <c r="F36" s="143"/>
      <c r="G36" s="87"/>
      <c r="H36" s="1091"/>
    </row>
    <row r="37" spans="1:8" s="267" customFormat="1" ht="15.75">
      <c r="A37" s="1080" t="s">
        <v>206</v>
      </c>
      <c r="B37" s="249"/>
      <c r="C37" s="250"/>
      <c r="D37" s="250"/>
      <c r="E37" s="251"/>
      <c r="F37" s="252"/>
      <c r="G37" s="253"/>
      <c r="H37" s="1092"/>
    </row>
    <row r="38" spans="1:8" s="267" customFormat="1" ht="15.75">
      <c r="A38" s="112"/>
      <c r="B38" s="20"/>
      <c r="C38" s="9"/>
      <c r="D38" s="9"/>
      <c r="E38" s="52"/>
      <c r="F38" s="132"/>
      <c r="G38" s="89"/>
      <c r="H38" s="1093"/>
    </row>
    <row r="39" spans="1:8" ht="15.75">
      <c r="A39" s="113"/>
      <c r="B39" s="5" t="str">
        <f>"Plant In Service "</f>
        <v xml:space="preserve">Plant In Service </v>
      </c>
      <c r="C39" s="9"/>
      <c r="D39" s="9"/>
      <c r="E39" s="109"/>
      <c r="F39" s="136"/>
      <c r="G39" s="71"/>
      <c r="H39" s="1094"/>
    </row>
    <row r="40" spans="1:8" ht="15.75">
      <c r="A40" s="113">
        <f>+A35+1</f>
        <v>19</v>
      </c>
      <c r="B40" s="5"/>
      <c r="C40" s="9" t="s">
        <v>768</v>
      </c>
      <c r="D40" s="9"/>
      <c r="E40" s="36" t="str">
        <f>"(Notes "&amp;A$305&amp;" &amp; "&amp;A$322&amp;")"</f>
        <v>(Notes B &amp; S)</v>
      </c>
      <c r="F40" s="136" t="str">
        <f>+"WP04 PIS Line "&amp;'WP04 PIS'!$A$23&amp;", Line "&amp;'WP04 PIS'!$A$21&amp;" Column "&amp;'WP04 PIS'!$G$5</f>
        <v>WP04 PIS Line 18, Line 16 Column F</v>
      </c>
      <c r="G40" s="101">
        <f>+'WP04 PIS'!G23</f>
        <v>98927458.053076923</v>
      </c>
      <c r="H40" s="1085">
        <f>+'WP04 PIS'!G21</f>
        <v>104723800.50999999</v>
      </c>
    </row>
    <row r="41" spans="1:8" ht="15.75">
      <c r="A41" s="113">
        <f>+A40+1</f>
        <v>20</v>
      </c>
      <c r="B41" s="5"/>
      <c r="C41" s="68" t="s">
        <v>769</v>
      </c>
      <c r="D41" s="68"/>
      <c r="E41" s="1019" t="str">
        <f>"(Notes "&amp;A$305&amp;" &amp; "&amp;A$322&amp;")"</f>
        <v>(Notes B &amp; S)</v>
      </c>
      <c r="F41" s="265" t="str">
        <f>+"WP05 CapAds Line "&amp;'WP05 CapAds'!$A$22&amp;" Column "&amp;'WP05 CapAds'!$D$6</f>
        <v>WP05 CapAds Line 16 Column C</v>
      </c>
      <c r="G41" s="670"/>
      <c r="H41" s="1086">
        <f>+'WP05 CapAds'!D22</f>
        <v>1862416.4833333334</v>
      </c>
    </row>
    <row r="42" spans="1:8">
      <c r="A42" s="113">
        <f>+A41+1</f>
        <v>21</v>
      </c>
      <c r="B42" s="33"/>
      <c r="C42" s="61" t="s">
        <v>138</v>
      </c>
      <c r="D42" s="9"/>
      <c r="E42" s="1008"/>
      <c r="F42" s="136" t="str">
        <f>"(Line"&amp;A40&amp;" + Line "&amp;A41&amp;")"</f>
        <v>(Line19 + Line 20)</v>
      </c>
      <c r="G42" s="101">
        <f>+G40+G41</f>
        <v>98927458.053076923</v>
      </c>
      <c r="H42" s="1085">
        <f>+H40+H41</f>
        <v>106586216.99333332</v>
      </c>
    </row>
    <row r="43" spans="1:8" ht="15.75">
      <c r="A43" s="77"/>
      <c r="B43" s="33"/>
      <c r="C43" s="5"/>
      <c r="D43" s="9"/>
      <c r="E43" s="36"/>
      <c r="F43" s="136"/>
      <c r="G43" s="74"/>
      <c r="H43" s="1095"/>
    </row>
    <row r="44" spans="1:8">
      <c r="A44" s="77">
        <f>+A42+1</f>
        <v>22</v>
      </c>
      <c r="B44" s="33"/>
      <c r="C44" s="61" t="s">
        <v>297</v>
      </c>
      <c r="D44" s="9"/>
      <c r="E44" s="36" t="str">
        <f>"(Notes "&amp;A$305&amp;" &amp; "&amp;A$322&amp;")"</f>
        <v>(Notes B &amp; S)</v>
      </c>
      <c r="F44" s="136" t="str">
        <f>+"WP04 PIS Line "&amp;'WP04 PIS'!$A$23&amp;", Line "&amp;'WP04 PIS'!$A$21&amp;" Column "&amp;'WP04 PIS'!$K$5</f>
        <v>WP04 PIS Line 18, Line 16 Column J</v>
      </c>
      <c r="G44" s="101">
        <f>+'WP04 PIS'!K23</f>
        <v>44199424.07692308</v>
      </c>
      <c r="H44" s="1085">
        <f>+'WP04 PIS'!K21</f>
        <v>43362689</v>
      </c>
    </row>
    <row r="45" spans="1:8">
      <c r="A45" s="77">
        <f>+A44+1</f>
        <v>23</v>
      </c>
      <c r="B45" s="33"/>
      <c r="C45" s="61" t="s">
        <v>483</v>
      </c>
      <c r="D45" s="9"/>
      <c r="E45" s="36" t="str">
        <f>"(Notes "&amp;A$305&amp;" &amp; "&amp;A$322&amp;")"</f>
        <v>(Notes B &amp; S)</v>
      </c>
      <c r="F45" s="137" t="str">
        <f>+"WP04 PIS Line "&amp;'WP04 PIS'!$A$23&amp;", Line "&amp;'WP04 PIS'!$A$21&amp;" Column "&amp;'WP04 PIS'!$C$5</f>
        <v>WP04 PIS Line 18, Line 16 Column B</v>
      </c>
      <c r="G45" s="670">
        <f>+'WP04 PIS'!C23</f>
        <v>82392528.230769232</v>
      </c>
      <c r="H45" s="1086">
        <f>+'WP04 PIS'!C21</f>
        <v>83109111</v>
      </c>
    </row>
    <row r="46" spans="1:8">
      <c r="A46" s="77">
        <f>+A45+1</f>
        <v>24</v>
      </c>
      <c r="B46" s="33"/>
      <c r="C46" s="286" t="s">
        <v>482</v>
      </c>
      <c r="D46" s="289"/>
      <c r="E46" s="290"/>
      <c r="F46" s="136" t="str">
        <f>"(Line"&amp;A44&amp;" + Line "&amp;A45&amp;")"</f>
        <v>(Line22 + Line 23)</v>
      </c>
      <c r="G46" s="101">
        <f>SUM(G44:G45)</f>
        <v>126591952.30769232</v>
      </c>
      <c r="H46" s="1085">
        <f>SUM(H44:H45)</f>
        <v>126471800</v>
      </c>
    </row>
    <row r="47" spans="1:8">
      <c r="A47" s="77">
        <f>+A46+1</f>
        <v>25</v>
      </c>
      <c r="B47" s="33"/>
      <c r="C47" s="58" t="s">
        <v>211</v>
      </c>
      <c r="D47" s="61"/>
      <c r="E47" s="109"/>
      <c r="F47" s="137" t="str">
        <f>"(Line "&amp;A$24&amp;")"</f>
        <v>(Line 11)</v>
      </c>
      <c r="G47" s="82">
        <f>+G24</f>
        <v>0.11000939176587933</v>
      </c>
      <c r="H47" s="1096">
        <f>H$24</f>
        <v>0.11000939176587933</v>
      </c>
    </row>
    <row r="48" spans="1:8">
      <c r="A48" s="77">
        <f>+A47+1</f>
        <v>26</v>
      </c>
      <c r="B48" s="15"/>
      <c r="C48" s="286" t="s">
        <v>484</v>
      </c>
      <c r="D48" s="292"/>
      <c r="E48" s="288"/>
      <c r="F48" s="136" t="str">
        <f>"(Line "&amp;A46&amp;" * Line "&amp;A47&amp;")"</f>
        <v>(Line 24 * Line 25)</v>
      </c>
      <c r="G48" s="101">
        <f>+G46*G47</f>
        <v>13926303.675824435</v>
      </c>
      <c r="H48" s="1085">
        <f>+H46*H47</f>
        <v>13913085.793535937</v>
      </c>
    </row>
    <row r="49" spans="1:8" ht="15.75">
      <c r="A49" s="113"/>
      <c r="B49" s="15"/>
      <c r="C49" s="5"/>
      <c r="D49" s="15"/>
      <c r="E49" s="36"/>
      <c r="F49" s="132"/>
      <c r="G49" s="101"/>
      <c r="H49" s="1085"/>
    </row>
    <row r="50" spans="1:8" s="1" customFormat="1" ht="16.5" thickBot="1">
      <c r="A50" s="77">
        <f>+A48+1</f>
        <v>27</v>
      </c>
      <c r="B50" s="162" t="s">
        <v>597</v>
      </c>
      <c r="C50" s="162"/>
      <c r="D50" s="162"/>
      <c r="E50" s="163"/>
      <c r="F50" s="462" t="str">
        <f>"(Line "&amp;A42&amp;" + Line "&amp;A48&amp;")"</f>
        <v>(Line 21 + Line 26)</v>
      </c>
      <c r="G50" s="599">
        <f>+G48+G42</f>
        <v>112853761.72890136</v>
      </c>
      <c r="H50" s="1097">
        <f>+H48+H42</f>
        <v>120499302.78686926</v>
      </c>
    </row>
    <row r="51" spans="1:8" ht="15.75" thickTop="1">
      <c r="A51" s="113"/>
      <c r="B51" s="15"/>
      <c r="C51" s="15"/>
      <c r="D51" s="15"/>
      <c r="E51" s="36"/>
      <c r="F51" s="132"/>
      <c r="G51" s="661"/>
      <c r="H51" s="1090"/>
    </row>
    <row r="52" spans="1:8" ht="15.75">
      <c r="A52" s="77"/>
      <c r="B52" s="5" t="s">
        <v>183</v>
      </c>
      <c r="C52" s="5"/>
      <c r="D52" s="50"/>
      <c r="E52" s="109"/>
      <c r="F52" s="136"/>
      <c r="G52" s="101"/>
      <c r="H52" s="1085"/>
    </row>
    <row r="53" spans="1:8" s="267" customFormat="1">
      <c r="A53" s="77">
        <f>+A50+1</f>
        <v>28</v>
      </c>
      <c r="B53" s="33"/>
      <c r="C53" s="61" t="s">
        <v>265</v>
      </c>
      <c r="D53" s="34"/>
      <c r="E53" s="36" t="str">
        <f>"(Notes "&amp;A$305&amp;" &amp; "&amp;A$322&amp;")"</f>
        <v>(Notes B &amp; S)</v>
      </c>
      <c r="F53" s="136" t="str">
        <f>+"WP04 PIS Line "&amp;'WP04 PIS'!$A$42&amp;", Line "&amp;'WP04 PIS'!$A$40&amp;" Column "&amp;'WP04 PIS'!$G$5</f>
        <v>WP04 PIS Line 37, Line 35 Column F</v>
      </c>
      <c r="G53" s="738">
        <f>+'WP04 PIS'!G42</f>
        <v>59877779.739230767</v>
      </c>
      <c r="H53" s="1086">
        <f>+'WP04 PIS'!G40</f>
        <v>61099144.329999998</v>
      </c>
    </row>
    <row r="54" spans="1:8" s="267" customFormat="1">
      <c r="A54" s="77"/>
      <c r="B54" s="33"/>
      <c r="C54" s="61"/>
      <c r="D54" s="34"/>
      <c r="E54" s="15"/>
      <c r="F54" s="136"/>
      <c r="G54" s="739"/>
      <c r="H54" s="1085"/>
    </row>
    <row r="55" spans="1:8">
      <c r="A55" s="77">
        <f>+A53+1</f>
        <v>29</v>
      </c>
      <c r="B55" s="33"/>
      <c r="C55" s="61" t="s">
        <v>233</v>
      </c>
      <c r="D55" s="9"/>
      <c r="E55" s="36" t="str">
        <f>"(Notes "&amp;A$305&amp;" &amp; "&amp;A$322&amp;")"</f>
        <v>(Notes B &amp; S)</v>
      </c>
      <c r="F55" s="136" t="str">
        <f>+"WP04 PIS Line "&amp;'WP04 PIS'!$A$42&amp;", Line "&amp;'WP04 PIS'!$A$40&amp;" Column "&amp;'WP04 PIS'!$K$5</f>
        <v>WP04 PIS Line 37, Line 35 Column J</v>
      </c>
      <c r="G55" s="101">
        <f>+'WP04 PIS'!K42</f>
        <v>-516736.53846153844</v>
      </c>
      <c r="H55" s="1085">
        <f>+'WP04 PIS'!K40</f>
        <v>-1235165</v>
      </c>
    </row>
    <row r="56" spans="1:8">
      <c r="A56" s="77">
        <f>+A55+1</f>
        <v>30</v>
      </c>
      <c r="B56" s="33"/>
      <c r="C56" s="63" t="s">
        <v>264</v>
      </c>
      <c r="D56" s="68"/>
      <c r="E56" s="76" t="str">
        <f>"(Notes "&amp;A$305&amp;" &amp; "&amp;A$322&amp;")"</f>
        <v>(Notes B &amp; S)</v>
      </c>
      <c r="F56" s="137" t="str">
        <f>+"WP04 PIS Line "&amp;'WP04 PIS'!$A$42&amp;", Line "&amp;'WP04 PIS'!$A$40&amp;" Column "&amp;'WP04 PIS'!$C$5</f>
        <v>WP04 PIS Line 37, Line 35 Column B</v>
      </c>
      <c r="G56" s="670">
        <f>+'WP04 PIS'!C42</f>
        <v>63068522.92307692</v>
      </c>
      <c r="H56" s="1086">
        <f>+'WP04 PIS'!C40</f>
        <v>65228437</v>
      </c>
    </row>
    <row r="57" spans="1:8">
      <c r="A57" s="77">
        <f>+A56+1</f>
        <v>31</v>
      </c>
      <c r="B57" s="33"/>
      <c r="C57" s="61" t="s">
        <v>759</v>
      </c>
      <c r="D57" s="9"/>
      <c r="E57" s="109"/>
      <c r="F57" s="136" t="str">
        <f>"(Sum Line "&amp;A55&amp;" + Line "&amp;A56&amp;")"</f>
        <v>(Sum Line 29 + Line 30)</v>
      </c>
      <c r="G57" s="101">
        <f>SUM(G55:G56)</f>
        <v>62551786.384615384</v>
      </c>
      <c r="H57" s="1085">
        <f>SUM(H55:H56)</f>
        <v>63993272</v>
      </c>
    </row>
    <row r="58" spans="1:8">
      <c r="A58" s="77">
        <f>+A57+1</f>
        <v>32</v>
      </c>
      <c r="B58" s="33"/>
      <c r="C58" s="61" t="str">
        <f>+C47</f>
        <v>Wage &amp; Salary Allocation Factor</v>
      </c>
      <c r="D58" s="9"/>
      <c r="E58" s="109"/>
      <c r="F58" s="137" t="str">
        <f>"(Line "&amp;A$24&amp;")"</f>
        <v>(Line 11)</v>
      </c>
      <c r="G58" s="82">
        <f>+G24</f>
        <v>0.11000939176587933</v>
      </c>
      <c r="H58" s="1096">
        <f>H$24</f>
        <v>0.11000939176587933</v>
      </c>
    </row>
    <row r="59" spans="1:8">
      <c r="A59" s="77">
        <f>+A58+1</f>
        <v>33</v>
      </c>
      <c r="B59" s="15"/>
      <c r="C59" s="286" t="s">
        <v>485</v>
      </c>
      <c r="D59" s="292"/>
      <c r="E59" s="290"/>
      <c r="F59" s="136" t="str">
        <f>"(Line "&amp;A57&amp;" * Line "&amp;A58&amp;")"</f>
        <v>(Line 31 * Line 32)</v>
      </c>
      <c r="G59" s="101">
        <f>+G58*G57</f>
        <v>6881283.9740407504</v>
      </c>
      <c r="H59" s="1085">
        <f>+H58*H57</f>
        <v>7039860.9298284762</v>
      </c>
    </row>
    <row r="60" spans="1:8">
      <c r="A60" s="113"/>
      <c r="B60" s="15"/>
      <c r="C60" s="15"/>
      <c r="D60" s="15"/>
      <c r="E60" s="36"/>
      <c r="F60" s="132"/>
      <c r="G60" s="692"/>
      <c r="H60" s="1098"/>
    </row>
    <row r="61" spans="1:8" ht="16.5" thickBot="1">
      <c r="A61" s="77">
        <f>+A59+1</f>
        <v>34</v>
      </c>
      <c r="B61" s="162" t="s">
        <v>598</v>
      </c>
      <c r="C61" s="162"/>
      <c r="D61" s="162"/>
      <c r="E61" s="163"/>
      <c r="F61" s="462" t="str">
        <f>"(Line "&amp;A53&amp;" + Line "&amp;A59&amp;")"</f>
        <v>(Line 28 + Line 33)</v>
      </c>
      <c r="G61" s="599">
        <f>+G59+G53</f>
        <v>66759063.713271514</v>
      </c>
      <c r="H61" s="1097">
        <f>+H59+H53</f>
        <v>68139005.259828478</v>
      </c>
    </row>
    <row r="62" spans="1:8" ht="15.75" thickTop="1">
      <c r="A62" s="113"/>
      <c r="B62" s="15"/>
      <c r="C62" s="15"/>
      <c r="D62" s="15"/>
      <c r="E62" s="36"/>
      <c r="F62" s="132"/>
      <c r="G62" s="661"/>
      <c r="H62" s="1090"/>
    </row>
    <row r="63" spans="1:8" ht="16.5" thickBot="1">
      <c r="A63" s="77">
        <f>+A61+1</f>
        <v>35</v>
      </c>
      <c r="B63" s="162" t="s">
        <v>599</v>
      </c>
      <c r="C63" s="162"/>
      <c r="D63" s="162"/>
      <c r="E63" s="163"/>
      <c r="F63" s="462" t="str">
        <f>"(Line "&amp;A50&amp;" - Line "&amp;A61&amp;")"</f>
        <v>(Line 27 - Line 34)</v>
      </c>
      <c r="G63" s="599">
        <f>+G50-G61</f>
        <v>46094698.015629843</v>
      </c>
      <c r="H63" s="1097">
        <f>+H50-H61</f>
        <v>52360297.52704078</v>
      </c>
    </row>
    <row r="64" spans="1:8" ht="15.75" thickTop="1">
      <c r="A64" s="113"/>
      <c r="B64" s="15"/>
      <c r="C64" s="15"/>
      <c r="D64" s="15"/>
      <c r="E64" s="36"/>
      <c r="F64" s="132"/>
      <c r="G64" s="70"/>
      <c r="H64" s="1099"/>
    </row>
    <row r="65" spans="1:19" ht="15.75">
      <c r="A65" s="1080" t="s">
        <v>712</v>
      </c>
      <c r="B65" s="249"/>
      <c r="C65" s="250"/>
      <c r="D65" s="250"/>
      <c r="E65" s="251"/>
      <c r="F65" s="252"/>
      <c r="G65" s="253"/>
      <c r="H65" s="1092"/>
    </row>
    <row r="66" spans="1:19">
      <c r="A66" s="114"/>
      <c r="B66" s="115"/>
      <c r="C66" s="115"/>
      <c r="D66" s="115"/>
      <c r="E66" s="28"/>
      <c r="F66" s="135"/>
      <c r="G66" s="86"/>
      <c r="H66" s="1089"/>
    </row>
    <row r="67" spans="1:19" ht="15.75">
      <c r="A67" s="110"/>
      <c r="B67" s="5" t="s">
        <v>246</v>
      </c>
      <c r="C67" s="1016"/>
      <c r="D67" s="1016"/>
      <c r="E67" s="464" t="str">
        <f>"(Note "&amp;A$332&amp;")"</f>
        <v>(Note CC)</v>
      </c>
      <c r="F67" s="132"/>
      <c r="G67" s="86"/>
      <c r="H67" s="1089"/>
    </row>
    <row r="68" spans="1:19">
      <c r="A68" s="110">
        <f>+A63+1</f>
        <v>36</v>
      </c>
      <c r="B68" s="115"/>
      <c r="C68" s="9" t="s">
        <v>237</v>
      </c>
      <c r="D68" s="9"/>
      <c r="E68" s="36" t="str">
        <f>"(Note "&amp;A$339&amp;")"</f>
        <v>(Note JJ)</v>
      </c>
      <c r="F68" s="132" t="str">
        <f>+"WP06 ADIT Line "&amp;'WP06 ADIT'!$A$13&amp;" Columns "&amp;'WP06 ADIT'!$G$5&amp;", "&amp;'WP06 ADIT'!$K$5</f>
        <v>WP06 ADIT Line 7 Columns F, J</v>
      </c>
      <c r="G68" s="661">
        <f>+'WP06 ADIT'!G$13</f>
        <v>-2981000.0450000004</v>
      </c>
      <c r="H68" s="1090">
        <f>+'WP06 ADIT'!K13</f>
        <v>-2644963.59</v>
      </c>
    </row>
    <row r="69" spans="1:19">
      <c r="A69" s="110">
        <f t="shared" ref="A69:A75" si="0">+A68+1</f>
        <v>37</v>
      </c>
      <c r="B69" s="115"/>
      <c r="C69" s="9" t="s">
        <v>260</v>
      </c>
      <c r="D69" s="9"/>
      <c r="E69" s="36" t="str">
        <f>"(Note "&amp;A$339&amp;")"</f>
        <v>(Note JJ)</v>
      </c>
      <c r="F69" s="132" t="str">
        <f>+"WP06 ADIT Line "&amp;'WP06 ADIT'!$A$13&amp;" Columns "&amp;'WP06 ADIT'!$H$5&amp;", "&amp;'WP06 ADIT'!$L$5</f>
        <v>WP06 ADIT Line 7 Columns G, K</v>
      </c>
      <c r="G69" s="661">
        <f>+'WP06 ADIT'!H13</f>
        <v>-99738072.249999985</v>
      </c>
      <c r="H69" s="1090">
        <f>+'WP06 ADIT'!L13</f>
        <v>-86974250.730000004</v>
      </c>
    </row>
    <row r="70" spans="1:19">
      <c r="A70" s="110">
        <f t="shared" si="0"/>
        <v>38</v>
      </c>
      <c r="B70" s="115"/>
      <c r="C70" s="58" t="str">
        <f>+B32</f>
        <v>Gross Plant Allocator</v>
      </c>
      <c r="D70" s="14"/>
      <c r="E70" s="33"/>
      <c r="F70" s="136" t="str">
        <f>"(Line "&amp;A$32&amp;")"</f>
        <v>(Line 16)</v>
      </c>
      <c r="G70" s="93">
        <f>+G$32</f>
        <v>0.12320703207327227</v>
      </c>
      <c r="H70" s="1100">
        <f>+H$32</f>
        <v>0.12878047749635471</v>
      </c>
    </row>
    <row r="71" spans="1:19">
      <c r="A71" s="110">
        <f t="shared" si="0"/>
        <v>39</v>
      </c>
      <c r="B71" s="115"/>
      <c r="C71" s="58" t="str">
        <f>+"Total Transmission Allocated "&amp;C69</f>
        <v>Total Transmission Allocated Plant</v>
      </c>
      <c r="D71" s="9"/>
      <c r="E71" s="36"/>
      <c r="F71" s="136" t="str">
        <f>"(Line "&amp;A69&amp;" * Line "&amp;A70&amp;")"</f>
        <v>(Line 37 * Line 38)</v>
      </c>
      <c r="G71" s="640">
        <f>+G69*G70</f>
        <v>-12288431.866632095</v>
      </c>
      <c r="H71" s="1101">
        <f>+H69*H70</f>
        <v>-11200585.538897078</v>
      </c>
    </row>
    <row r="72" spans="1:19">
      <c r="A72" s="110">
        <f t="shared" si="0"/>
        <v>40</v>
      </c>
      <c r="B72" s="115"/>
      <c r="C72" s="9" t="s">
        <v>245</v>
      </c>
      <c r="D72" s="9"/>
      <c r="E72" s="36" t="str">
        <f>"(Note "&amp;A$339&amp;")"</f>
        <v>(Note JJ)</v>
      </c>
      <c r="F72" s="132" t="str">
        <f>+"WP06 ADIT Line "&amp;'WP06 ADIT'!$A$13&amp;" Columns "&amp;'WP06 ADIT'!$I$5&amp;", "&amp;'WP06 ADIT'!$M$5</f>
        <v>WP06 ADIT Line 7 Columns H, L</v>
      </c>
      <c r="G72" s="661">
        <f>+'WP06 ADIT'!I13</f>
        <v>-1846112.8099999996</v>
      </c>
      <c r="H72" s="1090">
        <f>+'WP06 ADIT'!M13</f>
        <v>-1619148.7599999998</v>
      </c>
    </row>
    <row r="73" spans="1:19" ht="15.75">
      <c r="A73" s="110">
        <f t="shared" si="0"/>
        <v>41</v>
      </c>
      <c r="B73" s="115"/>
      <c r="C73" s="9" t="s">
        <v>211</v>
      </c>
      <c r="D73" s="9"/>
      <c r="E73" s="52"/>
      <c r="F73" s="132" t="str">
        <f>"(Line "&amp;A$24&amp;")"</f>
        <v>(Line 11)</v>
      </c>
      <c r="G73" s="257">
        <f>+G$24</f>
        <v>0.11000939176587933</v>
      </c>
      <c r="H73" s="1096">
        <f>H$24</f>
        <v>0.11000939176587933</v>
      </c>
    </row>
    <row r="74" spans="1:19">
      <c r="A74" s="110">
        <f t="shared" si="0"/>
        <v>42</v>
      </c>
      <c r="B74" s="116"/>
      <c r="C74" s="25" t="str">
        <f>+"Total Transmission Allocated "&amp;C72</f>
        <v>Total Transmission Allocated Labor</v>
      </c>
      <c r="D74" s="68"/>
      <c r="E74" s="76"/>
      <c r="F74" s="137" t="str">
        <f>"(Line "&amp;A72&amp;" * Line "&amp;A73&amp;")"</f>
        <v>(Line 40 * Line 41)</v>
      </c>
      <c r="G74" s="915">
        <f>+G72*G73</f>
        <v>-203089.74735929832</v>
      </c>
      <c r="H74" s="1102">
        <f>+H72*H73</f>
        <v>-178121.5702660777</v>
      </c>
      <c r="I74" s="267"/>
      <c r="J74" s="267"/>
      <c r="K74" s="267"/>
      <c r="L74" s="267"/>
    </row>
    <row r="75" spans="1:19" s="267" customFormat="1">
      <c r="A75" s="110">
        <f t="shared" si="0"/>
        <v>43</v>
      </c>
      <c r="B75" s="9" t="s">
        <v>1295</v>
      </c>
      <c r="C75" s="9"/>
      <c r="D75" s="15"/>
      <c r="F75" s="136" t="str">
        <f>"(Line "&amp;A68&amp;" + Line "&amp;A71&amp;" + Line "&amp;A74&amp;")"</f>
        <v>(Line 36 + Line 39 + Line 42)</v>
      </c>
      <c r="G75" s="101">
        <f>+G68+G71+G74</f>
        <v>-15472521.658991393</v>
      </c>
      <c r="H75" s="1085">
        <f>+H68+H71+H74</f>
        <v>-14023670.699163156</v>
      </c>
    </row>
    <row r="76" spans="1:19">
      <c r="A76" s="113"/>
      <c r="B76" s="15"/>
      <c r="C76" s="58"/>
      <c r="D76" s="15"/>
      <c r="E76" s="36"/>
      <c r="F76" s="132"/>
      <c r="G76" s="91"/>
      <c r="H76" s="1103"/>
      <c r="I76" s="267"/>
      <c r="J76" s="267"/>
      <c r="K76" s="267"/>
      <c r="L76" s="267"/>
    </row>
    <row r="77" spans="1:19">
      <c r="A77" s="113">
        <f>+A75+1</f>
        <v>44</v>
      </c>
      <c r="B77" s="15" t="s">
        <v>786</v>
      </c>
      <c r="C77" s="58"/>
      <c r="D77" s="15"/>
      <c r="E77" s="36" t="str">
        <f>"(Note "&amp;A312&amp;")"</f>
        <v>(Note I)</v>
      </c>
      <c r="F77" s="138" t="s">
        <v>965</v>
      </c>
      <c r="G77" s="212">
        <v>0</v>
      </c>
      <c r="H77" s="1104">
        <v>0</v>
      </c>
      <c r="I77" s="267"/>
      <c r="J77" s="267"/>
      <c r="K77" s="267"/>
      <c r="L77" s="267"/>
      <c r="M77" s="267"/>
      <c r="N77" s="267"/>
      <c r="O77" s="267"/>
      <c r="P77" s="267"/>
      <c r="Q77" s="267"/>
      <c r="R77" s="267"/>
      <c r="S77" s="267"/>
    </row>
    <row r="78" spans="1:19">
      <c r="A78" s="113"/>
      <c r="B78" s="15"/>
      <c r="C78" s="58"/>
      <c r="D78" s="15"/>
      <c r="E78" s="36"/>
      <c r="F78" s="132"/>
      <c r="G78" s="91"/>
      <c r="H78" s="1103"/>
      <c r="I78" s="267"/>
      <c r="J78" s="267"/>
      <c r="K78" s="267"/>
      <c r="L78" s="267"/>
    </row>
    <row r="79" spans="1:19" ht="15.75">
      <c r="A79" s="77"/>
      <c r="B79" s="37" t="s">
        <v>1001</v>
      </c>
      <c r="C79" s="9"/>
      <c r="D79" s="9"/>
      <c r="E79" s="36"/>
      <c r="F79" s="141"/>
      <c r="G79" s="88"/>
      <c r="H79" s="1089"/>
      <c r="I79" s="267"/>
      <c r="J79" s="267"/>
      <c r="K79" s="267"/>
      <c r="L79" s="267"/>
    </row>
    <row r="80" spans="1:19" ht="15.75">
      <c r="A80" s="77">
        <f>+A77+1</f>
        <v>45</v>
      </c>
      <c r="B80" s="41"/>
      <c r="C80" s="9" t="s">
        <v>237</v>
      </c>
      <c r="D80" s="9"/>
      <c r="E80" s="36" t="str">
        <f>"(Notes "&amp;A$335&amp;" &amp; "&amp;A$340&amp;")"</f>
        <v>(Notes FF &amp; KK)</v>
      </c>
      <c r="F80" s="132" t="str">
        <f>+"WP02 Support Line "&amp;'WP02 Support'!A$84&amp;" Column "&amp;'WP02 Support'!F$41</f>
        <v>WP02 Support Line 27 Column E</v>
      </c>
      <c r="G80" s="661">
        <f>+'WP02 Support'!F84</f>
        <v>0</v>
      </c>
      <c r="H80" s="1090">
        <f>+'WP02 Support'!F84</f>
        <v>0</v>
      </c>
      <c r="I80" s="267"/>
      <c r="J80" s="267"/>
      <c r="K80" s="267"/>
      <c r="L80" s="267"/>
    </row>
    <row r="81" spans="1:12">
      <c r="A81" s="77">
        <f>+A80+1</f>
        <v>46</v>
      </c>
      <c r="B81" s="116"/>
      <c r="C81" s="9" t="s">
        <v>260</v>
      </c>
      <c r="D81" s="9"/>
      <c r="E81" s="36" t="str">
        <f>"(Notes "&amp;A$335&amp;" &amp; "&amp;A$340&amp;")"</f>
        <v>(Notes FF &amp; KK)</v>
      </c>
      <c r="F81" s="132" t="str">
        <f>+"WP02 Support Line "&amp;'WP02 Support'!A$84&amp;" Column "&amp;'WP02 Support'!G$41</f>
        <v>WP02 Support Line 27 Column F</v>
      </c>
      <c r="G81" s="661">
        <f>+'WP02 Support'!G84</f>
        <v>0</v>
      </c>
      <c r="H81" s="1090">
        <f>+'WP02 Support'!G84</f>
        <v>0</v>
      </c>
      <c r="I81" s="267"/>
      <c r="J81" s="267"/>
      <c r="K81" s="267"/>
      <c r="L81" s="267"/>
    </row>
    <row r="82" spans="1:12">
      <c r="A82" s="77">
        <f t="shared" ref="A82:A87" si="1">+A81+1</f>
        <v>47</v>
      </c>
      <c r="B82" s="33"/>
      <c r="C82" s="58" t="s">
        <v>188</v>
      </c>
      <c r="D82" s="14"/>
      <c r="E82" s="33"/>
      <c r="F82" s="136" t="str">
        <f>"(Line "&amp;A$35&amp;")"</f>
        <v>(Line 18)</v>
      </c>
      <c r="G82" s="93">
        <f>+G$35</f>
        <v>9.6306792816616915E-2</v>
      </c>
      <c r="H82" s="1100">
        <f>+H$35</f>
        <v>0.10750781201752653</v>
      </c>
      <c r="I82" s="267"/>
      <c r="J82" s="267"/>
      <c r="K82" s="267"/>
      <c r="L82" s="267"/>
    </row>
    <row r="83" spans="1:12">
      <c r="A83" s="77">
        <f t="shared" si="1"/>
        <v>48</v>
      </c>
      <c r="B83" s="116"/>
      <c r="C83" s="58" t="str">
        <f>+"Total Transmission Allocated "&amp;C81</f>
        <v>Total Transmission Allocated Plant</v>
      </c>
      <c r="D83" s="9"/>
      <c r="E83" s="36"/>
      <c r="F83" s="136" t="str">
        <f>"(Line "&amp;A81&amp;" * Line "&amp;A82&amp;")"</f>
        <v>(Line 46 * Line 47)</v>
      </c>
      <c r="G83" s="640">
        <f>+G81*G82</f>
        <v>0</v>
      </c>
      <c r="H83" s="1101">
        <f>+H81*H82</f>
        <v>0</v>
      </c>
      <c r="I83" s="267"/>
      <c r="J83" s="267"/>
      <c r="K83" s="267"/>
      <c r="L83" s="267"/>
    </row>
    <row r="84" spans="1:12">
      <c r="A84" s="77">
        <f t="shared" si="1"/>
        <v>49</v>
      </c>
      <c r="B84" s="116"/>
      <c r="C84" s="9" t="s">
        <v>245</v>
      </c>
      <c r="D84" s="9"/>
      <c r="E84" s="36" t="str">
        <f>"(Notes "&amp;A$335&amp;" &amp; "&amp;A$340&amp;")"</f>
        <v>(Notes FF &amp; KK)</v>
      </c>
      <c r="F84" s="132" t="str">
        <f>+"WP02 Support Line "&amp;'WP02 Support'!A$84&amp;" Column "&amp;'WP02 Support'!H$41</f>
        <v>WP02 Support Line 27 Column G</v>
      </c>
      <c r="G84" s="661">
        <f>+'WP02 Support'!H84</f>
        <v>-7091615.1269230777</v>
      </c>
      <c r="H84" s="1090">
        <f>+'WP02 Support'!H84</f>
        <v>-7091615.1269230777</v>
      </c>
      <c r="I84" s="267"/>
      <c r="J84" s="267"/>
      <c r="K84" s="267"/>
      <c r="L84" s="267"/>
    </row>
    <row r="85" spans="1:12" s="267" customFormat="1" ht="15.75">
      <c r="A85" s="77">
        <f t="shared" si="1"/>
        <v>50</v>
      </c>
      <c r="B85" s="51"/>
      <c r="C85" s="9" t="s">
        <v>211</v>
      </c>
      <c r="D85" s="9"/>
      <c r="E85" s="52"/>
      <c r="F85" s="132" t="str">
        <f>"(Line "&amp;A$24&amp;")"</f>
        <v>(Line 11)</v>
      </c>
      <c r="G85" s="257">
        <f>+G$24</f>
        <v>0.11000939176587933</v>
      </c>
      <c r="H85" s="1096">
        <f>H$24</f>
        <v>0.11000939176587933</v>
      </c>
    </row>
    <row r="86" spans="1:12">
      <c r="A86" s="77">
        <f t="shared" si="1"/>
        <v>51</v>
      </c>
      <c r="B86" s="116"/>
      <c r="C86" s="25" t="str">
        <f>+"Total Transmission Allocated "&amp;C84</f>
        <v>Total Transmission Allocated Labor</v>
      </c>
      <c r="D86" s="68"/>
      <c r="E86" s="76"/>
      <c r="F86" s="137" t="str">
        <f>"(Line "&amp;A84&amp;" * Line "&amp;A85&amp;")"</f>
        <v>(Line 49 * Line 50)</v>
      </c>
      <c r="G86" s="915">
        <f>+G84*G85</f>
        <v>-780144.26675051695</v>
      </c>
      <c r="H86" s="1102">
        <f>+H84*H85</f>
        <v>-780144.26675051695</v>
      </c>
      <c r="I86" s="267"/>
      <c r="J86" s="267"/>
      <c r="K86" s="267"/>
      <c r="L86" s="267"/>
    </row>
    <row r="87" spans="1:12">
      <c r="A87" s="113">
        <f t="shared" si="1"/>
        <v>52</v>
      </c>
      <c r="B87" s="15" t="s">
        <v>600</v>
      </c>
      <c r="C87" s="15"/>
      <c r="D87" s="15"/>
      <c r="E87" s="36" t="str">
        <f>"(Note "&amp;A$325&amp;")"</f>
        <v>(Note V)</v>
      </c>
      <c r="F87" s="136" t="str">
        <f>"(Line "&amp;A80&amp;" + Line "&amp;A83&amp;" + Line "&amp;A86&amp;")"</f>
        <v>(Line 45 + Line 48 + Line 51)</v>
      </c>
      <c r="G87" s="640">
        <f>+G80+G83+G86</f>
        <v>-780144.26675051695</v>
      </c>
      <c r="H87" s="1101">
        <f>+H80+H83+H86</f>
        <v>-780144.26675051695</v>
      </c>
      <c r="I87" s="267"/>
      <c r="J87" s="267"/>
      <c r="K87" s="267"/>
      <c r="L87" s="267"/>
    </row>
    <row r="88" spans="1:12" ht="15.75">
      <c r="A88" s="77"/>
      <c r="B88" s="5"/>
      <c r="C88" s="9"/>
      <c r="D88" s="83"/>
      <c r="E88" s="36"/>
      <c r="F88" s="136"/>
      <c r="G88" s="90"/>
      <c r="H88" s="1105"/>
      <c r="I88" s="267"/>
      <c r="J88" s="267"/>
      <c r="K88" s="267"/>
      <c r="L88" s="267"/>
    </row>
    <row r="89" spans="1:12" ht="15.75">
      <c r="A89" s="77"/>
      <c r="B89" s="41" t="s">
        <v>182</v>
      </c>
      <c r="C89" s="15"/>
      <c r="D89" s="15"/>
      <c r="E89" s="36"/>
      <c r="F89" s="142"/>
      <c r="G89" s="92"/>
      <c r="H89" s="1106"/>
      <c r="I89" s="267"/>
      <c r="J89" s="267"/>
      <c r="K89" s="267"/>
      <c r="L89" s="267"/>
    </row>
    <row r="90" spans="1:12">
      <c r="A90" s="77">
        <f>+A87+1</f>
        <v>53</v>
      </c>
      <c r="B90" s="116"/>
      <c r="C90" s="58" t="s">
        <v>173</v>
      </c>
      <c r="D90" s="9"/>
      <c r="E90" s="36" t="str">
        <f>"(Note "&amp;A$340&amp;")"</f>
        <v>(Note KK)</v>
      </c>
      <c r="F90" s="15" t="str">
        <f>+"WP07 M&amp;S Line "&amp;'WP07 M&amp;S'!A9&amp;" Column "&amp;'WP07 M&amp;S'!Q$6</f>
        <v>WP07 M&amp;S Line 2 Column P</v>
      </c>
      <c r="G90" s="662">
        <f>'WP07 M&amp;S'!Q9</f>
        <v>0</v>
      </c>
      <c r="H90" s="1107">
        <f>'WP07 M&amp;S'!Q9</f>
        <v>0</v>
      </c>
      <c r="I90" s="267"/>
      <c r="J90" s="267"/>
      <c r="K90" s="267"/>
      <c r="L90" s="267"/>
    </row>
    <row r="91" spans="1:12">
      <c r="A91" s="113">
        <f>+A90+1</f>
        <v>54</v>
      </c>
      <c r="B91" s="15"/>
      <c r="C91" s="15" t="s">
        <v>910</v>
      </c>
      <c r="D91" s="9"/>
      <c r="E91" s="36" t="str">
        <f>"(Notes "&amp;A$304&amp;" &amp; "&amp;A$340&amp;")"</f>
        <v>(Notes A &amp; KK)</v>
      </c>
      <c r="F91" s="15" t="str">
        <f>+"WP07 M&amp;S Line "&amp;'WP07 M&amp;S'!A10&amp;" Column "&amp;'WP07 M&amp;S'!Q$6</f>
        <v>WP07 M&amp;S Line 3 Column P</v>
      </c>
      <c r="G91" s="676">
        <f>'WP07 M&amp;S'!Q10</f>
        <v>1402202.3846153845</v>
      </c>
      <c r="H91" s="1108">
        <f>'WP07 M&amp;S'!Q10</f>
        <v>1402202.3846153845</v>
      </c>
      <c r="I91" s="267"/>
      <c r="J91" s="267"/>
      <c r="K91" s="267"/>
      <c r="L91" s="267"/>
    </row>
    <row r="92" spans="1:12" s="267" customFormat="1" ht="15.75">
      <c r="A92" s="113">
        <f>+A91+1</f>
        <v>55</v>
      </c>
      <c r="B92" s="51"/>
      <c r="C92" s="9" t="s">
        <v>211</v>
      </c>
      <c r="D92" s="9"/>
      <c r="E92" s="52"/>
      <c r="F92" s="15" t="str">
        <f>"(Line "&amp;A$24&amp;")"</f>
        <v>(Line 11)</v>
      </c>
      <c r="G92" s="257">
        <f>+G$24</f>
        <v>0.11000939176587933</v>
      </c>
      <c r="H92" s="1096">
        <f>H$24</f>
        <v>0.11000939176587933</v>
      </c>
    </row>
    <row r="93" spans="1:12">
      <c r="A93" s="77">
        <f>+A92+1</f>
        <v>56</v>
      </c>
      <c r="B93" s="116"/>
      <c r="C93" s="58" t="s">
        <v>218</v>
      </c>
      <c r="D93" s="9"/>
      <c r="E93" s="36"/>
      <c r="F93" s="137" t="str">
        <f>"(Line "&amp;A91&amp;" * Line "&amp;A92&amp;")"</f>
        <v>(Line 54 * Line 55)</v>
      </c>
      <c r="G93" s="662">
        <f>+G91*G92</f>
        <v>154255.43146420404</v>
      </c>
      <c r="H93" s="1107">
        <f>+H91*H92</f>
        <v>154255.43146420404</v>
      </c>
      <c r="I93" s="267"/>
      <c r="J93" s="267"/>
      <c r="K93" s="267"/>
      <c r="L93" s="267"/>
    </row>
    <row r="94" spans="1:12" ht="15.75">
      <c r="A94" s="77">
        <f>+A93+1</f>
        <v>57</v>
      </c>
      <c r="B94" s="116"/>
      <c r="C94" s="293" t="s">
        <v>181</v>
      </c>
      <c r="D94" s="294"/>
      <c r="E94" s="295"/>
      <c r="F94" s="136" t="str">
        <f>"(Line "&amp;A93&amp;" + Line "&amp;A90&amp;")"</f>
        <v>(Line 56 + Line 53)</v>
      </c>
      <c r="G94" s="663">
        <f>+G90+G93</f>
        <v>154255.43146420404</v>
      </c>
      <c r="H94" s="1109">
        <f>+H90+H93</f>
        <v>154255.43146420404</v>
      </c>
      <c r="I94" s="267"/>
      <c r="J94" s="267"/>
      <c r="K94" s="267"/>
      <c r="L94" s="267"/>
    </row>
    <row r="95" spans="1:12">
      <c r="A95" s="77"/>
      <c r="B95" s="116"/>
      <c r="C95" s="9"/>
      <c r="D95" s="9"/>
      <c r="E95" s="36"/>
      <c r="F95" s="141"/>
      <c r="G95" s="88"/>
      <c r="H95" s="1089"/>
      <c r="I95" s="267"/>
      <c r="J95" s="267"/>
      <c r="K95" s="267"/>
      <c r="L95" s="267"/>
    </row>
    <row r="96" spans="1:12" ht="15.75">
      <c r="A96" s="77"/>
      <c r="B96" s="41" t="s">
        <v>184</v>
      </c>
      <c r="C96" s="9"/>
      <c r="D96" s="9"/>
      <c r="E96" s="36"/>
      <c r="F96" s="141"/>
      <c r="G96" s="88"/>
      <c r="H96" s="1089"/>
      <c r="I96" s="267"/>
      <c r="J96" s="267"/>
      <c r="K96" s="267"/>
      <c r="L96" s="267"/>
    </row>
    <row r="97" spans="1:20" ht="15.75">
      <c r="A97" s="77">
        <f>+A94+1</f>
        <v>58</v>
      </c>
      <c r="B97" s="41"/>
      <c r="C97" s="9" t="s">
        <v>237</v>
      </c>
      <c r="D97" s="9"/>
      <c r="E97" s="36" t="str">
        <f>"(Note "&amp;A$340&amp;")"</f>
        <v>(Note KK)</v>
      </c>
      <c r="F97" s="132" t="str">
        <f>+"WP08 Prepay Line "&amp;'WP08 Prepay'!A$41&amp;" Column "&amp;'WP08 Prepay'!F$5</f>
        <v>WP08 Prepay Line 8 Column E</v>
      </c>
      <c r="G97" s="661">
        <f>+'WP08 Prepay'!F$41</f>
        <v>0</v>
      </c>
      <c r="H97" s="1090">
        <f>+'WP08 Prepay'!F41</f>
        <v>0</v>
      </c>
      <c r="I97" s="267"/>
      <c r="J97" s="267"/>
      <c r="K97" s="267"/>
      <c r="L97" s="267"/>
    </row>
    <row r="98" spans="1:20">
      <c r="A98" s="77">
        <f>+A97+1</f>
        <v>59</v>
      </c>
      <c r="B98" s="116"/>
      <c r="C98" s="9" t="s">
        <v>260</v>
      </c>
      <c r="D98" s="9"/>
      <c r="E98" s="36" t="str">
        <f>"(Note "&amp;A$340&amp;")"</f>
        <v>(Note KK)</v>
      </c>
      <c r="F98" s="132" t="str">
        <f>+"WP08 Prepay Line "&amp;'WP08 Prepay'!A41&amp;" Column "&amp;'WP08 Prepay'!G$5</f>
        <v>WP08 Prepay Line 8 Column F</v>
      </c>
      <c r="G98" s="661">
        <f>+'WP08 Prepay'!G41</f>
        <v>7583036.7761538466</v>
      </c>
      <c r="H98" s="1090">
        <f>+'WP08 Prepay'!G41</f>
        <v>7583036.7761538466</v>
      </c>
      <c r="I98" s="267"/>
      <c r="J98" s="267"/>
      <c r="K98" s="267"/>
      <c r="L98" s="267"/>
    </row>
    <row r="99" spans="1:20">
      <c r="A99" s="77">
        <f t="shared" ref="A99:A104" si="2">+A98+1</f>
        <v>60</v>
      </c>
      <c r="B99" s="33"/>
      <c r="C99" s="58" t="s">
        <v>188</v>
      </c>
      <c r="D99" s="14"/>
      <c r="E99" s="33"/>
      <c r="F99" s="136" t="str">
        <f>"(Line "&amp;A$35&amp;")"</f>
        <v>(Line 18)</v>
      </c>
      <c r="G99" s="93">
        <f>+G$35</f>
        <v>9.6306792816616915E-2</v>
      </c>
      <c r="H99" s="1100">
        <f>+H$35</f>
        <v>0.10750781201752653</v>
      </c>
      <c r="I99" s="267"/>
      <c r="J99" s="267"/>
      <c r="K99" s="267"/>
      <c r="L99" s="267"/>
    </row>
    <row r="100" spans="1:20">
      <c r="A100" s="77">
        <f t="shared" si="2"/>
        <v>61</v>
      </c>
      <c r="B100" s="116"/>
      <c r="C100" s="58" t="str">
        <f>+"Total Transmission Allocated "&amp;C98</f>
        <v>Total Transmission Allocated Plant</v>
      </c>
      <c r="D100" s="9"/>
      <c r="E100" s="36"/>
      <c r="F100" s="136" t="str">
        <f>"(Line "&amp;A98&amp;" * Line "&amp;A99&amp;")"</f>
        <v>(Line 59 * Line 60)</v>
      </c>
      <c r="G100" s="640">
        <f>+G98*G99</f>
        <v>730297.95172183518</v>
      </c>
      <c r="H100" s="1101">
        <f>+H98*H99</f>
        <v>815235.69225273817</v>
      </c>
      <c r="I100" s="267"/>
      <c r="J100" s="267"/>
      <c r="K100" s="267"/>
      <c r="L100" s="267"/>
    </row>
    <row r="101" spans="1:20">
      <c r="A101" s="77">
        <f t="shared" si="2"/>
        <v>62</v>
      </c>
      <c r="B101" s="116"/>
      <c r="C101" s="9" t="s">
        <v>245</v>
      </c>
      <c r="D101" s="9"/>
      <c r="E101" s="36" t="str">
        <f>"(Note "&amp;A$340&amp;")"</f>
        <v>(Note KK)</v>
      </c>
      <c r="F101" s="132" t="str">
        <f>+"WP08 Prepay Line "&amp;'WP08 Prepay'!A$41&amp;" Column "&amp;'WP08 Prepay'!H$5</f>
        <v>WP08 Prepay Line 8 Column G</v>
      </c>
      <c r="G101" s="661">
        <f>+'WP08 Prepay'!H41</f>
        <v>366715.34</v>
      </c>
      <c r="H101" s="1090">
        <f>+'WP08 Prepay'!H41</f>
        <v>366715.34</v>
      </c>
      <c r="I101" s="267"/>
      <c r="J101" s="267"/>
      <c r="K101" s="267"/>
      <c r="L101" s="267"/>
    </row>
    <row r="102" spans="1:20" s="267" customFormat="1" ht="15.75">
      <c r="A102" s="113">
        <f t="shared" si="2"/>
        <v>63</v>
      </c>
      <c r="B102" s="51"/>
      <c r="C102" s="9" t="s">
        <v>211</v>
      </c>
      <c r="D102" s="9"/>
      <c r="E102" s="52"/>
      <c r="F102" s="132" t="str">
        <f>"(Line "&amp;A$24&amp;")"</f>
        <v>(Line 11)</v>
      </c>
      <c r="G102" s="257">
        <f>+G$24</f>
        <v>0.11000939176587933</v>
      </c>
      <c r="H102" s="1096">
        <f>H$24</f>
        <v>0.11000939176587933</v>
      </c>
    </row>
    <row r="103" spans="1:20">
      <c r="A103" s="77">
        <f t="shared" si="2"/>
        <v>64</v>
      </c>
      <c r="B103" s="116"/>
      <c r="C103" s="25" t="str">
        <f>+"Total Transmission Allocated "&amp;C101</f>
        <v>Total Transmission Allocated Labor</v>
      </c>
      <c r="D103" s="68"/>
      <c r="E103" s="76"/>
      <c r="F103" s="137" t="str">
        <f>"(Line "&amp;A101&amp;" * Line "&amp;A102&amp;")"</f>
        <v>(Line 62 * Line 63)</v>
      </c>
      <c r="G103" s="915">
        <f>+G101*G102</f>
        <v>40342.131504617639</v>
      </c>
      <c r="H103" s="1102">
        <f>+H101*H102</f>
        <v>40342.131504617639</v>
      </c>
      <c r="I103" s="267"/>
      <c r="J103" s="267"/>
      <c r="K103" s="267"/>
      <c r="L103" s="267"/>
    </row>
    <row r="104" spans="1:20">
      <c r="A104" s="77">
        <f t="shared" si="2"/>
        <v>65</v>
      </c>
      <c r="B104" s="58" t="s">
        <v>601</v>
      </c>
      <c r="C104" s="58"/>
      <c r="D104" s="34"/>
      <c r="E104" s="464" t="str">
        <f>"(Note "&amp;A$304&amp;")"</f>
        <v>(Note A)</v>
      </c>
      <c r="F104" s="136" t="str">
        <f>"(Line "&amp;A97&amp;" + Line "&amp;A100&amp;" + Line "&amp;A103&amp;")"</f>
        <v>(Line 58 + Line 61 + Line 64)</v>
      </c>
      <c r="G104" s="640">
        <f>+G97+G100+G103</f>
        <v>770640.08322645281</v>
      </c>
      <c r="H104" s="1101">
        <f>+H97+H100+H103</f>
        <v>855577.8237573558</v>
      </c>
      <c r="I104" s="267"/>
      <c r="J104" s="267"/>
      <c r="K104" s="267"/>
      <c r="L104" s="267"/>
    </row>
    <row r="105" spans="1:20">
      <c r="A105" s="77"/>
      <c r="B105" s="116"/>
      <c r="C105" s="15"/>
      <c r="D105" s="9"/>
      <c r="E105" s="33"/>
      <c r="F105" s="136"/>
      <c r="G105" s="91"/>
      <c r="H105" s="1103"/>
      <c r="I105" s="267"/>
      <c r="J105" s="267"/>
      <c r="K105" s="267"/>
      <c r="L105" s="267"/>
    </row>
    <row r="106" spans="1:20">
      <c r="A106" s="77">
        <f>+A104+1</f>
        <v>66</v>
      </c>
      <c r="B106" s="61" t="s">
        <v>602</v>
      </c>
      <c r="C106" s="9"/>
      <c r="D106" s="83"/>
      <c r="E106" s="36" t="str">
        <f>"(Notes "&amp;A$305&amp;" &amp; "&amp;A$306&amp;")"</f>
        <v>(Notes B &amp; C)</v>
      </c>
      <c r="F106" s="1017" t="str">
        <f>+"WP09 PHFU Line "&amp;'WP09 PHFU'!A11&amp;" Columns "&amp;'WP09 PHFU'!P5&amp;", "&amp;'WP09 PHFU'!O5</f>
        <v>WP09 PHFU Line 5 Columns O, N</v>
      </c>
      <c r="G106" s="71">
        <f>+'WP09 PHFU'!P11</f>
        <v>0</v>
      </c>
      <c r="H106" s="1094">
        <f>+'WP09 PHFU'!O11</f>
        <v>0</v>
      </c>
      <c r="I106" s="267"/>
      <c r="J106" s="267"/>
      <c r="K106" s="267"/>
      <c r="L106" s="267"/>
    </row>
    <row r="107" spans="1:20">
      <c r="A107" s="77"/>
      <c r="B107" s="116"/>
      <c r="C107" s="58"/>
      <c r="D107" s="9"/>
      <c r="E107" s="33"/>
      <c r="F107" s="142"/>
      <c r="G107" s="88"/>
      <c r="H107" s="1089"/>
      <c r="I107" s="267"/>
      <c r="J107" s="267"/>
      <c r="K107" s="267"/>
      <c r="L107" s="267"/>
    </row>
    <row r="108" spans="1:20" ht="15.75">
      <c r="A108" s="77"/>
      <c r="B108" s="41" t="s">
        <v>185</v>
      </c>
      <c r="C108" s="15"/>
      <c r="D108" s="9"/>
      <c r="E108" s="36"/>
      <c r="F108" s="142"/>
      <c r="G108" s="88"/>
      <c r="H108" s="1089"/>
      <c r="I108" s="267"/>
      <c r="J108" s="267"/>
      <c r="K108" s="267"/>
      <c r="L108" s="267"/>
    </row>
    <row r="109" spans="1:20">
      <c r="A109" s="77">
        <f>+A106+1</f>
        <v>67</v>
      </c>
      <c r="B109" s="116"/>
      <c r="C109" s="58" t="s">
        <v>217</v>
      </c>
      <c r="D109" s="14"/>
      <c r="E109" s="36"/>
      <c r="F109" s="136" t="str">
        <f>"(Line "&amp;A$156&amp;")"</f>
        <v>(Line 102)</v>
      </c>
      <c r="G109" s="640">
        <f>+G156</f>
        <v>5012291.3252070853</v>
      </c>
      <c r="H109" s="1101">
        <f>+H156</f>
        <v>5033155.1948481584</v>
      </c>
      <c r="I109" s="267"/>
      <c r="J109" s="267"/>
      <c r="K109" s="267"/>
      <c r="L109" s="267"/>
      <c r="M109" s="267"/>
      <c r="N109" s="267"/>
      <c r="O109" s="267"/>
      <c r="P109" s="267"/>
      <c r="Q109" s="267"/>
      <c r="R109" s="267"/>
      <c r="S109" s="267"/>
      <c r="T109" s="267"/>
    </row>
    <row r="110" spans="1:20">
      <c r="A110" s="77">
        <f>+A109+1</f>
        <v>68</v>
      </c>
      <c r="B110" s="116"/>
      <c r="C110" s="14" t="s">
        <v>243</v>
      </c>
      <c r="D110" s="14"/>
      <c r="E110" s="36" t="str">
        <f>"(Note "&amp;A$311&amp;")"</f>
        <v>(Note H)</v>
      </c>
      <c r="F110" s="919"/>
      <c r="G110" s="673">
        <v>0</v>
      </c>
      <c r="H110" s="1121">
        <v>0</v>
      </c>
      <c r="I110" s="267"/>
      <c r="J110" s="267"/>
      <c r="K110" s="267"/>
      <c r="L110" s="267"/>
    </row>
    <row r="111" spans="1:20" s="1" customFormat="1" ht="15.75">
      <c r="A111" s="77">
        <f>+A110+1</f>
        <v>69</v>
      </c>
      <c r="B111" s="117"/>
      <c r="C111" s="916" t="s">
        <v>172</v>
      </c>
      <c r="D111" s="917"/>
      <c r="E111" s="918"/>
      <c r="F111" s="136" t="str">
        <f>"(Line "&amp;A109&amp;" * Line "&amp;A110&amp;")"</f>
        <v>(Line 67 * Line 68)</v>
      </c>
      <c r="G111" s="640">
        <f>+G109*G110</f>
        <v>0</v>
      </c>
      <c r="H111" s="1101">
        <f>+H109*H110</f>
        <v>0</v>
      </c>
      <c r="I111" s="37"/>
      <c r="J111" s="37"/>
      <c r="K111" s="37"/>
      <c r="L111" s="37"/>
    </row>
    <row r="112" spans="1:20" s="1" customFormat="1" ht="15.75">
      <c r="A112" s="77"/>
      <c r="B112" s="117"/>
      <c r="C112" s="41"/>
      <c r="D112" s="1018"/>
      <c r="E112" s="193"/>
      <c r="F112" s="136"/>
      <c r="G112" s="664"/>
      <c r="H112" s="1111"/>
      <c r="I112" s="37"/>
      <c r="J112" s="37"/>
      <c r="K112" s="37"/>
      <c r="L112" s="37"/>
    </row>
    <row r="113" spans="1:14" s="1" customFormat="1" ht="15.75">
      <c r="A113" s="118"/>
      <c r="B113" s="41" t="s">
        <v>250</v>
      </c>
      <c r="C113" s="38"/>
      <c r="D113" s="56"/>
      <c r="E113" s="38"/>
      <c r="F113" s="131"/>
      <c r="G113" s="664"/>
      <c r="H113" s="1111"/>
      <c r="I113" s="37"/>
      <c r="J113" s="37"/>
      <c r="K113" s="37"/>
      <c r="L113" s="37"/>
    </row>
    <row r="114" spans="1:14" ht="15.75">
      <c r="A114" s="77">
        <f>+A111+1</f>
        <v>70</v>
      </c>
      <c r="B114" s="10"/>
      <c r="C114" s="15" t="s">
        <v>252</v>
      </c>
      <c r="D114" s="10"/>
      <c r="E114" s="36" t="str">
        <f>"(Notes "&amp;A$305&amp;" &amp; "&amp;A$317&amp;")"</f>
        <v>(Notes B &amp; N)</v>
      </c>
      <c r="F114" s="132"/>
      <c r="G114" s="212">
        <v>0</v>
      </c>
      <c r="H114" s="1104">
        <v>0</v>
      </c>
      <c r="I114" s="37"/>
      <c r="J114" s="37"/>
      <c r="K114" s="37"/>
      <c r="L114" s="37"/>
      <c r="M114" s="1"/>
      <c r="N114" s="1"/>
    </row>
    <row r="115" spans="1:14" ht="15.75">
      <c r="A115" s="110">
        <f>+A114+1</f>
        <v>71</v>
      </c>
      <c r="B115" s="15"/>
      <c r="C115" s="465" t="s">
        <v>911</v>
      </c>
      <c r="D115" s="465"/>
      <c r="E115" s="76" t="str">
        <f>"(Notes "&amp;A$305&amp;" &amp; "&amp;A$317&amp;")"</f>
        <v>(Notes B &amp; N)</v>
      </c>
      <c r="F115" s="265"/>
      <c r="G115" s="723">
        <v>0</v>
      </c>
      <c r="H115" s="1112">
        <v>0</v>
      </c>
      <c r="I115" s="37"/>
      <c r="J115" s="37"/>
      <c r="K115" s="37"/>
      <c r="L115" s="37"/>
      <c r="M115" s="1"/>
      <c r="N115" s="1"/>
    </row>
    <row r="116" spans="1:14" ht="15.75">
      <c r="A116" s="110">
        <f>+A115+1</f>
        <v>72</v>
      </c>
      <c r="B116" s="10"/>
      <c r="C116" s="10" t="s">
        <v>253</v>
      </c>
      <c r="D116" s="10"/>
      <c r="E116" s="36"/>
      <c r="F116" s="131" t="str">
        <f>"(Line "&amp;A114&amp;" - Line "&amp;A115&amp;")"</f>
        <v>(Line 70 - Line 71)</v>
      </c>
      <c r="G116" s="663">
        <f>+G114-G115</f>
        <v>0</v>
      </c>
      <c r="H116" s="1109">
        <f>+H114-H115</f>
        <v>0</v>
      </c>
      <c r="I116" s="37"/>
      <c r="J116" s="37"/>
      <c r="K116" s="37"/>
      <c r="L116" s="37"/>
      <c r="M116" s="1"/>
      <c r="N116" s="1"/>
    </row>
    <row r="117" spans="1:14" ht="15.75">
      <c r="A117" s="110"/>
      <c r="B117" s="10"/>
      <c r="C117" s="10"/>
      <c r="D117" s="10"/>
      <c r="E117" s="36"/>
      <c r="F117" s="135"/>
      <c r="G117" s="665"/>
      <c r="H117" s="1113"/>
      <c r="I117" s="37"/>
      <c r="J117" s="37"/>
      <c r="K117" s="37"/>
      <c r="L117" s="37"/>
      <c r="M117" s="1"/>
      <c r="N117" s="1"/>
    </row>
    <row r="118" spans="1:14" ht="16.5" thickBot="1">
      <c r="A118" s="110">
        <f>+A116+1</f>
        <v>73</v>
      </c>
      <c r="B118" s="4" t="s">
        <v>212</v>
      </c>
      <c r="C118" s="4"/>
      <c r="D118" s="4"/>
      <c r="E118" s="163"/>
      <c r="F118" s="1025" t="str">
        <f>"(Line "&amp;A75&amp;" + Line "&amp;A77&amp;" + Line "&amp;A87&amp;" + Line "&amp;A94&amp;" + Line "&amp;A104&amp;" + Line "&amp;A106&amp;" + Line "&amp;A111&amp;" - Line "&amp;A116&amp;" )"</f>
        <v>(Line 43 + Line 44 + Line 52 + Line 57 + Line 65 + Line 66 + Line 69 - Line 72 )</v>
      </c>
      <c r="G118" s="599">
        <f>SUM(G75,G77,G87,G104,G106,G94,G111)-G116</f>
        <v>-15327770.411051251</v>
      </c>
      <c r="H118" s="1097">
        <f>SUM(H75,H87,H104,H106,H94,H111)-H116+H77</f>
        <v>-13793981.710692111</v>
      </c>
      <c r="I118" s="37"/>
      <c r="J118" s="37"/>
      <c r="K118" s="37"/>
      <c r="L118" s="37"/>
      <c r="M118" s="1"/>
      <c r="N118" s="1"/>
    </row>
    <row r="119" spans="1:14" ht="16.5" thickTop="1">
      <c r="A119" s="110"/>
      <c r="B119" s="10"/>
      <c r="C119" s="10"/>
      <c r="D119" s="10"/>
      <c r="E119" s="28"/>
      <c r="F119" s="135"/>
      <c r="G119" s="665"/>
      <c r="H119" s="1113"/>
      <c r="I119" s="37"/>
      <c r="J119" s="37"/>
      <c r="K119" s="37"/>
      <c r="L119" s="37"/>
      <c r="M119" s="1"/>
      <c r="N119" s="1"/>
    </row>
    <row r="120" spans="1:14" ht="16.5" thickBot="1">
      <c r="A120" s="107">
        <f>+A118+1</f>
        <v>74</v>
      </c>
      <c r="B120" s="4" t="s">
        <v>208</v>
      </c>
      <c r="C120" s="4"/>
      <c r="D120" s="4"/>
      <c r="E120" s="29"/>
      <c r="F120" s="133" t="str">
        <f>"(Line "&amp;A63&amp;" + Line "&amp;A118&amp;")"</f>
        <v>(Line 35 + Line 73)</v>
      </c>
      <c r="G120" s="666">
        <f>+G63+G118</f>
        <v>30766927.604578592</v>
      </c>
      <c r="H120" s="1114">
        <f>+H63+H118</f>
        <v>38566315.816348672</v>
      </c>
      <c r="I120" s="37"/>
      <c r="J120" s="37"/>
      <c r="K120" s="37"/>
      <c r="L120" s="37"/>
      <c r="M120" s="1"/>
      <c r="N120" s="1"/>
    </row>
    <row r="121" spans="1:14" ht="16.5" thickTop="1">
      <c r="A121" s="119"/>
      <c r="B121" s="10"/>
      <c r="C121" s="10"/>
      <c r="D121" s="10"/>
      <c r="E121" s="28"/>
      <c r="F121" s="135"/>
      <c r="G121" s="665"/>
      <c r="H121" s="1113"/>
      <c r="I121" s="37"/>
      <c r="J121" s="37"/>
      <c r="K121" s="37"/>
      <c r="L121" s="37"/>
      <c r="M121" s="1"/>
      <c r="N121" s="1"/>
    </row>
    <row r="122" spans="1:14" s="267" customFormat="1" ht="15.75">
      <c r="A122" s="1080" t="s">
        <v>227</v>
      </c>
      <c r="B122" s="249"/>
      <c r="C122" s="250"/>
      <c r="D122" s="250"/>
      <c r="E122" s="909"/>
      <c r="F122" s="252"/>
      <c r="G122" s="667"/>
      <c r="H122" s="1115"/>
      <c r="I122" s="37"/>
      <c r="J122" s="37"/>
      <c r="K122" s="37"/>
      <c r="L122" s="37"/>
      <c r="M122" s="1"/>
      <c r="N122" s="1"/>
    </row>
    <row r="123" spans="1:14" s="267" customFormat="1" ht="15.75">
      <c r="A123" s="120"/>
      <c r="B123" s="9"/>
      <c r="C123" s="9"/>
      <c r="D123" s="9"/>
      <c r="E123" s="52"/>
      <c r="F123" s="132"/>
      <c r="G123" s="668"/>
      <c r="H123" s="1116"/>
      <c r="I123" s="37"/>
      <c r="J123" s="37"/>
      <c r="K123" s="37"/>
      <c r="L123" s="37"/>
      <c r="M123" s="1"/>
      <c r="N123" s="1"/>
    </row>
    <row r="124" spans="1:14" ht="15.75">
      <c r="A124" s="107"/>
      <c r="B124" s="5" t="s">
        <v>760</v>
      </c>
      <c r="C124" s="6"/>
      <c r="D124" s="49"/>
      <c r="E124" s="55"/>
      <c r="F124" s="135"/>
      <c r="G124" s="669"/>
      <c r="H124" s="1117"/>
      <c r="I124" s="37"/>
      <c r="J124" s="37"/>
      <c r="K124" s="37"/>
      <c r="L124" s="37"/>
      <c r="M124" s="1"/>
      <c r="N124" s="1"/>
    </row>
    <row r="125" spans="1:14" ht="15.75">
      <c r="A125" s="77">
        <f>+A120+1</f>
        <v>75</v>
      </c>
      <c r="B125" s="33"/>
      <c r="C125" s="61" t="s">
        <v>201</v>
      </c>
      <c r="D125" s="9"/>
      <c r="E125" s="36" t="str">
        <f>"(Note "&amp;A$318&amp;")"</f>
        <v>(Note O)</v>
      </c>
      <c r="F125" s="136" t="s">
        <v>968</v>
      </c>
      <c r="G125" s="212">
        <v>14388782</v>
      </c>
      <c r="H125" s="1104">
        <v>14388782</v>
      </c>
      <c r="I125" s="37"/>
      <c r="J125" s="37"/>
      <c r="K125" s="37"/>
      <c r="L125" s="37"/>
      <c r="M125" s="1"/>
      <c r="N125" s="1"/>
    </row>
    <row r="126" spans="1:14" ht="15.75">
      <c r="A126" s="77">
        <f>+A125+1</f>
        <v>76</v>
      </c>
      <c r="B126" s="33"/>
      <c r="C126" s="187" t="s">
        <v>774</v>
      </c>
      <c r="D126" s="9"/>
      <c r="E126" s="36" t="str">
        <f>"(Note "&amp;A$334&amp;")"</f>
        <v>(Note EE)</v>
      </c>
      <c r="F126" s="136" t="s">
        <v>1286</v>
      </c>
      <c r="G126" s="212">
        <v>2283293</v>
      </c>
      <c r="H126" s="1104">
        <v>2283293</v>
      </c>
      <c r="I126" s="37"/>
      <c r="J126" s="37"/>
      <c r="K126" s="37"/>
      <c r="L126" s="37"/>
      <c r="M126" s="1"/>
      <c r="N126" s="1"/>
    </row>
    <row r="127" spans="1:14" ht="15.75">
      <c r="A127" s="77">
        <f>+A126+1</f>
        <v>77</v>
      </c>
      <c r="B127" s="33"/>
      <c r="C127" s="187" t="s">
        <v>912</v>
      </c>
      <c r="D127" s="9"/>
      <c r="E127" s="920"/>
      <c r="F127" s="61" t="s">
        <v>1056</v>
      </c>
      <c r="G127" s="212">
        <v>10360669</v>
      </c>
      <c r="H127" s="1104">
        <v>10360669</v>
      </c>
      <c r="I127" s="37"/>
      <c r="J127" s="37"/>
      <c r="K127" s="37"/>
      <c r="L127" s="37"/>
      <c r="M127" s="1"/>
      <c r="N127" s="1"/>
    </row>
    <row r="128" spans="1:14" ht="15.75">
      <c r="A128" s="77">
        <f t="shared" ref="A128:A129" si="3">+A127+1</f>
        <v>78</v>
      </c>
      <c r="B128" s="33"/>
      <c r="C128" s="187" t="s">
        <v>1292</v>
      </c>
      <c r="D128" s="9"/>
      <c r="E128" s="920"/>
      <c r="F128" s="61" t="s">
        <v>1293</v>
      </c>
      <c r="G128" s="212">
        <v>0</v>
      </c>
      <c r="H128" s="1104">
        <v>0</v>
      </c>
      <c r="I128" s="37"/>
      <c r="J128" s="37"/>
      <c r="K128" s="37"/>
      <c r="L128" s="37"/>
      <c r="M128" s="1"/>
      <c r="N128" s="1"/>
    </row>
    <row r="129" spans="1:14" ht="15.75">
      <c r="A129" s="77">
        <f t="shared" si="3"/>
        <v>79</v>
      </c>
      <c r="B129" s="33"/>
      <c r="C129" s="921" t="s">
        <v>802</v>
      </c>
      <c r="D129" s="9"/>
      <c r="E129" s="36" t="str">
        <f>"(Note "&amp;A$335&amp;")"</f>
        <v>(Note FF)</v>
      </c>
      <c r="F129" s="687" t="str">
        <f>+"WP02 Support Line "&amp;'WP02 Support'!A96&amp;" Column "&amp;'WP02 Support'!D87</f>
        <v>WP02 Support Line 32 Column C</v>
      </c>
      <c r="G129" s="670">
        <f>+'WP02 Support'!D96</f>
        <v>-9731.7099999999991</v>
      </c>
      <c r="H129" s="1086">
        <f>+'WP02 Support'!D96</f>
        <v>-9731.7099999999991</v>
      </c>
      <c r="I129" s="37"/>
      <c r="J129" s="37"/>
      <c r="K129" s="37"/>
      <c r="L129" s="37"/>
      <c r="M129" s="1"/>
      <c r="N129" s="1"/>
    </row>
    <row r="130" spans="1:14" ht="15.75">
      <c r="A130" s="77">
        <f>+A129+1</f>
        <v>80</v>
      </c>
      <c r="B130" s="9"/>
      <c r="C130" s="291" t="s">
        <v>201</v>
      </c>
      <c r="D130" s="289"/>
      <c r="E130" s="290"/>
      <c r="F130" s="136" t="str">
        <f>"(Line "&amp;A125&amp;" - Line "&amp;A126&amp;" - Line "&amp;A127&amp;" + Line "&amp;A128&amp;" + "&amp;" Line "&amp;A129&amp;")"</f>
        <v>(Line 75 - Line 76 - Line 77 + Line 78 +  Line 79)</v>
      </c>
      <c r="G130" s="74">
        <f>+G125-G126-G127+G128+G129</f>
        <v>1735088.29</v>
      </c>
      <c r="H130" s="1512">
        <f>+H125-H126-H127+H128+H129</f>
        <v>1735088.29</v>
      </c>
      <c r="I130" s="37"/>
      <c r="J130" s="37"/>
      <c r="K130" s="37"/>
      <c r="L130" s="37"/>
      <c r="M130" s="1"/>
      <c r="N130" s="1"/>
    </row>
    <row r="131" spans="1:14" ht="15.75">
      <c r="A131" s="77"/>
      <c r="B131" s="33"/>
      <c r="C131" s="5"/>
      <c r="D131" s="9"/>
      <c r="E131" s="109"/>
      <c r="F131" s="143"/>
      <c r="G131" s="74"/>
      <c r="H131" s="1095"/>
      <c r="I131" s="37"/>
      <c r="J131" s="37"/>
      <c r="K131" s="37"/>
      <c r="L131" s="37"/>
      <c r="M131" s="1"/>
      <c r="N131" s="1"/>
    </row>
    <row r="132" spans="1:14" ht="15.75">
      <c r="A132" s="77"/>
      <c r="B132" s="5" t="s">
        <v>761</v>
      </c>
      <c r="C132" s="9"/>
      <c r="D132" s="9"/>
      <c r="E132" s="109"/>
      <c r="F132" s="143"/>
      <c r="G132" s="74"/>
      <c r="H132" s="1095"/>
      <c r="I132" s="37"/>
      <c r="J132" s="37"/>
      <c r="K132" s="37"/>
      <c r="L132" s="37"/>
      <c r="M132" s="1"/>
      <c r="N132" s="1"/>
    </row>
    <row r="133" spans="1:14" ht="15.75">
      <c r="A133" s="77">
        <f>+A130+1</f>
        <v>81</v>
      </c>
      <c r="B133" s="33"/>
      <c r="C133" s="61" t="s">
        <v>204</v>
      </c>
      <c r="D133" s="9"/>
      <c r="E133" s="36" t="str">
        <f>"(Note "&amp;A$318&amp;")"</f>
        <v>(Note O)</v>
      </c>
      <c r="F133" s="136" t="s">
        <v>969</v>
      </c>
      <c r="G133" s="212">
        <v>42465893</v>
      </c>
      <c r="H133" s="1104">
        <v>42465893</v>
      </c>
      <c r="I133" s="37"/>
      <c r="J133" s="37"/>
      <c r="K133" s="37"/>
      <c r="L133" s="37"/>
      <c r="M133" s="1"/>
      <c r="N133" s="1"/>
    </row>
    <row r="134" spans="1:14">
      <c r="A134" s="77">
        <f>+A133+1</f>
        <v>82</v>
      </c>
      <c r="B134" s="33"/>
      <c r="C134" s="187" t="s">
        <v>1030</v>
      </c>
      <c r="D134" s="9"/>
      <c r="E134" s="36" t="str">
        <f>"(Note "&amp;A$307&amp;")"</f>
        <v>(Note D)</v>
      </c>
      <c r="F134" s="1024" t="str">
        <f>+"WP12 PBOP Line "&amp;'WP12 PBOP'!A11&amp;" Column "&amp;'WP12 PBOP'!C6</f>
        <v>WP12 PBOP Line 3 Column B</v>
      </c>
      <c r="G134" s="1491">
        <f>+'WP12 PBOP'!$C11</f>
        <v>0</v>
      </c>
      <c r="H134" s="1085">
        <f>+'WP12 PBOP'!$C11</f>
        <v>0</v>
      </c>
      <c r="I134" s="267"/>
      <c r="J134" s="267"/>
      <c r="K134" s="267"/>
      <c r="L134" s="267"/>
    </row>
    <row r="135" spans="1:14">
      <c r="A135" s="77">
        <f>+A134+1</f>
        <v>83</v>
      </c>
      <c r="B135" s="33"/>
      <c r="C135" s="187" t="s">
        <v>798</v>
      </c>
      <c r="D135" s="50"/>
      <c r="E135" s="36"/>
      <c r="F135" s="144" t="s">
        <v>970</v>
      </c>
      <c r="G135" s="212">
        <v>8488724</v>
      </c>
      <c r="H135" s="1104">
        <v>8488724</v>
      </c>
      <c r="I135" s="267"/>
      <c r="J135" s="267"/>
      <c r="K135" s="267"/>
      <c r="L135" s="267"/>
    </row>
    <row r="136" spans="1:14">
      <c r="A136" s="77">
        <f t="shared" ref="A136:A143" si="4">+A135+1</f>
        <v>84</v>
      </c>
      <c r="B136" s="33"/>
      <c r="C136" s="187" t="s">
        <v>913</v>
      </c>
      <c r="D136" s="50"/>
      <c r="E136" s="36" t="str">
        <f>"(Note "&amp;A$308&amp;")"</f>
        <v>(Note E)</v>
      </c>
      <c r="F136" s="144" t="s">
        <v>971</v>
      </c>
      <c r="G136" s="212">
        <v>6559742</v>
      </c>
      <c r="H136" s="1104">
        <v>6559742</v>
      </c>
      <c r="I136" s="267"/>
      <c r="J136" s="267"/>
      <c r="K136" s="267"/>
      <c r="L136" s="267"/>
    </row>
    <row r="137" spans="1:14">
      <c r="A137" s="77">
        <f t="shared" si="4"/>
        <v>85</v>
      </c>
      <c r="B137" s="33"/>
      <c r="C137" s="187" t="s">
        <v>914</v>
      </c>
      <c r="D137" s="50"/>
      <c r="E137" s="36"/>
      <c r="F137" s="144" t="s">
        <v>972</v>
      </c>
      <c r="G137" s="212">
        <v>39271</v>
      </c>
      <c r="H137" s="1104">
        <v>39271</v>
      </c>
      <c r="I137" s="267"/>
      <c r="J137" s="267"/>
      <c r="K137" s="267"/>
      <c r="L137" s="267"/>
    </row>
    <row r="138" spans="1:14">
      <c r="A138" s="77">
        <f>+A137+1</f>
        <v>86</v>
      </c>
      <c r="B138" s="33"/>
      <c r="C138" s="187" t="s">
        <v>799</v>
      </c>
      <c r="D138" s="50"/>
      <c r="E138" s="36" t="str">
        <f>"(Notes "&amp;A$327&amp;" &amp; "&amp;A$335&amp;")"</f>
        <v>(Notes X &amp; FF)</v>
      </c>
      <c r="F138" s="132" t="str">
        <f>+"WP02 Support Line "&amp;'WP02 Support'!A113&amp;" Column "&amp;'WP02 Support'!$D$5</f>
        <v>WP02 Support Line 38 Column C</v>
      </c>
      <c r="G138" s="101">
        <f>'WP02 Support'!D113</f>
        <v>52016</v>
      </c>
      <c r="H138" s="1085">
        <f>+G138</f>
        <v>52016</v>
      </c>
      <c r="I138" s="267"/>
      <c r="J138" s="267"/>
      <c r="K138" s="267"/>
      <c r="L138" s="267"/>
    </row>
    <row r="139" spans="1:14">
      <c r="A139" s="77">
        <f>+A138+1</f>
        <v>87</v>
      </c>
      <c r="B139" s="33"/>
      <c r="C139" s="187" t="s">
        <v>797</v>
      </c>
      <c r="D139" s="15"/>
      <c r="E139" s="36"/>
      <c r="F139" s="136" t="s">
        <v>966</v>
      </c>
      <c r="G139" s="212">
        <v>18646</v>
      </c>
      <c r="H139" s="1104">
        <v>18646</v>
      </c>
      <c r="I139" s="267"/>
      <c r="J139" s="267"/>
      <c r="K139" s="267"/>
      <c r="L139" s="267"/>
    </row>
    <row r="140" spans="1:14">
      <c r="A140" s="77">
        <f>+A139+1</f>
        <v>88</v>
      </c>
      <c r="B140" s="33"/>
      <c r="C140" s="187" t="s">
        <v>1057</v>
      </c>
      <c r="D140" s="9"/>
      <c r="E140" s="36" t="str">
        <f>"(Note "&amp;A$335&amp;")"</f>
        <v>(Note FF)</v>
      </c>
      <c r="F140" s="687" t="str">
        <f>+"WP02 Support Line "&amp;'WP02 Support'!A106&amp;" Column "&amp;'WP02 Support'!D5</f>
        <v>WP02 Support Line 35 Column C</v>
      </c>
      <c r="G140" s="670">
        <f>+'WP02 Support'!D106</f>
        <v>-83466.710000000006</v>
      </c>
      <c r="H140" s="1086">
        <f>+'WP02 Support'!D106</f>
        <v>-83466.710000000006</v>
      </c>
      <c r="I140" s="267"/>
      <c r="J140" s="267"/>
      <c r="K140" s="267"/>
      <c r="L140" s="267"/>
    </row>
    <row r="141" spans="1:14" ht="15.75">
      <c r="A141" s="77">
        <f>+A140+1</f>
        <v>89</v>
      </c>
      <c r="B141" s="33"/>
      <c r="C141" s="291" t="s">
        <v>762</v>
      </c>
      <c r="D141" s="289"/>
      <c r="E141" s="288"/>
      <c r="F141" s="131" t="str">
        <f>"(Line "&amp;A133&amp;" -  Sum ("&amp;A134&amp;" to "&amp;A139&amp;")"&amp;" + "&amp;A140&amp;")"</f>
        <v>(Line 81 -  Sum (82 to 87) + 88)</v>
      </c>
      <c r="G141" s="101">
        <f>+G133-G134-G135-G136-G137-G138-G139+G140</f>
        <v>27224027.289999999</v>
      </c>
      <c r="H141" s="1085">
        <f>+H133-H134-H135-H136-H137-H138-H139+H140</f>
        <v>27224027.289999999</v>
      </c>
      <c r="I141" s="267"/>
      <c r="J141" s="267"/>
      <c r="K141" s="267"/>
      <c r="L141" s="267"/>
    </row>
    <row r="142" spans="1:14">
      <c r="A142" s="77">
        <f t="shared" si="4"/>
        <v>90</v>
      </c>
      <c r="B142" s="33"/>
      <c r="C142" s="61" t="s">
        <v>211</v>
      </c>
      <c r="D142" s="12"/>
      <c r="E142" s="76"/>
      <c r="F142" s="145" t="str">
        <f>"(Line "&amp;A$24&amp;")"</f>
        <v>(Line 11)</v>
      </c>
      <c r="G142" s="688">
        <f>+G24</f>
        <v>0.11000939176587933</v>
      </c>
      <c r="H142" s="1096">
        <f>H$24</f>
        <v>0.11000939176587933</v>
      </c>
      <c r="I142" s="267"/>
      <c r="J142" s="267"/>
      <c r="K142" s="267"/>
      <c r="L142" s="267"/>
    </row>
    <row r="143" spans="1:14" ht="15.75">
      <c r="A143" s="77">
        <f t="shared" si="4"/>
        <v>91</v>
      </c>
      <c r="B143" s="33"/>
      <c r="C143" s="286" t="str">
        <f>+B132</f>
        <v>Allocated General Expenses (EOY)</v>
      </c>
      <c r="D143" s="9"/>
      <c r="E143" s="9"/>
      <c r="F143" s="136" t="str">
        <f>"(Line "&amp;A141&amp;" * "&amp;A142&amp;")"</f>
        <v>(Line 89 * 90)</v>
      </c>
      <c r="G143" s="74">
        <f>+G142*G141</f>
        <v>2994898.6835906003</v>
      </c>
      <c r="H143" s="1095">
        <f>+H142*H141</f>
        <v>2994898.6835906003</v>
      </c>
      <c r="I143" s="267"/>
      <c r="J143" s="267"/>
      <c r="K143" s="267"/>
      <c r="L143" s="267"/>
    </row>
    <row r="144" spans="1:14" ht="15.75">
      <c r="A144" s="77"/>
      <c r="B144" s="33"/>
      <c r="C144" s="5"/>
      <c r="D144" s="9"/>
      <c r="E144" s="109"/>
      <c r="F144" s="143"/>
      <c r="G144" s="101"/>
      <c r="H144" s="1085"/>
      <c r="I144" s="267"/>
      <c r="J144" s="267"/>
      <c r="K144" s="267"/>
      <c r="L144" s="267"/>
    </row>
    <row r="145" spans="1:12" ht="15.75">
      <c r="A145" s="77"/>
      <c r="B145" s="5" t="s">
        <v>174</v>
      </c>
      <c r="C145" s="15"/>
      <c r="D145" s="9"/>
      <c r="E145" s="109"/>
      <c r="F145" s="143"/>
      <c r="G145" s="101"/>
      <c r="H145" s="1085"/>
      <c r="I145" s="267"/>
      <c r="J145" s="267"/>
      <c r="K145" s="267"/>
      <c r="L145" s="267"/>
    </row>
    <row r="146" spans="1:12">
      <c r="A146" s="77">
        <f>+A143+1</f>
        <v>92</v>
      </c>
      <c r="B146" s="116"/>
      <c r="C146" s="58" t="s">
        <v>804</v>
      </c>
      <c r="D146" s="34"/>
      <c r="E146" s="36" t="str">
        <f>"(Notes "&amp;A$310&amp;" &amp; "&amp;A$335&amp;")"</f>
        <v>(Notes G &amp; FF)</v>
      </c>
      <c r="F146" s="132" t="str">
        <f>+"WP02 Support Line "&amp;'WP02 Support'!A122&amp;" Column "&amp;'WP02 Support'!$D$5</f>
        <v>WP02 Support Line 42 Column C</v>
      </c>
      <c r="G146" s="101">
        <f>+'WP02 Support'!D122</f>
        <v>102916</v>
      </c>
      <c r="H146" s="1085">
        <f>+'WP02 Support'!D122</f>
        <v>102916</v>
      </c>
      <c r="I146" s="267"/>
      <c r="J146" s="267"/>
      <c r="K146" s="267"/>
      <c r="L146" s="267"/>
    </row>
    <row r="147" spans="1:12">
      <c r="A147" s="77">
        <f t="shared" ref="A147:A156" si="5">+A146+1</f>
        <v>93</v>
      </c>
      <c r="B147" s="116"/>
      <c r="C147" s="25" t="s">
        <v>915</v>
      </c>
      <c r="D147" s="35"/>
      <c r="E147" s="76" t="str">
        <f>"(Notes "&amp;A$314&amp;" &amp; "&amp;A$335&amp;")"</f>
        <v>(Notes K &amp; FF)</v>
      </c>
      <c r="F147" s="687"/>
      <c r="G147" s="723">
        <v>0</v>
      </c>
      <c r="H147" s="1112">
        <v>0</v>
      </c>
      <c r="I147" s="267"/>
      <c r="J147" s="267"/>
      <c r="K147" s="267"/>
      <c r="L147" s="267"/>
    </row>
    <row r="148" spans="1:12" ht="15.75">
      <c r="A148" s="77">
        <f t="shared" si="5"/>
        <v>94</v>
      </c>
      <c r="B148" s="116"/>
      <c r="C148" s="58" t="s">
        <v>223</v>
      </c>
      <c r="D148" s="121"/>
      <c r="E148" s="36"/>
      <c r="F148" s="136" t="str">
        <f>"(Line "&amp;A146&amp;" + "&amp;A147&amp;")"</f>
        <v>(Line 92 + 93)</v>
      </c>
      <c r="G148" s="664">
        <f>+G147+G146</f>
        <v>102916</v>
      </c>
      <c r="H148" s="1111">
        <f>+H147+H146</f>
        <v>102916</v>
      </c>
      <c r="I148" s="267"/>
      <c r="J148" s="267"/>
      <c r="K148" s="267"/>
      <c r="L148" s="267"/>
    </row>
    <row r="149" spans="1:12">
      <c r="A149" s="77">
        <f t="shared" si="5"/>
        <v>95</v>
      </c>
      <c r="B149" s="116"/>
      <c r="C149" s="58"/>
      <c r="D149" s="121"/>
      <c r="E149" s="36"/>
      <c r="F149" s="146"/>
      <c r="G149" s="671"/>
      <c r="H149" s="1118"/>
      <c r="I149" s="267"/>
      <c r="J149" s="267"/>
      <c r="K149" s="267"/>
      <c r="L149" s="267"/>
    </row>
    <row r="150" spans="1:12">
      <c r="A150" s="77">
        <f t="shared" si="5"/>
        <v>96</v>
      </c>
      <c r="B150" s="116"/>
      <c r="C150" s="58" t="s">
        <v>1042</v>
      </c>
      <c r="D150" s="121"/>
      <c r="E150" s="36" t="str">
        <f>"(Note "&amp;A$309&amp;")"</f>
        <v>(Note F)</v>
      </c>
      <c r="F150" s="1024" t="str">
        <f>+"WP10 Storm Line "&amp;'WP10 Storm'!A65&amp;" Column "&amp;'WP10 Storm'!E6</f>
        <v xml:space="preserve">WP10 Storm Line 28 Column D </v>
      </c>
      <c r="G150" s="640">
        <f>+'WP10 Storm'!$E$65</f>
        <v>1862676</v>
      </c>
      <c r="H150" s="1101">
        <f>+'WP10 Storm'!$E$65</f>
        <v>1862676</v>
      </c>
      <c r="I150" s="267"/>
      <c r="J150" s="267"/>
      <c r="K150" s="267"/>
      <c r="L150" s="267"/>
    </row>
    <row r="151" spans="1:12">
      <c r="A151" s="77">
        <f t="shared" si="5"/>
        <v>97</v>
      </c>
      <c r="B151" s="116"/>
      <c r="C151" s="61" t="s">
        <v>848</v>
      </c>
      <c r="D151" s="12"/>
      <c r="E151" s="76" t="str">
        <f>"(Notes "&amp;A$338&amp;" &amp; "&amp;A$335&amp;")"</f>
        <v>(Notes II &amp; FF)</v>
      </c>
      <c r="F151" s="1386"/>
      <c r="G151" s="723">
        <v>0</v>
      </c>
      <c r="H151" s="1112">
        <v>0</v>
      </c>
      <c r="I151" s="267"/>
      <c r="J151" s="267"/>
      <c r="K151" s="267"/>
      <c r="L151" s="267"/>
    </row>
    <row r="152" spans="1:12">
      <c r="A152" s="77">
        <f t="shared" si="5"/>
        <v>98</v>
      </c>
      <c r="B152" s="116"/>
      <c r="C152" s="639" t="s">
        <v>214</v>
      </c>
      <c r="D152" s="296"/>
      <c r="E152" s="290"/>
      <c r="F152" s="136" t="str">
        <f>"(Line "&amp;A150&amp;" + "&amp;A151&amp;")"</f>
        <v>(Line 96 + 97)</v>
      </c>
      <c r="G152" s="640">
        <f>+G150+G151</f>
        <v>1862676</v>
      </c>
      <c r="H152" s="1101">
        <f>+H150+H151</f>
        <v>1862676</v>
      </c>
      <c r="I152" s="267"/>
      <c r="J152" s="267"/>
      <c r="K152" s="267"/>
      <c r="L152" s="267"/>
    </row>
    <row r="153" spans="1:12">
      <c r="A153" s="77">
        <f t="shared" si="5"/>
        <v>99</v>
      </c>
      <c r="B153" s="33"/>
      <c r="C153" s="25" t="s">
        <v>188</v>
      </c>
      <c r="D153" s="14"/>
      <c r="E153" s="30"/>
      <c r="F153" s="137" t="str">
        <f>"(Line "&amp;A$35&amp;")"</f>
        <v>(Line 18)</v>
      </c>
      <c r="G153" s="93">
        <f>+G$35</f>
        <v>9.6306792816616915E-2</v>
      </c>
      <c r="H153" s="1100">
        <f>+H$35</f>
        <v>0.10750781201752653</v>
      </c>
      <c r="I153" s="267"/>
      <c r="J153" s="267"/>
      <c r="K153" s="267"/>
      <c r="L153" s="267"/>
    </row>
    <row r="154" spans="1:12" ht="15.75">
      <c r="A154" s="77">
        <f t="shared" si="5"/>
        <v>100</v>
      </c>
      <c r="B154" s="33"/>
      <c r="C154" s="291" t="s">
        <v>175</v>
      </c>
      <c r="D154" s="289"/>
      <c r="E154" s="36"/>
      <c r="F154" s="136" t="str">
        <f>"(Line "&amp;A152&amp;" * "&amp;A153&amp;")"</f>
        <v>(Line 98 * 99)</v>
      </c>
      <c r="G154" s="664">
        <f>+G153*G152</f>
        <v>179388.35161648472</v>
      </c>
      <c r="H154" s="1111">
        <f>+H153*H152</f>
        <v>200252.22125755824</v>
      </c>
      <c r="I154" s="267"/>
      <c r="J154" s="267"/>
      <c r="K154" s="267"/>
      <c r="L154" s="267"/>
    </row>
    <row r="155" spans="1:12" ht="15.75">
      <c r="A155" s="77">
        <f t="shared" si="5"/>
        <v>101</v>
      </c>
      <c r="B155" s="7"/>
      <c r="C155" s="5"/>
      <c r="D155" s="9"/>
      <c r="E155" s="55"/>
      <c r="F155" s="134"/>
      <c r="G155" s="669"/>
      <c r="H155" s="1117"/>
      <c r="I155" s="267"/>
      <c r="J155" s="267"/>
      <c r="K155" s="267"/>
      <c r="L155" s="267"/>
    </row>
    <row r="156" spans="1:12" ht="16.5" thickBot="1">
      <c r="A156" s="77">
        <f t="shared" si="5"/>
        <v>102</v>
      </c>
      <c r="B156" s="3" t="s">
        <v>203</v>
      </c>
      <c r="C156" s="3"/>
      <c r="D156" s="19"/>
      <c r="E156" s="57"/>
      <c r="F156" s="72" t="str">
        <f>"(Line "&amp;A130&amp;" + "&amp;A143&amp;" + "&amp;A148&amp;" + "&amp;A154&amp;")"</f>
        <v>(Line 80 + 91 + 94 + 100)</v>
      </c>
      <c r="G156" s="672">
        <f>+G130+G143+G148+G154</f>
        <v>5012291.3252070853</v>
      </c>
      <c r="H156" s="1119">
        <f>+H130+H143+H148+H154</f>
        <v>5033155.1948481584</v>
      </c>
      <c r="I156" s="267"/>
      <c r="J156" s="267"/>
      <c r="K156" s="267"/>
      <c r="L156" s="267"/>
    </row>
    <row r="157" spans="1:12" ht="16.5" thickTop="1">
      <c r="A157" s="111"/>
      <c r="B157" s="7"/>
      <c r="C157" s="5"/>
      <c r="D157" s="9"/>
      <c r="E157" s="55"/>
      <c r="F157" s="134"/>
      <c r="G157" s="73"/>
      <c r="H157" s="1091"/>
      <c r="I157" s="267"/>
      <c r="J157" s="267"/>
      <c r="K157" s="267"/>
      <c r="L157" s="267"/>
    </row>
    <row r="158" spans="1:12" ht="15.75">
      <c r="A158" s="1080" t="s">
        <v>197</v>
      </c>
      <c r="B158" s="249"/>
      <c r="C158" s="250"/>
      <c r="D158" s="250"/>
      <c r="E158" s="251"/>
      <c r="F158" s="252"/>
      <c r="G158" s="253"/>
      <c r="H158" s="1092"/>
      <c r="I158" s="267"/>
      <c r="J158" s="267"/>
      <c r="K158" s="267"/>
      <c r="L158" s="267"/>
    </row>
    <row r="159" spans="1:12" ht="15.75">
      <c r="A159" s="122"/>
      <c r="B159" s="7"/>
      <c r="C159" s="5"/>
      <c r="D159" s="9"/>
      <c r="E159" s="55"/>
      <c r="F159" s="134"/>
      <c r="G159" s="73"/>
      <c r="H159" s="1091"/>
      <c r="I159" s="267"/>
      <c r="J159" s="267"/>
      <c r="K159" s="267"/>
      <c r="L159" s="267"/>
    </row>
    <row r="160" spans="1:12" ht="15.75">
      <c r="A160" s="110"/>
      <c r="B160" s="26" t="s">
        <v>763</v>
      </c>
      <c r="C160" s="15"/>
      <c r="D160" s="9"/>
      <c r="E160" s="36"/>
      <c r="F160" s="160"/>
      <c r="G160" s="161"/>
      <c r="H160" s="1120"/>
      <c r="I160" s="267"/>
      <c r="J160" s="267"/>
      <c r="K160" s="267"/>
      <c r="L160" s="267"/>
    </row>
    <row r="161" spans="1:12">
      <c r="A161" s="107">
        <f>+A156+1</f>
        <v>103</v>
      </c>
      <c r="B161" s="123"/>
      <c r="C161" s="61" t="s">
        <v>162</v>
      </c>
      <c r="D161" s="33"/>
      <c r="E161" s="36" t="str">
        <f>"(Note "&amp;A$319&amp;")"</f>
        <v>(Note P)</v>
      </c>
      <c r="F161" s="138" t="s">
        <v>764</v>
      </c>
      <c r="G161" s="673">
        <v>2828678</v>
      </c>
      <c r="H161" s="1121">
        <v>2828678</v>
      </c>
      <c r="I161" s="267"/>
      <c r="J161" s="267"/>
      <c r="K161" s="267"/>
      <c r="L161" s="267"/>
    </row>
    <row r="162" spans="1:12" ht="15.75">
      <c r="A162" s="107">
        <f t="shared" ref="A162:A170" si="6">+A161+1</f>
        <v>104</v>
      </c>
      <c r="B162" s="123"/>
      <c r="C162" s="58"/>
      <c r="D162" s="9"/>
      <c r="E162" s="33"/>
      <c r="F162" s="146"/>
      <c r="G162" s="664"/>
      <c r="H162" s="1111"/>
      <c r="I162" s="267"/>
      <c r="J162" s="267"/>
      <c r="K162" s="267"/>
      <c r="L162" s="267"/>
    </row>
    <row r="163" spans="1:12">
      <c r="A163" s="107">
        <f t="shared" si="6"/>
        <v>105</v>
      </c>
      <c r="B163" s="116"/>
      <c r="C163" s="58" t="s">
        <v>189</v>
      </c>
      <c r="D163" s="9"/>
      <c r="E163" s="36" t="str">
        <f>"(Note "&amp;A$304&amp;")"</f>
        <v>(Note A)</v>
      </c>
      <c r="F163" s="146" t="s">
        <v>766</v>
      </c>
      <c r="G163" s="674">
        <v>4296800</v>
      </c>
      <c r="H163" s="1122">
        <v>4296800</v>
      </c>
      <c r="I163" s="267"/>
      <c r="J163" s="267"/>
      <c r="K163" s="267"/>
      <c r="L163" s="267"/>
    </row>
    <row r="164" spans="1:12" s="267" customFormat="1">
      <c r="A164" s="107">
        <f t="shared" si="6"/>
        <v>106</v>
      </c>
      <c r="B164" s="123"/>
      <c r="C164" s="58" t="s">
        <v>849</v>
      </c>
      <c r="D164" s="9"/>
      <c r="E164" s="33" t="str">
        <f>"(Note "&amp;A$304&amp;")"</f>
        <v>(Note A)</v>
      </c>
      <c r="F164" s="146" t="s">
        <v>765</v>
      </c>
      <c r="G164" s="674">
        <v>3575282</v>
      </c>
      <c r="H164" s="1122">
        <v>3575282</v>
      </c>
    </row>
    <row r="165" spans="1:12" s="267" customFormat="1">
      <c r="A165" s="107">
        <f t="shared" si="6"/>
        <v>107</v>
      </c>
      <c r="B165" s="466"/>
      <c r="C165" s="25" t="s">
        <v>1058</v>
      </c>
      <c r="D165" s="465"/>
      <c r="E165" s="30" t="str">
        <f>"(Note "&amp;A$335&amp;")"</f>
        <v>(Note FF)</v>
      </c>
      <c r="F165" s="265" t="str">
        <f>+"WP02 Support Line "&amp;'WP02 Support'!A135&amp;" Column "&amp;'WP02 Support'!$D$5</f>
        <v>WP02 Support Line 48 Column C</v>
      </c>
      <c r="G165" s="931">
        <f>+'WP02 Support'!D135</f>
        <v>-977.06000000000006</v>
      </c>
      <c r="H165" s="1123">
        <f>+'WP02 Support'!D135</f>
        <v>-977.06000000000006</v>
      </c>
    </row>
    <row r="166" spans="1:12">
      <c r="A166" s="107">
        <f t="shared" si="6"/>
        <v>108</v>
      </c>
      <c r="B166" s="116"/>
      <c r="C166" s="58" t="s">
        <v>214</v>
      </c>
      <c r="D166" s="9"/>
      <c r="E166" s="33"/>
      <c r="F166" s="1027" t="str">
        <f>"(Line "&amp;A163&amp;" + "&amp;A164&amp;" + "&amp;A165&amp;")"</f>
        <v>(Line 105 + 106 + 107)</v>
      </c>
      <c r="G166" s="640">
        <f>+G164+G165+G163</f>
        <v>7871104.9399999995</v>
      </c>
      <c r="H166" s="1101">
        <f>+H164+H165+H163</f>
        <v>7871104.9399999995</v>
      </c>
      <c r="I166" s="267"/>
      <c r="J166" s="267"/>
      <c r="K166" s="267"/>
      <c r="L166" s="267"/>
    </row>
    <row r="167" spans="1:12">
      <c r="A167" s="77">
        <f t="shared" si="6"/>
        <v>109</v>
      </c>
      <c r="B167" s="116"/>
      <c r="C167" s="25" t="s">
        <v>211</v>
      </c>
      <c r="D167" s="12"/>
      <c r="E167" s="76"/>
      <c r="F167" s="145" t="str">
        <f>"(Line "&amp;A$24&amp;")"</f>
        <v>(Line 11)</v>
      </c>
      <c r="G167" s="93">
        <f>+G24</f>
        <v>0.11000939176587933</v>
      </c>
      <c r="H167" s="1096">
        <f>H$24</f>
        <v>0.11000939176587933</v>
      </c>
      <c r="I167" s="267"/>
      <c r="J167" s="267"/>
      <c r="K167" s="267"/>
      <c r="L167" s="267"/>
    </row>
    <row r="168" spans="1:12" ht="15.75">
      <c r="A168" s="77">
        <f t="shared" si="6"/>
        <v>110</v>
      </c>
      <c r="B168" s="116"/>
      <c r="C168" s="41" t="s">
        <v>485</v>
      </c>
      <c r="D168" s="9"/>
      <c r="E168" s="9"/>
      <c r="F168" s="136" t="str">
        <f>"(Line "&amp;A166&amp;" * "&amp;A167&amp;")"</f>
        <v>(Line 108 * 109)</v>
      </c>
      <c r="G168" s="664">
        <f>(+G166*G167)</f>
        <v>865895.46697480802</v>
      </c>
      <c r="H168" s="1111">
        <f>(+H166*H167)</f>
        <v>865895.46697480802</v>
      </c>
      <c r="I168" s="267"/>
      <c r="J168" s="267"/>
      <c r="K168" s="267"/>
      <c r="L168" s="267"/>
    </row>
    <row r="169" spans="1:12">
      <c r="A169" s="77">
        <f t="shared" si="6"/>
        <v>111</v>
      </c>
      <c r="B169" s="124"/>
      <c r="C169" s="58"/>
      <c r="D169" s="9"/>
      <c r="E169" s="33"/>
      <c r="F169" s="146"/>
      <c r="G169" s="640"/>
      <c r="H169" s="1101"/>
      <c r="I169" s="267"/>
      <c r="J169" s="267"/>
      <c r="K169" s="267"/>
      <c r="L169" s="267"/>
    </row>
    <row r="170" spans="1:12" s="1" customFormat="1" ht="16.5" thickBot="1">
      <c r="A170" s="77">
        <f t="shared" si="6"/>
        <v>112</v>
      </c>
      <c r="B170" s="59" t="s">
        <v>198</v>
      </c>
      <c r="C170" s="59"/>
      <c r="D170" s="16"/>
      <c r="E170" s="60"/>
      <c r="F170" s="72" t="str">
        <f>"(Line "&amp;A161&amp;" + "&amp;A168&amp;")"</f>
        <v>(Line 103 + 110)</v>
      </c>
      <c r="G170" s="100">
        <f>+G161+G168</f>
        <v>3694573.4669748079</v>
      </c>
      <c r="H170" s="1124">
        <f>+H161+H168</f>
        <v>3694573.4669748079</v>
      </c>
      <c r="I170" s="37"/>
      <c r="J170" s="37"/>
      <c r="K170" s="37"/>
      <c r="L170" s="37"/>
    </row>
    <row r="171" spans="1:12" ht="15.75" thickTop="1">
      <c r="A171" s="119"/>
      <c r="B171" s="6"/>
      <c r="C171" s="6"/>
      <c r="D171" s="6"/>
      <c r="E171" s="28"/>
      <c r="F171" s="135"/>
      <c r="G171" s="665"/>
      <c r="H171" s="1113"/>
      <c r="I171" s="267"/>
      <c r="J171" s="267"/>
      <c r="K171" s="267"/>
      <c r="L171" s="267"/>
    </row>
    <row r="172" spans="1:12" ht="15.75">
      <c r="A172" s="1080" t="s">
        <v>139</v>
      </c>
      <c r="B172" s="249"/>
      <c r="C172" s="250"/>
      <c r="D172" s="250"/>
      <c r="E172" s="251"/>
      <c r="F172" s="252"/>
      <c r="G172" s="667"/>
      <c r="H172" s="1125"/>
      <c r="I172" s="267"/>
      <c r="J172" s="267"/>
      <c r="K172" s="267"/>
      <c r="L172" s="267"/>
    </row>
    <row r="173" spans="1:12" ht="15.75">
      <c r="A173" s="114"/>
      <c r="B173" s="7"/>
      <c r="C173" s="5"/>
      <c r="D173" s="9"/>
      <c r="E173" s="109"/>
      <c r="F173" s="134"/>
      <c r="G173" s="675"/>
      <c r="H173" s="1126"/>
      <c r="I173" s="267"/>
      <c r="J173" s="267"/>
      <c r="K173" s="267"/>
      <c r="L173" s="267"/>
    </row>
    <row r="174" spans="1:12" ht="15.75">
      <c r="A174" s="77">
        <f>+A170+1</f>
        <v>113</v>
      </c>
      <c r="B174" s="41"/>
      <c r="C174" s="9" t="s">
        <v>843</v>
      </c>
      <c r="D174" s="9"/>
      <c r="E174" s="36"/>
      <c r="F174" s="132" t="str">
        <f>+"WP13 TOTI Line "&amp;'WP13 TOTI'!A37&amp;" Column "&amp;'WP13 TOTI'!E$5</f>
        <v>WP13 TOTI Line 2 Column D</v>
      </c>
      <c r="G174" s="661">
        <f>+'WP13 TOTI'!E37</f>
        <v>0</v>
      </c>
      <c r="H174" s="1090">
        <f>+'WP13 TOTI'!E37</f>
        <v>0</v>
      </c>
      <c r="I174" s="267"/>
      <c r="J174" s="267"/>
      <c r="K174" s="267"/>
      <c r="L174" s="267"/>
    </row>
    <row r="175" spans="1:12">
      <c r="A175" s="77">
        <f t="shared" ref="A175:A185" si="7">+A174+1</f>
        <v>114</v>
      </c>
      <c r="B175" s="116"/>
      <c r="C175" s="9"/>
      <c r="D175" s="9"/>
      <c r="E175" s="36"/>
      <c r="F175" s="132"/>
      <c r="G175" s="661"/>
      <c r="H175" s="1090"/>
      <c r="I175" s="267"/>
      <c r="J175" s="267"/>
      <c r="K175" s="267"/>
      <c r="L175" s="267"/>
    </row>
    <row r="176" spans="1:12">
      <c r="A176" s="77">
        <f t="shared" si="7"/>
        <v>115</v>
      </c>
      <c r="B176" s="116"/>
      <c r="C176" s="9" t="s">
        <v>850</v>
      </c>
      <c r="D176" s="9"/>
      <c r="E176" s="36"/>
      <c r="F176" s="132" t="str">
        <f>+"WP13 TOTI Line "&amp;'WP13 TOTI'!A$37&amp;" Column "&amp;'WP13 TOTI'!F$5</f>
        <v>WP13 TOTI Line 2 Column E</v>
      </c>
      <c r="G176" s="661">
        <f>+'WP13 TOTI'!F37</f>
        <v>12123955.710000003</v>
      </c>
      <c r="H176" s="1090">
        <f>+'WP13 TOTI'!F37</f>
        <v>12123955.710000003</v>
      </c>
      <c r="I176" s="267"/>
      <c r="J176" s="267"/>
      <c r="K176" s="267"/>
      <c r="L176" s="267"/>
    </row>
    <row r="177" spans="1:12">
      <c r="A177" s="77">
        <f t="shared" si="7"/>
        <v>116</v>
      </c>
      <c r="B177" s="116"/>
      <c r="C177" s="928" t="s">
        <v>851</v>
      </c>
      <c r="D177" s="9"/>
      <c r="E177" s="36" t="str">
        <f>"(Note "&amp;A$335&amp;")"</f>
        <v>(Note FF)</v>
      </c>
      <c r="F177" s="132" t="str">
        <f>+"WP02 Support Line "&amp;'WP02 Support'!A147&amp;" Column "&amp;'WP02 Support'!$D$5</f>
        <v>WP02 Support Line 53 Column C</v>
      </c>
      <c r="G177" s="463">
        <f>+'WP02 Support'!D147</f>
        <v>-1973.6300000000008</v>
      </c>
      <c r="H177" s="1127">
        <f>+'WP02 Support'!D147</f>
        <v>-1973.6300000000008</v>
      </c>
      <c r="I177" s="267"/>
      <c r="J177" s="267"/>
      <c r="K177" s="267"/>
      <c r="L177" s="267"/>
    </row>
    <row r="178" spans="1:12">
      <c r="A178" s="77">
        <f t="shared" si="7"/>
        <v>117</v>
      </c>
      <c r="B178" s="116"/>
      <c r="C178" s="929" t="s">
        <v>852</v>
      </c>
      <c r="D178" s="9"/>
      <c r="E178" s="36"/>
      <c r="F178" s="136" t="str">
        <f>"(Line "&amp;A176&amp;" + "&amp;A177&amp;")"</f>
        <v>(Line 115 + 116)</v>
      </c>
      <c r="G178" s="661">
        <f>+G176+G177</f>
        <v>12121982.080000002</v>
      </c>
      <c r="H178" s="1090">
        <f>+H176+H177</f>
        <v>12121982.080000002</v>
      </c>
      <c r="I178" s="267"/>
      <c r="J178" s="267"/>
      <c r="K178" s="267"/>
      <c r="L178" s="267"/>
    </row>
    <row r="179" spans="1:12">
      <c r="A179" s="77">
        <f t="shared" si="7"/>
        <v>118</v>
      </c>
      <c r="B179" s="33"/>
      <c r="C179" s="58" t="str">
        <f>+B32</f>
        <v>Gross Plant Allocator</v>
      </c>
      <c r="D179" s="14"/>
      <c r="E179" s="33"/>
      <c r="F179" s="136" t="str">
        <f>"(Line "&amp;A$32&amp;")"</f>
        <v>(Line 16)</v>
      </c>
      <c r="G179" s="93">
        <f>+G$32</f>
        <v>0.12320703207327227</v>
      </c>
      <c r="H179" s="1100">
        <f>+H$32</f>
        <v>0.12878047749635471</v>
      </c>
      <c r="I179" s="267"/>
      <c r="J179" s="267"/>
      <c r="K179" s="267"/>
      <c r="L179" s="267"/>
    </row>
    <row r="180" spans="1:12">
      <c r="A180" s="77">
        <f t="shared" si="7"/>
        <v>119</v>
      </c>
      <c r="B180" s="116"/>
      <c r="C180" s="187" t="str">
        <f>+"Total Transmission Allocated "&amp;C178</f>
        <v>Total Transmission Allocated Total Plant Associated</v>
      </c>
      <c r="D180" s="9"/>
      <c r="E180" s="36"/>
      <c r="F180" s="136" t="str">
        <f>"(Line "&amp;A178&amp;" * "&amp;A179&amp;")"</f>
        <v>(Line 117 * 118)</v>
      </c>
      <c r="G180" s="640">
        <f>+G178*G179</f>
        <v>1493513.434922192</v>
      </c>
      <c r="H180" s="1101">
        <f>+H178*H179</f>
        <v>1561074.6404646554</v>
      </c>
      <c r="I180" s="267"/>
      <c r="J180" s="267"/>
      <c r="K180" s="267"/>
      <c r="L180" s="267"/>
    </row>
    <row r="181" spans="1:12">
      <c r="A181" s="77">
        <f t="shared" si="7"/>
        <v>120</v>
      </c>
      <c r="B181" s="116"/>
      <c r="C181" s="9"/>
      <c r="D181" s="9"/>
      <c r="E181" s="36"/>
      <c r="F181" s="132"/>
      <c r="G181" s="661"/>
      <c r="H181" s="1090"/>
      <c r="I181" s="267"/>
      <c r="J181" s="267"/>
      <c r="K181" s="267"/>
      <c r="L181" s="267"/>
    </row>
    <row r="182" spans="1:12">
      <c r="A182" s="77">
        <f t="shared" si="7"/>
        <v>121</v>
      </c>
      <c r="B182" s="116"/>
      <c r="C182" s="9" t="s">
        <v>245</v>
      </c>
      <c r="D182" s="9"/>
      <c r="E182" s="36"/>
      <c r="F182" s="132" t="str">
        <f>+"WP13 TOTI Line "&amp;'WP13 TOTI'!A$37&amp;" Column "&amp;'WP13 TOTI'!G$5</f>
        <v>WP13 TOTI Line 2 Column F</v>
      </c>
      <c r="G182" s="661">
        <f>+'WP13 TOTI'!G37</f>
        <v>1364098.8399999999</v>
      </c>
      <c r="H182" s="1090">
        <f>+'WP13 TOTI'!G37</f>
        <v>1364098.8399999999</v>
      </c>
      <c r="I182" s="267"/>
      <c r="J182" s="267"/>
      <c r="K182" s="267"/>
      <c r="L182" s="267"/>
    </row>
    <row r="183" spans="1:12" s="267" customFormat="1" ht="15.75">
      <c r="A183" s="113">
        <f t="shared" si="7"/>
        <v>122</v>
      </c>
      <c r="B183" s="51"/>
      <c r="C183" s="9" t="s">
        <v>211</v>
      </c>
      <c r="D183" s="9"/>
      <c r="E183" s="52"/>
      <c r="F183" s="132" t="str">
        <f>"(Line "&amp;A$24&amp;")"</f>
        <v>(Line 11)</v>
      </c>
      <c r="G183" s="257">
        <f>+G$24</f>
        <v>0.11000939176587933</v>
      </c>
      <c r="H183" s="1096">
        <f>H$24</f>
        <v>0.11000939176587933</v>
      </c>
    </row>
    <row r="184" spans="1:12">
      <c r="A184" s="77">
        <f t="shared" si="7"/>
        <v>123</v>
      </c>
      <c r="B184" s="116"/>
      <c r="C184" s="25" t="str">
        <f>+"Total Transmission Allocated "&amp;C182</f>
        <v>Total Transmission Allocated Labor</v>
      </c>
      <c r="D184" s="68"/>
      <c r="E184" s="76"/>
      <c r="F184" s="137" t="str">
        <f>"(Line "&amp;A182&amp;" * "&amp;A183&amp;")"</f>
        <v>(Line 121 * 122)</v>
      </c>
      <c r="G184" s="915">
        <f>+G182*G183</f>
        <v>150063.68369694153</v>
      </c>
      <c r="H184" s="1102">
        <f>+H182*H183</f>
        <v>150063.68369694153</v>
      </c>
      <c r="I184" s="267"/>
      <c r="J184" s="267"/>
      <c r="K184" s="267"/>
      <c r="L184" s="267"/>
    </row>
    <row r="185" spans="1:12" s="1" customFormat="1" ht="16.5" thickBot="1">
      <c r="A185" s="77">
        <f t="shared" si="7"/>
        <v>124</v>
      </c>
      <c r="B185" s="3" t="s">
        <v>767</v>
      </c>
      <c r="C185" s="3"/>
      <c r="D185" s="467"/>
      <c r="E185" s="163"/>
      <c r="F185" s="72" t="str">
        <f>"(Line "&amp;A174&amp;" + "&amp;A180&amp;" + "&amp;A184&amp;")"</f>
        <v>(Line 113 + 119 + 123)</v>
      </c>
      <c r="G185" s="599">
        <f>+G174+G180+G184</f>
        <v>1643577.1186191335</v>
      </c>
      <c r="H185" s="1097">
        <f>+H174+H180+H184</f>
        <v>1711138.3241615968</v>
      </c>
      <c r="I185" s="37"/>
      <c r="J185" s="37"/>
      <c r="K185" s="37"/>
      <c r="L185" s="37"/>
    </row>
    <row r="186" spans="1:12" ht="15.75" thickTop="1">
      <c r="A186" s="110"/>
      <c r="B186" s="6"/>
      <c r="C186" s="6"/>
      <c r="D186" s="6"/>
      <c r="E186" s="28"/>
      <c r="F186" s="135"/>
      <c r="G186" s="86"/>
      <c r="H186" s="1110"/>
      <c r="I186" s="267"/>
      <c r="J186" s="267"/>
      <c r="K186" s="267"/>
      <c r="L186" s="267"/>
    </row>
    <row r="187" spans="1:12" ht="15.75">
      <c r="A187" s="1081" t="s">
        <v>1062</v>
      </c>
      <c r="B187" s="249"/>
      <c r="C187" s="249"/>
      <c r="D187" s="250"/>
      <c r="E187" s="251"/>
      <c r="F187" s="254"/>
      <c r="G187" s="248"/>
      <c r="H187" s="1128"/>
      <c r="I187" s="267"/>
      <c r="J187" s="267"/>
      <c r="K187" s="267"/>
      <c r="L187" s="267"/>
    </row>
    <row r="188" spans="1:12" ht="15.75">
      <c r="A188" s="114"/>
      <c r="B188" s="7"/>
      <c r="C188" s="5"/>
      <c r="D188" s="9"/>
      <c r="E188" s="55"/>
      <c r="F188" s="134"/>
      <c r="G188" s="73"/>
      <c r="H188" s="1091"/>
      <c r="I188" s="267"/>
      <c r="J188" s="267"/>
      <c r="K188" s="267"/>
      <c r="L188" s="267"/>
    </row>
    <row r="189" spans="1:12">
      <c r="A189" s="77">
        <f>+A185+1</f>
        <v>125</v>
      </c>
      <c r="B189" s="33"/>
      <c r="C189" s="58" t="s">
        <v>1063</v>
      </c>
      <c r="D189" s="9"/>
      <c r="E189" s="159" t="s">
        <v>1066</v>
      </c>
      <c r="F189" s="132"/>
      <c r="G189" s="212">
        <v>0</v>
      </c>
      <c r="H189" s="1104">
        <v>0</v>
      </c>
      <c r="I189" s="267"/>
      <c r="J189" s="267"/>
      <c r="K189" s="267"/>
      <c r="L189" s="267"/>
    </row>
    <row r="190" spans="1:12">
      <c r="A190" s="77">
        <f>+A189+1</f>
        <v>126</v>
      </c>
      <c r="B190" s="33"/>
      <c r="C190" s="58" t="s">
        <v>1064</v>
      </c>
      <c r="D190" s="9"/>
      <c r="E190" s="159" t="s">
        <v>1066</v>
      </c>
      <c r="F190" s="132"/>
      <c r="G190" s="212">
        <v>0</v>
      </c>
      <c r="H190" s="1104">
        <v>0</v>
      </c>
      <c r="I190" s="267"/>
      <c r="J190" s="267"/>
      <c r="K190" s="267"/>
      <c r="L190" s="267"/>
    </row>
    <row r="191" spans="1:12" ht="15.75">
      <c r="A191" s="77">
        <f>+A190+1</f>
        <v>127</v>
      </c>
      <c r="B191" s="33"/>
      <c r="C191" s="9" t="s">
        <v>211</v>
      </c>
      <c r="D191" s="9"/>
      <c r="E191" s="52"/>
      <c r="F191" s="132" t="str">
        <f>"(Line "&amp;A$24&amp;")"</f>
        <v>(Line 11)</v>
      </c>
      <c r="G191" s="257">
        <f>+G$24</f>
        <v>0.11000939176587933</v>
      </c>
      <c r="H191" s="1096">
        <f>H$24</f>
        <v>0.11000939176587933</v>
      </c>
      <c r="I191" s="267"/>
      <c r="J191" s="267"/>
      <c r="K191" s="267"/>
      <c r="L191" s="267"/>
    </row>
    <row r="192" spans="1:12">
      <c r="A192" s="77">
        <f>+A191+1</f>
        <v>128</v>
      </c>
      <c r="B192" s="33"/>
      <c r="C192" s="25" t="str">
        <f>+"Total Allocated "&amp;C190</f>
        <v>Total Allocated (Gain) or Loss on Sales of General Plant Assets</v>
      </c>
      <c r="D192" s="68"/>
      <c r="E192" s="76"/>
      <c r="F192" s="137" t="str">
        <f>"(Line "&amp;A190&amp;" * "&amp;A191&amp;")"</f>
        <v>(Line 126 * 127)</v>
      </c>
      <c r="G192" s="915">
        <f>+G190*G191</f>
        <v>0</v>
      </c>
      <c r="H192" s="1102">
        <f>+H190*H191</f>
        <v>0</v>
      </c>
      <c r="I192" s="267"/>
      <c r="J192" s="267"/>
      <c r="K192" s="267"/>
      <c r="L192" s="267"/>
    </row>
    <row r="193" spans="1:12" ht="16.5" thickBot="1">
      <c r="A193" s="77">
        <f>+A192+1</f>
        <v>129</v>
      </c>
      <c r="B193" s="1180" t="s">
        <v>1065</v>
      </c>
      <c r="C193" s="1180"/>
      <c r="D193" s="467"/>
      <c r="E193" s="910" t="str">
        <f>"(Note "&amp;A$333&amp;")"</f>
        <v>(Note DD)</v>
      </c>
      <c r="F193" s="72" t="str">
        <f>"(Line "&amp;A189&amp;" + "&amp;A192&amp;")"</f>
        <v>(Line 125 + 128)</v>
      </c>
      <c r="G193" s="100">
        <f>+G189+G192</f>
        <v>0</v>
      </c>
      <c r="H193" s="1124">
        <f>+H189+H192</f>
        <v>0</v>
      </c>
      <c r="I193" s="267"/>
      <c r="J193" s="267"/>
      <c r="K193" s="267"/>
      <c r="L193" s="267"/>
    </row>
    <row r="194" spans="1:12" ht="15.75" thickTop="1">
      <c r="A194" s="110"/>
      <c r="B194" s="6"/>
      <c r="C194" s="6"/>
      <c r="D194" s="6"/>
      <c r="E194" s="28"/>
      <c r="F194" s="135"/>
      <c r="G194" s="665"/>
      <c r="H194" s="1113"/>
      <c r="I194" s="267"/>
      <c r="J194" s="267"/>
      <c r="K194" s="267"/>
      <c r="L194" s="267"/>
    </row>
    <row r="195" spans="1:12" ht="15.75">
      <c r="A195" s="1080" t="s">
        <v>190</v>
      </c>
      <c r="B195" s="249"/>
      <c r="C195" s="250"/>
      <c r="D195" s="250"/>
      <c r="E195" s="251"/>
      <c r="F195" s="252"/>
      <c r="G195" s="667"/>
      <c r="H195" s="1125"/>
      <c r="I195" s="267"/>
      <c r="J195" s="267"/>
      <c r="K195" s="267"/>
      <c r="L195" s="267"/>
    </row>
    <row r="196" spans="1:12" ht="15.75">
      <c r="A196" s="126"/>
      <c r="B196" s="33"/>
      <c r="C196" s="5"/>
      <c r="D196" s="9"/>
      <c r="E196" s="109"/>
      <c r="F196" s="143"/>
      <c r="G196" s="675"/>
      <c r="H196" s="1126"/>
      <c r="I196" s="267"/>
      <c r="J196" s="267"/>
      <c r="K196" s="267"/>
      <c r="L196" s="267"/>
    </row>
    <row r="197" spans="1:12">
      <c r="A197" s="77">
        <f>+A193+1</f>
        <v>130</v>
      </c>
      <c r="B197" s="157" t="s">
        <v>741</v>
      </c>
      <c r="C197" s="157"/>
      <c r="D197" s="267"/>
      <c r="E197" s="36" t="str">
        <f>"(Notes "&amp;A$321&amp;" &amp; "&amp;A$337&amp;")"</f>
        <v>(Notes R &amp; HH)</v>
      </c>
      <c r="F197" s="1028" t="str">
        <f>+"WP14 COC Line "&amp;'WP14 COC'!A12&amp;" Column "&amp;'WP14 COC'!Q5&amp;", Column O"</f>
        <v>WP14 COC Line 6 Column P, Column O</v>
      </c>
      <c r="G197" s="661">
        <f>+'WP14 COC'!$Q12</f>
        <v>226228538.46153846</v>
      </c>
      <c r="H197" s="1090">
        <f>+'WP14 COC'!$P12</f>
        <v>226162000</v>
      </c>
      <c r="I197" s="267"/>
      <c r="J197" s="267"/>
      <c r="K197" s="267"/>
      <c r="L197" s="267"/>
    </row>
    <row r="198" spans="1:12">
      <c r="A198" s="77">
        <f>+A197+1</f>
        <v>131</v>
      </c>
      <c r="B198" s="157" t="s">
        <v>742</v>
      </c>
      <c r="C198" s="157"/>
      <c r="D198" s="267"/>
      <c r="E198" s="36" t="str">
        <f>"(Notes "&amp;A$321&amp;" &amp; "&amp;A$337&amp;")"</f>
        <v>(Notes R &amp; HH)</v>
      </c>
      <c r="F198" s="1028" t="str">
        <f>+"WP14 COC Line "&amp;'WP14 COC'!A20&amp;" Column "&amp;'WP14 COC'!Q5&amp;", Column O"</f>
        <v>WP14 COC Line 14 Column P, Column O</v>
      </c>
      <c r="G198" s="661">
        <f>+'WP14 COC'!Q20</f>
        <v>219199042.58692309</v>
      </c>
      <c r="H198" s="1090">
        <f>+'WP14 COC'!P20</f>
        <v>219368739</v>
      </c>
      <c r="I198" s="267"/>
      <c r="J198" s="267"/>
      <c r="K198" s="267"/>
      <c r="L198" s="267"/>
    </row>
    <row r="199" spans="1:12">
      <c r="A199" s="77">
        <f>+A198+1</f>
        <v>132</v>
      </c>
      <c r="B199" s="157" t="s">
        <v>603</v>
      </c>
      <c r="C199" s="157"/>
      <c r="D199" s="267"/>
      <c r="E199" s="36" t="str">
        <f>"(Notes "&amp;A$320&amp;" &amp; "&amp;A$321&amp;")"</f>
        <v>(Notes Q &amp; R)</v>
      </c>
      <c r="F199" s="1028" t="str">
        <f>+"WP14 COC Line "&amp;'WP14 COC'!A30&amp;" Column O"</f>
        <v>WP14 COC Line 24 Column O</v>
      </c>
      <c r="G199" s="661">
        <f>'WP14 COC'!$P30</f>
        <v>11576688</v>
      </c>
      <c r="H199" s="1090">
        <f>'WP14 COC'!$P30</f>
        <v>11576688</v>
      </c>
      <c r="I199" s="267"/>
      <c r="J199" s="267"/>
      <c r="K199" s="267"/>
      <c r="L199" s="267"/>
    </row>
    <row r="200" spans="1:12">
      <c r="A200" s="77">
        <f>+A199+1</f>
        <v>133</v>
      </c>
      <c r="B200" s="157" t="s">
        <v>170</v>
      </c>
      <c r="C200" s="157"/>
      <c r="D200" s="267"/>
      <c r="E200" s="36" t="str">
        <f>"(Note "&amp;A$337&amp;")"</f>
        <v>(Note HH)</v>
      </c>
      <c r="F200" s="1028" t="str">
        <f>+"WP14 COC Line "&amp;'WP14 COC'!A39&amp;" Column P, Column O"</f>
        <v>WP14 COC Line 33 Column P, Column O</v>
      </c>
      <c r="G200" s="101">
        <f>+'WP14 COC'!Q39</f>
        <v>19999857.89153846</v>
      </c>
      <c r="H200" s="1090">
        <f>+'WP14 COC'!P39</f>
        <v>20003721</v>
      </c>
      <c r="I200" s="267"/>
      <c r="J200" s="267"/>
      <c r="K200" s="267"/>
      <c r="L200" s="267"/>
    </row>
    <row r="201" spans="1:12">
      <c r="A201" s="77">
        <f>+A200+1</f>
        <v>134</v>
      </c>
      <c r="B201" s="157" t="s">
        <v>143</v>
      </c>
      <c r="C201" s="930"/>
      <c r="D201" s="267"/>
      <c r="E201" s="1181"/>
      <c r="F201" s="1028" t="str">
        <f>+"WP14 COC Line "&amp;'WP14 COC'!A41&amp;" Column O"</f>
        <v>WP14 COC Line 35 Column O</v>
      </c>
      <c r="G201" s="101">
        <f>+'WP14 COC'!P41</f>
        <v>964740</v>
      </c>
      <c r="H201" s="1090">
        <f>+'WP14 COC'!P41</f>
        <v>964740</v>
      </c>
      <c r="I201" s="267"/>
      <c r="J201" s="267"/>
      <c r="K201" s="267"/>
      <c r="L201" s="267"/>
    </row>
    <row r="202" spans="1:12">
      <c r="A202" s="77">
        <f>+A201+1</f>
        <v>135</v>
      </c>
      <c r="B202" s="157" t="s">
        <v>604</v>
      </c>
      <c r="C202" s="157"/>
      <c r="D202" s="267"/>
      <c r="E202" s="36" t="str">
        <f>"(Note "&amp;A$337&amp;")"</f>
        <v>(Note HH)</v>
      </c>
      <c r="F202" s="1028" t="str">
        <f>+"WP14 COC Line "&amp;'WP14 COC'!A48&amp;" Column P, Column O"</f>
        <v>WP14 COC Line 42 Column P, Column O</v>
      </c>
      <c r="G202" s="101">
        <f>+'WP14 COC'!Q48</f>
        <v>220663444.49307692</v>
      </c>
      <c r="H202" s="1090">
        <f>+'WP14 COC'!P48</f>
        <v>227800734</v>
      </c>
      <c r="I202" s="267"/>
      <c r="J202" s="267"/>
      <c r="K202" s="267"/>
      <c r="L202" s="267"/>
    </row>
    <row r="203" spans="1:12">
      <c r="A203" s="77"/>
      <c r="B203" s="157"/>
      <c r="C203" s="157"/>
      <c r="D203" s="157"/>
      <c r="E203" s="157"/>
      <c r="F203" s="156"/>
      <c r="G203" s="158"/>
      <c r="H203" s="1129"/>
      <c r="I203" s="267"/>
      <c r="J203" s="267"/>
      <c r="K203" s="267"/>
      <c r="L203" s="267"/>
    </row>
    <row r="204" spans="1:12">
      <c r="A204" s="77">
        <f>+A202+1</f>
        <v>136</v>
      </c>
      <c r="B204" s="15"/>
      <c r="C204" s="58" t="s">
        <v>526</v>
      </c>
      <c r="D204" s="61" t="s">
        <v>157</v>
      </c>
      <c r="E204" s="36"/>
      <c r="F204" s="261" t="str">
        <f>"(1 - (Line "&amp;A205&amp;" + Line "&amp;A206&amp;"))"</f>
        <v>(1 - (Line 137 + Line 138))</v>
      </c>
      <c r="G204" s="94">
        <f>IF((1-G205-G206)=1,0,1-G205-G206)</f>
        <v>0.48454164041834979</v>
      </c>
      <c r="H204" s="1130">
        <f>IF((1-H205-H206)=1,0,1-H205-H206)</f>
        <v>0.47716879035247339</v>
      </c>
      <c r="I204" s="267"/>
      <c r="J204" s="267"/>
      <c r="K204" s="267"/>
      <c r="L204" s="267"/>
    </row>
    <row r="205" spans="1:12">
      <c r="A205" s="77">
        <f>+A204+1</f>
        <v>137</v>
      </c>
      <c r="B205" s="15"/>
      <c r="C205" s="58" t="s">
        <v>527</v>
      </c>
      <c r="D205" s="61" t="s">
        <v>170</v>
      </c>
      <c r="E205" s="36"/>
      <c r="F205" s="261" t="str">
        <f>"(Line "&amp;A200&amp;" / (Line "&amp;A$197&amp;" + Line "&amp;A$200&amp;" + Line "&amp;A$202&amp;"))"</f>
        <v>(Line 133 / (Line 130 + Line 133 + Line 135))</v>
      </c>
      <c r="G205" s="278">
        <f>IF((G197+G200+G202)=0,0,G200/(G197+G200+G202))</f>
        <v>4.2836169197757817E-2</v>
      </c>
      <c r="H205" s="1131">
        <f>IF((H197+H200+H202)=0,0,H200/(H197+H200+H202))</f>
        <v>4.220492988264328E-2</v>
      </c>
      <c r="I205" s="267"/>
      <c r="J205" s="267"/>
      <c r="K205" s="267"/>
      <c r="L205" s="267"/>
    </row>
    <row r="206" spans="1:12">
      <c r="A206" s="77">
        <f>+A205+1</f>
        <v>138</v>
      </c>
      <c r="B206" s="15"/>
      <c r="C206" s="58" t="s">
        <v>528</v>
      </c>
      <c r="D206" s="61" t="s">
        <v>153</v>
      </c>
      <c r="E206" s="36"/>
      <c r="F206" s="261" t="str">
        <f>"(Line "&amp;A202&amp;" / (Line "&amp;A$197&amp;" + Line "&amp;A$200&amp;" + Line "&amp;A$202&amp;"))"</f>
        <v>(Line 135 / (Line 130 + Line 133 + Line 135))</v>
      </c>
      <c r="G206" s="278">
        <f>IF((G197+G200+G202)=0,0,G202/(G197+G200+G202))</f>
        <v>0.47262219038389242</v>
      </c>
      <c r="H206" s="1131">
        <f>IF((H197+H200+H202)=0,0,H202/(H197+H200+H202))</f>
        <v>0.48062627976488337</v>
      </c>
      <c r="I206" s="267"/>
      <c r="J206" s="267"/>
      <c r="K206" s="267"/>
      <c r="L206" s="267"/>
    </row>
    <row r="207" spans="1:12" ht="15.75">
      <c r="A207" s="77"/>
      <c r="B207" s="15"/>
      <c r="C207" s="159"/>
      <c r="D207" s="9"/>
      <c r="E207" s="36"/>
      <c r="F207" s="136"/>
      <c r="G207" s="543"/>
      <c r="H207" s="1131"/>
      <c r="I207" s="267"/>
      <c r="J207" s="267"/>
      <c r="K207" s="267"/>
      <c r="L207" s="267"/>
    </row>
    <row r="208" spans="1:12">
      <c r="A208" s="77"/>
      <c r="B208" s="15"/>
      <c r="C208" s="159"/>
      <c r="D208" s="9"/>
      <c r="E208" s="36"/>
      <c r="F208" s="136"/>
      <c r="G208" s="86"/>
      <c r="H208" s="1131"/>
      <c r="I208" s="267"/>
      <c r="J208" s="267"/>
      <c r="K208" s="267"/>
      <c r="L208" s="267"/>
    </row>
    <row r="209" spans="1:12">
      <c r="A209" s="240">
        <f>+A206+1</f>
        <v>139</v>
      </c>
      <c r="B209" s="241"/>
      <c r="C209" s="242" t="s">
        <v>229</v>
      </c>
      <c r="D209" s="1642" t="s">
        <v>811</v>
      </c>
      <c r="E209" s="1642"/>
      <c r="F209" s="255" t="str">
        <f>"(Line "&amp;A199&amp;" / Line "&amp;A198&amp;")"</f>
        <v>(Line 132 / Line 131)</v>
      </c>
      <c r="G209" s="94">
        <f>IF(G198=0,0,G199/G198)</f>
        <v>5.2813588341332651E-2</v>
      </c>
      <c r="H209" s="1130">
        <f>IF(H198=0,0,H199/H198)</f>
        <v>5.2772733493262225E-2</v>
      </c>
      <c r="I209" s="267"/>
      <c r="J209" s="267"/>
      <c r="K209" s="267"/>
      <c r="L209" s="267"/>
    </row>
    <row r="210" spans="1:12">
      <c r="A210" s="240">
        <f>+A209+1</f>
        <v>140</v>
      </c>
      <c r="B210" s="241"/>
      <c r="C210" s="242" t="s">
        <v>234</v>
      </c>
      <c r="D210" s="1642" t="s">
        <v>810</v>
      </c>
      <c r="E210" s="1642"/>
      <c r="F210" s="255" t="str">
        <f>"(Line "&amp;A201&amp;" / Line "&amp;A200&amp;")"</f>
        <v>(Line 134 / Line 133)</v>
      </c>
      <c r="G210" s="94">
        <f>IF(G201=0,0,G201/G200)</f>
        <v>4.8237342746728328E-2</v>
      </c>
      <c r="H210" s="1130">
        <f>IF(H201=0,0,H201/H200)</f>
        <v>4.8228027175543989E-2</v>
      </c>
      <c r="I210" s="267"/>
      <c r="J210" s="267"/>
      <c r="K210" s="267"/>
      <c r="L210" s="267"/>
    </row>
    <row r="211" spans="1:12">
      <c r="A211" s="77">
        <f>+A210+1</f>
        <v>141</v>
      </c>
      <c r="B211" s="15"/>
      <c r="C211" s="159" t="s">
        <v>230</v>
      </c>
      <c r="D211" s="61" t="s">
        <v>153</v>
      </c>
      <c r="E211" s="36" t="str">
        <f>"(Note "&amp;A313&amp;")"</f>
        <v>(Note J)</v>
      </c>
      <c r="F211" s="136"/>
      <c r="G211" s="211">
        <v>0.12379999999999999</v>
      </c>
      <c r="H211" s="1132">
        <v>0.12379999999999999</v>
      </c>
      <c r="I211" s="267"/>
      <c r="J211" s="267"/>
      <c r="K211" s="267"/>
      <c r="L211" s="267"/>
    </row>
    <row r="212" spans="1:12">
      <c r="A212" s="77"/>
      <c r="B212" s="15"/>
      <c r="C212" s="159"/>
      <c r="D212" s="61"/>
      <c r="E212" s="36"/>
      <c r="F212" s="136"/>
      <c r="G212" s="94"/>
      <c r="H212" s="1130"/>
      <c r="I212" s="267"/>
      <c r="J212" s="267"/>
      <c r="K212" s="267"/>
      <c r="L212" s="267"/>
    </row>
    <row r="213" spans="1:12">
      <c r="A213" s="77">
        <f>+A211+1</f>
        <v>142</v>
      </c>
      <c r="B213" s="33"/>
      <c r="C213" s="58" t="s">
        <v>231</v>
      </c>
      <c r="D213" s="61"/>
      <c r="E213" s="36"/>
      <c r="F213" s="136" t="str">
        <f>"(Line "&amp;A204&amp;" * "&amp;A209&amp;")"</f>
        <v>(Line 136 * 139)</v>
      </c>
      <c r="G213" s="94">
        <f t="shared" ref="G213:H215" si="8">+G204*G209</f>
        <v>2.5590382731288757E-2</v>
      </c>
      <c r="H213" s="1130">
        <f t="shared" si="8"/>
        <v>2.5181501404573394E-2</v>
      </c>
      <c r="I213" s="267"/>
      <c r="J213" s="267"/>
      <c r="K213" s="267"/>
      <c r="L213" s="267"/>
    </row>
    <row r="214" spans="1:12">
      <c r="A214" s="77">
        <f>+A213+1</f>
        <v>143</v>
      </c>
      <c r="B214" s="33"/>
      <c r="C214" s="58" t="s">
        <v>236</v>
      </c>
      <c r="D214" s="61"/>
      <c r="E214" s="36"/>
      <c r="F214" s="136" t="str">
        <f>"(Line "&amp;A205&amp;" * "&amp;A210&amp;")"</f>
        <v>(Line 137 * 140)</v>
      </c>
      <c r="G214" s="94">
        <f t="shared" si="8"/>
        <v>2.0663029755490906E-3</v>
      </c>
      <c r="H214" s="1130">
        <f t="shared" si="8"/>
        <v>2.0354605053220487E-3</v>
      </c>
      <c r="I214" s="267"/>
      <c r="J214" s="267"/>
      <c r="K214" s="267"/>
      <c r="L214" s="267"/>
    </row>
    <row r="215" spans="1:12">
      <c r="A215" s="77">
        <f>+A214+1</f>
        <v>144</v>
      </c>
      <c r="B215" s="27"/>
      <c r="C215" s="13" t="s">
        <v>232</v>
      </c>
      <c r="D215" s="48"/>
      <c r="E215" s="31"/>
      <c r="F215" s="137" t="str">
        <f>"(Line "&amp;A206&amp;" * "&amp;A211&amp;")"</f>
        <v>(Line 138 * 141)</v>
      </c>
      <c r="G215" s="259">
        <f t="shared" si="8"/>
        <v>5.8510627169525875E-2</v>
      </c>
      <c r="H215" s="1133">
        <f t="shared" si="8"/>
        <v>5.9501533434892555E-2</v>
      </c>
      <c r="I215" s="267"/>
      <c r="J215" s="267"/>
      <c r="K215" s="267"/>
      <c r="L215" s="267"/>
    </row>
    <row r="216" spans="1:12" s="1" customFormat="1" ht="15.75">
      <c r="A216" s="107">
        <f>+A215+1</f>
        <v>145</v>
      </c>
      <c r="B216" s="11" t="s">
        <v>158</v>
      </c>
      <c r="C216" s="11"/>
      <c r="D216" s="21"/>
      <c r="E216" s="32"/>
      <c r="F216" s="136" t="str">
        <f>"(Line "&amp;A213&amp;" + Line "&amp;A214&amp;" + Line "&amp;A215&amp;")"</f>
        <v>(Line 142 + Line 143 + Line 144)</v>
      </c>
      <c r="G216" s="260">
        <f>SUM(G213:G215)</f>
        <v>8.6167312876363727E-2</v>
      </c>
      <c r="H216" s="1134">
        <f>SUM(H213:H215)</f>
        <v>8.6718495344787996E-2</v>
      </c>
      <c r="I216" s="37"/>
      <c r="J216" s="37"/>
      <c r="K216" s="37"/>
      <c r="L216" s="37"/>
    </row>
    <row r="217" spans="1:12" s="1" customFormat="1" ht="15.75">
      <c r="A217" s="125"/>
      <c r="B217" s="65"/>
      <c r="C217" s="11"/>
      <c r="D217" s="21"/>
      <c r="E217" s="32"/>
      <c r="F217" s="147"/>
      <c r="G217" s="95"/>
      <c r="H217" s="1135"/>
      <c r="I217" s="37"/>
      <c r="J217" s="37"/>
      <c r="K217" s="37"/>
      <c r="L217" s="37"/>
    </row>
    <row r="218" spans="1:12" ht="16.5" thickBot="1">
      <c r="A218" s="107">
        <f>+A216+1</f>
        <v>146</v>
      </c>
      <c r="B218" s="18" t="s">
        <v>194</v>
      </c>
      <c r="C218" s="17"/>
      <c r="D218" s="16"/>
      <c r="E218" s="192"/>
      <c r="F218" s="140" t="str">
        <f>"(Line "&amp;A120&amp;" * Line "&amp;A216&amp;")"</f>
        <v>(Line 74 * Line 145)</v>
      </c>
      <c r="G218" s="140">
        <f>+G120*G216</f>
        <v>2651103.4771481557</v>
      </c>
      <c r="H218" s="1136">
        <f>+H120*H216</f>
        <v>3344412.8785856562</v>
      </c>
      <c r="I218" s="267"/>
      <c r="J218" s="267"/>
      <c r="K218" s="267"/>
      <c r="L218" s="267"/>
    </row>
    <row r="219" spans="1:12" ht="15.75" thickTop="1">
      <c r="A219" s="107"/>
      <c r="B219" s="7"/>
      <c r="C219" s="54"/>
      <c r="D219" s="6"/>
      <c r="E219" s="28"/>
      <c r="F219" s="131"/>
      <c r="G219" s="96"/>
      <c r="H219" s="1137"/>
      <c r="I219" s="267"/>
      <c r="J219" s="267"/>
      <c r="K219" s="267"/>
      <c r="L219" s="267"/>
    </row>
    <row r="220" spans="1:12" ht="15.75">
      <c r="A220" s="1080" t="s">
        <v>122</v>
      </c>
      <c r="B220" s="249"/>
      <c r="C220" s="250"/>
      <c r="D220" s="250"/>
      <c r="E220" s="251"/>
      <c r="F220" s="252"/>
      <c r="G220" s="253"/>
      <c r="H220" s="1092"/>
      <c r="I220" s="267"/>
      <c r="J220" s="267"/>
      <c r="K220" s="267"/>
      <c r="L220" s="267"/>
    </row>
    <row r="221" spans="1:12" ht="15.75">
      <c r="A221" s="126"/>
      <c r="B221" s="7"/>
      <c r="C221" s="5"/>
      <c r="D221" s="9"/>
      <c r="E221" s="55"/>
      <c r="F221" s="134"/>
      <c r="G221" s="73"/>
      <c r="H221" s="1091"/>
      <c r="I221" s="267"/>
      <c r="J221" s="267"/>
      <c r="K221" s="267"/>
      <c r="L221" s="267"/>
    </row>
    <row r="222" spans="1:12" ht="15.75">
      <c r="A222" s="107" t="s">
        <v>165</v>
      </c>
      <c r="B222" s="22" t="s">
        <v>195</v>
      </c>
      <c r="C222" s="6"/>
      <c r="D222" s="6"/>
      <c r="E222" s="55"/>
      <c r="F222" s="131"/>
      <c r="G222" s="278"/>
      <c r="H222" s="1131"/>
      <c r="I222" s="267"/>
      <c r="J222" s="267"/>
      <c r="K222" s="267"/>
      <c r="L222" s="267"/>
    </row>
    <row r="223" spans="1:12">
      <c r="A223" s="107">
        <f>+A218+1</f>
        <v>147</v>
      </c>
      <c r="B223" s="7"/>
      <c r="C223" s="6" t="s">
        <v>193</v>
      </c>
      <c r="D223" s="9"/>
      <c r="E223" s="36" t="str">
        <f>"(Note "&amp;A$312&amp;")"</f>
        <v>(Note I)</v>
      </c>
      <c r="F223" s="134"/>
      <c r="G223" s="717">
        <v>0.35</v>
      </c>
      <c r="H223" s="1138">
        <v>0.35</v>
      </c>
      <c r="I223" s="267"/>
      <c r="J223" s="267"/>
      <c r="K223" s="267"/>
      <c r="L223" s="267"/>
    </row>
    <row r="224" spans="1:12">
      <c r="A224" s="107">
        <f>+A223+1</f>
        <v>148</v>
      </c>
      <c r="B224" s="7"/>
      <c r="C224" s="127" t="s">
        <v>192</v>
      </c>
      <c r="D224" s="279"/>
      <c r="E224" s="36" t="str">
        <f>"(Note "&amp;A$312&amp;")"</f>
        <v>(Note I)</v>
      </c>
      <c r="F224" s="134"/>
      <c r="G224" s="717">
        <v>0.08</v>
      </c>
      <c r="H224" s="1138">
        <v>0.08</v>
      </c>
      <c r="I224" s="267"/>
      <c r="J224" s="267"/>
      <c r="K224" s="267"/>
      <c r="L224" s="267"/>
    </row>
    <row r="225" spans="1:16">
      <c r="A225" s="107">
        <f>+A224+1</f>
        <v>149</v>
      </c>
      <c r="B225" s="7"/>
      <c r="C225" s="127" t="s">
        <v>809</v>
      </c>
      <c r="D225" s="698"/>
      <c r="E225" s="36" t="str">
        <f>"(Note "&amp;A$312&amp;")"</f>
        <v>(Note I)</v>
      </c>
      <c r="F225" s="134"/>
      <c r="G225" s="717">
        <v>1</v>
      </c>
      <c r="H225" s="1138">
        <v>1</v>
      </c>
      <c r="I225" s="593"/>
      <c r="J225" s="267"/>
      <c r="K225" s="267"/>
      <c r="L225" s="267"/>
    </row>
    <row r="226" spans="1:16">
      <c r="A226" s="107">
        <f>+A225+1</f>
        <v>150</v>
      </c>
      <c r="B226" s="7"/>
      <c r="C226" s="127" t="s">
        <v>125</v>
      </c>
      <c r="D226" s="1020"/>
      <c r="E226" s="36"/>
      <c r="F226" s="134"/>
      <c r="G226" s="278">
        <f>IF(G223&gt;0,1-(((1-G224)*(1-G223))/(1-G224*G223*G225)),0)</f>
        <v>0.38477366255144019</v>
      </c>
      <c r="H226" s="1131">
        <f>IF(H223&gt;0,1-(((1-H224)*(1-H223))/(1-H224*H223*H225)),0)</f>
        <v>0.38477366255144019</v>
      </c>
      <c r="I226" s="593"/>
      <c r="J226" s="267"/>
      <c r="K226" s="267"/>
      <c r="L226" s="267"/>
    </row>
    <row r="227" spans="1:16">
      <c r="A227" s="107">
        <f>+A226+1</f>
        <v>151</v>
      </c>
      <c r="B227" s="7"/>
      <c r="C227" s="127" t="s">
        <v>224</v>
      </c>
      <c r="D227" s="128"/>
      <c r="E227" s="28"/>
      <c r="F227" s="134"/>
      <c r="G227" s="97">
        <f>+G226/(1-G226)</f>
        <v>0.62541806020066848</v>
      </c>
      <c r="H227" s="1139">
        <f>+H226/(1-H226)</f>
        <v>0.62541806020066848</v>
      </c>
      <c r="I227" s="594"/>
      <c r="J227" s="267"/>
      <c r="K227" s="267"/>
      <c r="L227" s="267"/>
    </row>
    <row r="228" spans="1:16">
      <c r="A228" s="107"/>
      <c r="B228" s="7"/>
      <c r="C228" s="6"/>
      <c r="D228" s="6"/>
      <c r="E228" s="129"/>
      <c r="F228" s="148"/>
      <c r="G228" s="98"/>
      <c r="H228" s="1140"/>
      <c r="I228" s="267"/>
      <c r="J228" s="267"/>
      <c r="K228" s="267"/>
      <c r="L228" s="267"/>
    </row>
    <row r="229" spans="1:16" ht="15.75">
      <c r="A229" s="107"/>
      <c r="B229" s="22" t="s">
        <v>758</v>
      </c>
      <c r="C229" s="54"/>
      <c r="E229" s="36" t="str">
        <f>"(Note "&amp;A$312&amp;")"</f>
        <v>(Note I)</v>
      </c>
      <c r="F229" s="131"/>
      <c r="G229" s="99"/>
      <c r="H229" s="1141"/>
      <c r="I229" s="267"/>
      <c r="J229" s="267"/>
      <c r="K229" s="267"/>
      <c r="L229" s="267"/>
    </row>
    <row r="230" spans="1:16">
      <c r="A230" s="107">
        <f>+A227+1</f>
        <v>152</v>
      </c>
      <c r="B230" s="7"/>
      <c r="C230" s="61" t="s">
        <v>916</v>
      </c>
      <c r="D230" s="109" t="s">
        <v>787</v>
      </c>
      <c r="E230" s="36" t="str">
        <f>"(Note "&amp;$A$304&amp;")"</f>
        <v>(Note A)</v>
      </c>
      <c r="F230" s="932" t="s">
        <v>479</v>
      </c>
      <c r="G230" s="212">
        <v>-169332</v>
      </c>
      <c r="H230" s="1104">
        <v>-169332</v>
      </c>
      <c r="I230" s="267"/>
      <c r="J230" s="267"/>
      <c r="K230" s="267"/>
      <c r="L230" s="267"/>
      <c r="N230" s="728" t="s">
        <v>862</v>
      </c>
      <c r="O230" s="728"/>
      <c r="P230" s="728"/>
    </row>
    <row r="231" spans="1:16">
      <c r="A231" s="107">
        <f>+A230+1</f>
        <v>153</v>
      </c>
      <c r="B231" s="7"/>
      <c r="C231" s="61" t="s">
        <v>263</v>
      </c>
      <c r="D231" s="9"/>
      <c r="E231" s="7"/>
      <c r="F231" s="136" t="str">
        <f>"(1 / (1 - Line "&amp;A226&amp;"))"</f>
        <v>(1 / (1 - Line 150))</v>
      </c>
      <c r="G231" s="1387">
        <f>IF(G226=0,0,1/(1-G226))</f>
        <v>1.6254180602006685</v>
      </c>
      <c r="H231" s="1513">
        <f>IF(H226=0,0,1/(1-H226))</f>
        <v>1.6254180602006685</v>
      </c>
      <c r="I231" s="267"/>
      <c r="J231" s="267"/>
      <c r="K231" s="267"/>
      <c r="L231" s="267"/>
    </row>
    <row r="232" spans="1:16">
      <c r="A232" s="107">
        <f>+A231+1</f>
        <v>154</v>
      </c>
      <c r="B232" s="7"/>
      <c r="C232" s="54" t="s">
        <v>188</v>
      </c>
      <c r="D232" s="12"/>
      <c r="E232" s="27"/>
      <c r="F232" s="139" t="str">
        <f>"(Line "&amp;A$35&amp;")"</f>
        <v>(Line 18)</v>
      </c>
      <c r="G232" s="92">
        <f>+G35</f>
        <v>9.6306792816616915E-2</v>
      </c>
      <c r="H232" s="1106">
        <f>+H35</f>
        <v>0.10750781201752653</v>
      </c>
      <c r="I232" s="267"/>
      <c r="J232" s="267"/>
      <c r="K232" s="267"/>
      <c r="L232" s="267"/>
    </row>
    <row r="233" spans="1:16">
      <c r="A233" s="107">
        <f>+A232+1</f>
        <v>155</v>
      </c>
      <c r="B233" s="7"/>
      <c r="C233" s="684" t="s">
        <v>191</v>
      </c>
      <c r="D233" s="289"/>
      <c r="E233" s="36"/>
      <c r="F233" s="131" t="str">
        <f>"(Line "&amp;A230&amp;" * Line "&amp;A231&amp;" * Line "&amp;A232&amp;")"</f>
        <v>(Line 152 * Line 153 * Line 154)</v>
      </c>
      <c r="G233" s="676">
        <f>+G230*G231*G232</f>
        <v>-26507.028143259395</v>
      </c>
      <c r="H233" s="1388">
        <f>+H230*H231*H232</f>
        <v>-29589.943922181184</v>
      </c>
      <c r="I233" s="267"/>
      <c r="J233" s="267"/>
      <c r="K233" s="267"/>
      <c r="L233" s="267"/>
    </row>
    <row r="234" spans="1:16" ht="15.75">
      <c r="A234" s="107"/>
      <c r="B234" s="7"/>
      <c r="C234" s="26"/>
      <c r="D234" s="9"/>
      <c r="E234" s="33"/>
      <c r="F234" s="149"/>
      <c r="G234" s="1389"/>
      <c r="H234" s="1390"/>
      <c r="I234" s="267"/>
      <c r="J234" s="267"/>
      <c r="K234" s="267"/>
      <c r="L234" s="267"/>
    </row>
    <row r="235" spans="1:16" ht="15.75">
      <c r="A235" s="107">
        <f>+A233+1</f>
        <v>156</v>
      </c>
      <c r="B235" s="69" t="s">
        <v>209</v>
      </c>
      <c r="C235" s="10"/>
      <c r="D235" s="1648" t="s">
        <v>805</v>
      </c>
      <c r="E235" s="1648"/>
      <c r="F235" s="1650" t="str">
        <f>"[Line "&amp;A227&amp;" * Line "&amp;A218&amp;" * (1 - (Line "&amp;A213&amp;" / Line "&amp;A216&amp;"))]"</f>
        <v>[Line 151 * Line 146 * (1 - (Line 142 / Line 145))]</v>
      </c>
      <c r="G235" s="74">
        <f>IF(G216=0,0,+G227*(1-G213/G216)*G218)</f>
        <v>1165632.9315738201</v>
      </c>
      <c r="H235" s="1095">
        <f>IF(H216=0,0,+H227*(1-H213/H216)*H218)</f>
        <v>1484276.6277005959</v>
      </c>
      <c r="I235" s="267"/>
      <c r="J235" s="267"/>
      <c r="K235" s="267"/>
      <c r="L235" s="267"/>
    </row>
    <row r="236" spans="1:16">
      <c r="A236" s="107"/>
      <c r="B236" s="7"/>
      <c r="C236" s="8"/>
      <c r="D236" s="1649"/>
      <c r="E236" s="1649"/>
      <c r="F236" s="1651"/>
      <c r="G236" s="677"/>
      <c r="H236" s="1142"/>
      <c r="I236" s="267"/>
      <c r="J236" s="267"/>
      <c r="K236" s="267"/>
      <c r="L236" s="267"/>
    </row>
    <row r="237" spans="1:16" ht="16.5" thickBot="1">
      <c r="A237" s="107">
        <f>+A235+1</f>
        <v>157</v>
      </c>
      <c r="B237" s="18" t="s">
        <v>150</v>
      </c>
      <c r="C237" s="18"/>
      <c r="D237" s="16"/>
      <c r="E237" s="29"/>
      <c r="F237" s="140" t="str">
        <f>"(Line "&amp;A233&amp;" + Line "&amp;A235&amp;")"</f>
        <v>(Line 155 + Line 156)</v>
      </c>
      <c r="G237" s="100">
        <f>+G235+G233</f>
        <v>1139125.9034305606</v>
      </c>
      <c r="H237" s="1124">
        <f>+H235+H233</f>
        <v>1454686.6837784147</v>
      </c>
      <c r="I237" s="267"/>
      <c r="J237" s="267"/>
      <c r="K237" s="267"/>
      <c r="L237" s="267"/>
    </row>
    <row r="238" spans="1:16" ht="15.75" thickTop="1">
      <c r="A238" s="107"/>
      <c r="B238" s="7"/>
      <c r="C238" s="62"/>
      <c r="D238" s="6"/>
      <c r="E238" s="28"/>
      <c r="F238" s="141"/>
      <c r="G238" s="640"/>
      <c r="H238" s="1101"/>
      <c r="I238" s="267"/>
      <c r="J238" s="267"/>
      <c r="K238" s="267"/>
      <c r="L238" s="267"/>
    </row>
    <row r="239" spans="1:16" s="262" customFormat="1" ht="15.75">
      <c r="A239" s="1080" t="s">
        <v>780</v>
      </c>
      <c r="B239" s="249"/>
      <c r="C239" s="250"/>
      <c r="D239" s="250"/>
      <c r="E239" s="251"/>
      <c r="F239" s="252"/>
      <c r="G239" s="667"/>
      <c r="H239" s="1125"/>
      <c r="I239" s="263"/>
      <c r="J239" s="263"/>
      <c r="K239" s="263"/>
      <c r="L239" s="263"/>
    </row>
    <row r="240" spans="1:16">
      <c r="A240" s="110"/>
      <c r="B240" s="10"/>
      <c r="C240" s="10"/>
      <c r="D240" s="10"/>
      <c r="E240" s="28"/>
      <c r="F240" s="135"/>
      <c r="G240" s="665"/>
      <c r="H240" s="1113"/>
      <c r="I240" s="267"/>
      <c r="J240" s="267"/>
      <c r="K240" s="267"/>
      <c r="L240" s="267"/>
    </row>
    <row r="241" spans="1:12" ht="15.75">
      <c r="A241" s="110"/>
      <c r="B241" s="69" t="s">
        <v>151</v>
      </c>
      <c r="C241" s="10"/>
      <c r="D241" s="10"/>
      <c r="E241" s="28"/>
      <c r="F241" s="135"/>
      <c r="G241" s="665"/>
      <c r="H241" s="1113"/>
      <c r="I241" s="267"/>
      <c r="J241" s="267"/>
      <c r="K241" s="267"/>
      <c r="L241" s="267"/>
    </row>
    <row r="242" spans="1:12">
      <c r="A242" s="113">
        <f>+A237+1</f>
        <v>158</v>
      </c>
      <c r="B242" s="15"/>
      <c r="C242" s="15" t="str">
        <f>+B63</f>
        <v>TOTAL Net Property, Plant &amp; Equipment - Transmission</v>
      </c>
      <c r="D242" s="15"/>
      <c r="E242" s="36"/>
      <c r="F242" s="131" t="str">
        <f>"(Line "&amp;A63&amp;")"</f>
        <v>(Line 35)</v>
      </c>
      <c r="G242" s="665">
        <f>+G63</f>
        <v>46094698.015629843</v>
      </c>
      <c r="H242" s="1113">
        <f>+H63</f>
        <v>52360297.52704078</v>
      </c>
      <c r="I242" s="267"/>
      <c r="J242" s="267"/>
      <c r="K242" s="267"/>
      <c r="L242" s="267"/>
    </row>
    <row r="243" spans="1:12">
      <c r="A243" s="77">
        <f>+A242+1</f>
        <v>159</v>
      </c>
      <c r="B243" s="15"/>
      <c r="C243" s="15" t="s">
        <v>205</v>
      </c>
      <c r="D243" s="15"/>
      <c r="E243" s="36"/>
      <c r="F243" s="139" t="str">
        <f>"(Line "&amp;A118&amp;")"</f>
        <v>(Line 73)</v>
      </c>
      <c r="G243" s="665">
        <f>+G118</f>
        <v>-15327770.411051251</v>
      </c>
      <c r="H243" s="1113">
        <f>+H118</f>
        <v>-13793981.710692111</v>
      </c>
      <c r="I243" s="267"/>
      <c r="J243" s="267"/>
      <c r="K243" s="267"/>
      <c r="L243" s="267"/>
    </row>
    <row r="244" spans="1:12" ht="15.75">
      <c r="A244" s="77">
        <f>+A243+1</f>
        <v>160</v>
      </c>
      <c r="B244" s="33"/>
      <c r="C244" s="293" t="s">
        <v>208</v>
      </c>
      <c r="D244" s="294"/>
      <c r="E244" s="468"/>
      <c r="F244" s="131" t="str">
        <f>"(Line "&amp;A120&amp;")"</f>
        <v>(Line 74)</v>
      </c>
      <c r="G244" s="678">
        <f>+G120</f>
        <v>30766927.604578592</v>
      </c>
      <c r="H244" s="1143">
        <f>+H120</f>
        <v>38566315.816348672</v>
      </c>
      <c r="I244" s="267"/>
      <c r="J244" s="267"/>
      <c r="K244" s="267"/>
      <c r="L244" s="267"/>
    </row>
    <row r="245" spans="1:12">
      <c r="A245" s="77"/>
      <c r="B245" s="33"/>
      <c r="C245" s="61"/>
      <c r="D245" s="9"/>
      <c r="E245" s="109"/>
      <c r="F245" s="134"/>
      <c r="G245" s="665"/>
      <c r="H245" s="1113"/>
      <c r="I245" s="267"/>
      <c r="J245" s="267"/>
      <c r="K245" s="267"/>
      <c r="L245" s="267"/>
    </row>
    <row r="246" spans="1:12">
      <c r="A246" s="77">
        <f>+A244+1</f>
        <v>161</v>
      </c>
      <c r="B246" s="9"/>
      <c r="C246" s="61" t="s">
        <v>227</v>
      </c>
      <c r="D246" s="9"/>
      <c r="E246" s="36"/>
      <c r="F246" s="131" t="str">
        <f>"(Line "&amp;A156&amp;")"</f>
        <v>(Line 102)</v>
      </c>
      <c r="G246" s="665">
        <f>+G156</f>
        <v>5012291.3252070853</v>
      </c>
      <c r="H246" s="1113">
        <f>+H156</f>
        <v>5033155.1948481584</v>
      </c>
      <c r="I246" s="267"/>
      <c r="J246" s="267"/>
      <c r="K246" s="267"/>
      <c r="L246" s="267"/>
    </row>
    <row r="247" spans="1:12">
      <c r="A247" s="77">
        <f t="shared" ref="A247:A253" si="9">+A246+1</f>
        <v>162</v>
      </c>
      <c r="B247" s="9"/>
      <c r="C247" s="58" t="s">
        <v>196</v>
      </c>
      <c r="D247" s="9"/>
      <c r="E247" s="36"/>
      <c r="F247" s="131" t="str">
        <f>"(Line "&amp;A170&amp;")"</f>
        <v>(Line 112)</v>
      </c>
      <c r="G247" s="665">
        <f>+G170</f>
        <v>3694573.4669748079</v>
      </c>
      <c r="H247" s="1113">
        <f>+H170</f>
        <v>3694573.4669748079</v>
      </c>
      <c r="I247" s="267"/>
      <c r="J247" s="267"/>
      <c r="K247" s="267"/>
      <c r="L247" s="267"/>
    </row>
    <row r="248" spans="1:12">
      <c r="A248" s="77">
        <f t="shared" si="9"/>
        <v>163</v>
      </c>
      <c r="B248" s="33"/>
      <c r="C248" s="61" t="s">
        <v>152</v>
      </c>
      <c r="D248" s="9"/>
      <c r="E248" s="109"/>
      <c r="F248" s="136" t="str">
        <f>"(Line "&amp;A185&amp;")"</f>
        <v>(Line 124)</v>
      </c>
      <c r="G248" s="665">
        <f>+G185</f>
        <v>1643577.1186191335</v>
      </c>
      <c r="H248" s="1113">
        <f>+H185</f>
        <v>1711138.3241615968</v>
      </c>
      <c r="I248" s="267"/>
      <c r="J248" s="267"/>
      <c r="K248" s="267"/>
      <c r="L248" s="267"/>
    </row>
    <row r="249" spans="1:12">
      <c r="A249" s="77">
        <f t="shared" si="9"/>
        <v>164</v>
      </c>
      <c r="B249" s="33"/>
      <c r="C249" s="61" t="s">
        <v>1062</v>
      </c>
      <c r="D249" s="9"/>
      <c r="E249" s="109"/>
      <c r="F249" s="136" t="str">
        <f>"(Line "&amp;A193&amp;")"</f>
        <v>(Line 129)</v>
      </c>
      <c r="G249" s="661">
        <f>G193</f>
        <v>0</v>
      </c>
      <c r="H249" s="1090">
        <f>H193</f>
        <v>0</v>
      </c>
      <c r="I249" s="267"/>
      <c r="J249" s="267"/>
      <c r="K249" s="267"/>
      <c r="L249" s="267"/>
    </row>
    <row r="250" spans="1:12">
      <c r="A250" s="77">
        <f t="shared" si="9"/>
        <v>165</v>
      </c>
      <c r="B250" s="33"/>
      <c r="C250" s="258" t="s">
        <v>219</v>
      </c>
      <c r="D250" s="9"/>
      <c r="E250" s="109"/>
      <c r="F250" s="136" t="str">
        <f>"(Line "&amp;A218&amp;")"</f>
        <v>(Line 146)</v>
      </c>
      <c r="G250" s="665">
        <f>+G218</f>
        <v>2651103.4771481557</v>
      </c>
      <c r="H250" s="1113">
        <f>+H218</f>
        <v>3344412.8785856562</v>
      </c>
      <c r="I250" s="267"/>
      <c r="J250" s="267"/>
      <c r="K250" s="267"/>
      <c r="L250" s="267"/>
    </row>
    <row r="251" spans="1:12">
      <c r="A251" s="77">
        <f t="shared" si="9"/>
        <v>166</v>
      </c>
      <c r="B251" s="33"/>
      <c r="C251" s="258" t="s">
        <v>220</v>
      </c>
      <c r="D251" s="9"/>
      <c r="E251" s="109"/>
      <c r="F251" s="136" t="str">
        <f>"(Line "&amp;A237&amp;")"</f>
        <v>(Line 157)</v>
      </c>
      <c r="G251" s="665">
        <f>+G237</f>
        <v>1139125.9034305606</v>
      </c>
      <c r="H251" s="1113">
        <f>+H237</f>
        <v>1454686.6837784147</v>
      </c>
      <c r="I251" s="267"/>
      <c r="J251" s="267"/>
      <c r="K251" s="267"/>
      <c r="L251" s="267"/>
    </row>
    <row r="252" spans="1:12">
      <c r="A252" s="77">
        <f t="shared" si="9"/>
        <v>167</v>
      </c>
      <c r="B252" s="33"/>
      <c r="C252" s="258" t="s">
        <v>548</v>
      </c>
      <c r="D252" s="9"/>
      <c r="E252" s="36" t="str">
        <f>"(Note "&amp;A$323&amp;")"</f>
        <v>(Note T)</v>
      </c>
      <c r="F252" s="136"/>
      <c r="G252" s="212">
        <v>0</v>
      </c>
      <c r="H252" s="1104">
        <v>0</v>
      </c>
      <c r="I252" s="267"/>
      <c r="J252" s="267"/>
      <c r="K252" s="267"/>
      <c r="L252" s="267"/>
    </row>
    <row r="253" spans="1:12">
      <c r="A253" s="77">
        <f t="shared" si="9"/>
        <v>168</v>
      </c>
      <c r="B253" s="33"/>
      <c r="C253" s="258" t="s">
        <v>549</v>
      </c>
      <c r="D253" s="9"/>
      <c r="E253" s="36" t="str">
        <f>"(Note "&amp;A$324&amp;")"</f>
        <v>(Note U)</v>
      </c>
      <c r="F253" s="136"/>
      <c r="G253" s="212">
        <v>0</v>
      </c>
      <c r="H253" s="1104">
        <v>0</v>
      </c>
      <c r="I253" s="267"/>
      <c r="J253" s="267"/>
      <c r="K253" s="267"/>
      <c r="L253" s="267"/>
    </row>
    <row r="254" spans="1:12" ht="15.75" thickBot="1">
      <c r="A254" s="77"/>
      <c r="B254" s="33"/>
      <c r="C254" s="258"/>
      <c r="D254" s="9"/>
      <c r="E254" s="109"/>
      <c r="F254" s="143"/>
      <c r="G254" s="665"/>
      <c r="H254" s="1113"/>
      <c r="I254" s="267"/>
      <c r="J254" s="267"/>
      <c r="K254" s="267"/>
      <c r="L254" s="267"/>
    </row>
    <row r="255" spans="1:12" ht="16.5" thickBot="1">
      <c r="A255" s="583">
        <f>+A253+1</f>
        <v>169</v>
      </c>
      <c r="B255" s="584"/>
      <c r="C255" s="585" t="s">
        <v>222</v>
      </c>
      <c r="D255" s="586"/>
      <c r="E255" s="1182"/>
      <c r="F255" s="1021" t="str">
        <f>"Sum of (Line "&amp;A246&amp;" to Line "&amp;A251&amp;") - Line "&amp;A252&amp;" - Line "&amp;A253</f>
        <v>Sum of (Line 161 to Line 166) - Line 167 - Line 168</v>
      </c>
      <c r="G255" s="680">
        <f>SUM(G246:G251)-G252-G253</f>
        <v>14140671.291379744</v>
      </c>
      <c r="H255" s="1144">
        <f>SUM(H246:H251)-H252-H253</f>
        <v>15237966.548348634</v>
      </c>
      <c r="I255" s="267"/>
      <c r="J255" s="267"/>
      <c r="K255" s="267"/>
      <c r="L255" s="267"/>
    </row>
    <row r="256" spans="1:12" ht="15.75">
      <c r="A256" s="125"/>
      <c r="B256" s="7"/>
      <c r="C256" s="5"/>
      <c r="D256" s="51"/>
      <c r="E256" s="588"/>
      <c r="F256" s="1183"/>
      <c r="G256" s="679"/>
      <c r="H256" s="1145"/>
      <c r="I256" s="267"/>
      <c r="J256" s="267"/>
      <c r="K256" s="267"/>
      <c r="L256" s="267"/>
    </row>
    <row r="257" spans="1:12" ht="15.75">
      <c r="A257" s="125"/>
      <c r="B257" s="26" t="s">
        <v>176</v>
      </c>
      <c r="C257" s="5"/>
      <c r="D257" s="51"/>
      <c r="E257" s="588"/>
      <c r="F257" s="1183"/>
      <c r="G257" s="679"/>
      <c r="H257" s="1145"/>
      <c r="I257" s="267"/>
      <c r="J257" s="267"/>
      <c r="K257" s="267"/>
      <c r="L257" s="267"/>
    </row>
    <row r="258" spans="1:12" ht="15.75">
      <c r="A258" s="77">
        <f>+A255+1</f>
        <v>170</v>
      </c>
      <c r="B258" s="33"/>
      <c r="C258" s="61" t="str">
        <f>+C42</f>
        <v>Total Transmission Plant In Service</v>
      </c>
      <c r="D258" s="51"/>
      <c r="E258" s="588"/>
      <c r="F258" s="136" t="str">
        <f>"(Line "&amp;A42&amp;")"</f>
        <v>(Line 21)</v>
      </c>
      <c r="G258" s="661">
        <f>+G42</f>
        <v>98927458.053076923</v>
      </c>
      <c r="H258" s="1090">
        <f>+H42</f>
        <v>106586216.99333332</v>
      </c>
      <c r="I258" s="267"/>
      <c r="J258" s="267"/>
      <c r="K258" s="267"/>
      <c r="L258" s="267"/>
    </row>
    <row r="259" spans="1:12" ht="15.75">
      <c r="A259" s="77">
        <f>+A258+1</f>
        <v>171</v>
      </c>
      <c r="B259" s="33"/>
      <c r="C259" s="63" t="s">
        <v>177</v>
      </c>
      <c r="D259" s="587"/>
      <c r="E259" s="76" t="str">
        <f>"(Notes "&amp;A$305&amp;", "&amp;A$316&amp;", "&amp;A$322&amp;")"</f>
        <v>(Notes B, M, S)</v>
      </c>
      <c r="F259" s="137" t="str">
        <f>+"WP02 Support Line "&amp;'WP02 Support'!A156&amp;" Columns "&amp;'WP02 Support'!$D$5&amp;" &amp; "&amp;'WP02 Support'!F5</f>
        <v>WP02 Support Line 58 Columns C &amp; E</v>
      </c>
      <c r="G259" s="463">
        <f>'WP02 Support'!D156</f>
        <v>3547348</v>
      </c>
      <c r="H259" s="1127">
        <f>'WP02 Support'!F156</f>
        <v>3547348</v>
      </c>
      <c r="I259" s="267"/>
      <c r="J259" s="267"/>
      <c r="K259" s="267"/>
      <c r="L259" s="267"/>
    </row>
    <row r="260" spans="1:12" ht="15.75">
      <c r="A260" s="77">
        <f>+A259+1</f>
        <v>172</v>
      </c>
      <c r="B260" s="33"/>
      <c r="C260" s="61" t="s">
        <v>178</v>
      </c>
      <c r="D260" s="51"/>
      <c r="E260" s="588"/>
      <c r="F260" s="136" t="str">
        <f>"(Line "&amp;A258&amp;" - Line "&amp;A259&amp;")"</f>
        <v>(Line 170 - Line 171)</v>
      </c>
      <c r="G260" s="661">
        <f>+G258-G259</f>
        <v>95380110.053076923</v>
      </c>
      <c r="H260" s="1090">
        <f>+H258-H259</f>
        <v>103038868.99333332</v>
      </c>
      <c r="I260" s="267"/>
      <c r="J260" s="267"/>
      <c r="K260" s="267"/>
      <c r="L260" s="267"/>
    </row>
    <row r="261" spans="1:12" s="267" customFormat="1" ht="15.75">
      <c r="A261" s="77">
        <f>+A260+1</f>
        <v>173</v>
      </c>
      <c r="B261" s="33"/>
      <c r="C261" s="61" t="s">
        <v>179</v>
      </c>
      <c r="D261" s="51"/>
      <c r="E261" s="588"/>
      <c r="F261" s="136" t="str">
        <f>"(Line "&amp;A260&amp;" / Line "&amp;A258&amp;")"</f>
        <v>(Line 172 / Line 170)</v>
      </c>
      <c r="G261" s="1391">
        <f>IF(G258 =0, 0,+G260/G258)</f>
        <v>0.96414192712707969</v>
      </c>
      <c r="H261" s="1447">
        <f>IF(H258 =0, 0,+H260/H258)</f>
        <v>0.96671851107895235</v>
      </c>
    </row>
    <row r="262" spans="1:12" ht="15.75">
      <c r="A262" s="77">
        <f>+A261+1</f>
        <v>174</v>
      </c>
      <c r="B262" s="33"/>
      <c r="C262" s="63" t="s">
        <v>222</v>
      </c>
      <c r="D262" s="587"/>
      <c r="E262" s="1184"/>
      <c r="F262" s="137" t="str">
        <f>"(Line "&amp;A255&amp;")"</f>
        <v>(Line 169)</v>
      </c>
      <c r="G262" s="463">
        <f>+G255</f>
        <v>14140671.291379744</v>
      </c>
      <c r="H262" s="1127">
        <f>+H255</f>
        <v>15237966.548348634</v>
      </c>
      <c r="I262" s="267"/>
      <c r="J262" s="267"/>
      <c r="K262" s="267"/>
      <c r="L262" s="267"/>
    </row>
    <row r="263" spans="1:12" ht="15.75">
      <c r="A263" s="77">
        <f>+A262+1</f>
        <v>175</v>
      </c>
      <c r="B263" s="33"/>
      <c r="C263" s="5" t="s">
        <v>180</v>
      </c>
      <c r="D263" s="51"/>
      <c r="E263" s="588"/>
      <c r="F263" s="136" t="str">
        <f>"(Line "&amp;A261&amp;" * Line "&amp;A262&amp;")"</f>
        <v>(Line 173 * Line 174)</v>
      </c>
      <c r="G263" s="663">
        <f>+G262*G261</f>
        <v>13633614.069741437</v>
      </c>
      <c r="H263" s="1109">
        <f>+H262*H261</f>
        <v>14730824.333490474</v>
      </c>
      <c r="I263" s="267"/>
      <c r="J263" s="267"/>
      <c r="K263" s="267"/>
      <c r="L263" s="267"/>
    </row>
    <row r="264" spans="1:12" ht="15.75">
      <c r="A264" s="114"/>
      <c r="B264" s="7"/>
      <c r="C264" s="61"/>
      <c r="D264" s="9"/>
      <c r="E264" s="55"/>
      <c r="F264" s="134"/>
      <c r="G264" s="675"/>
      <c r="H264" s="1126"/>
      <c r="I264" s="267"/>
      <c r="J264" s="267"/>
      <c r="K264" s="267"/>
      <c r="L264" s="267"/>
    </row>
    <row r="265" spans="1:12" ht="15.75">
      <c r="A265" s="1082"/>
      <c r="B265" s="41" t="s">
        <v>255</v>
      </c>
      <c r="C265" s="61"/>
      <c r="D265" s="9"/>
      <c r="E265" s="55"/>
      <c r="F265" s="134"/>
      <c r="G265" s="669"/>
      <c r="H265" s="1117"/>
      <c r="I265" s="267"/>
      <c r="J265" s="267"/>
      <c r="K265" s="267"/>
      <c r="L265" s="267"/>
    </row>
    <row r="266" spans="1:12" ht="15.75">
      <c r="A266" s="1082"/>
      <c r="B266" s="41"/>
      <c r="C266" s="5" t="s">
        <v>1068</v>
      </c>
      <c r="D266" s="9"/>
      <c r="E266" s="55"/>
      <c r="F266" s="134"/>
      <c r="G266" s="669"/>
      <c r="H266" s="1117"/>
      <c r="I266" s="267"/>
      <c r="J266" s="267"/>
      <c r="K266" s="267"/>
      <c r="L266" s="267"/>
    </row>
    <row r="267" spans="1:12" ht="15.75">
      <c r="A267" s="113">
        <f>+A263+1</f>
        <v>176</v>
      </c>
      <c r="B267" s="41"/>
      <c r="C267" s="928" t="s">
        <v>237</v>
      </c>
      <c r="D267" s="9"/>
      <c r="E267" s="55"/>
      <c r="F267" s="132" t="str">
        <f>+"WP17 Rev Line "&amp;'WP17 Rev'!A$10&amp;" Column "&amp;'WP17 Rev'!D5</f>
        <v>WP17 Rev Line 2 Column C</v>
      </c>
      <c r="G267" s="661">
        <f>+'WP17 Rev'!D10</f>
        <v>1020462</v>
      </c>
      <c r="H267" s="1090">
        <f>+'WP17 Rev'!D10</f>
        <v>1020462</v>
      </c>
      <c r="I267" s="267"/>
      <c r="J267" s="267"/>
      <c r="K267" s="267"/>
      <c r="L267" s="267"/>
    </row>
    <row r="268" spans="1:12" ht="15.75">
      <c r="A268" s="113">
        <f>+A267+1</f>
        <v>177</v>
      </c>
      <c r="B268" s="41"/>
      <c r="C268" s="928" t="s">
        <v>273</v>
      </c>
      <c r="D268" s="9"/>
      <c r="E268" s="55"/>
      <c r="F268" s="132" t="str">
        <f>+"WP17 Rev Line "&amp;'WP17 Rev'!A$10&amp;" Column "&amp;'WP17 Rev'!F5</f>
        <v>WP17 Rev Line 2 Column E</v>
      </c>
      <c r="G268" s="661">
        <f>+'WP17 Rev'!F10</f>
        <v>5995</v>
      </c>
      <c r="H268" s="1090">
        <f>+'WP17 Rev'!F10</f>
        <v>5995</v>
      </c>
      <c r="I268" s="267"/>
      <c r="J268" s="267"/>
      <c r="K268" s="267"/>
      <c r="L268" s="267"/>
    </row>
    <row r="269" spans="1:12" ht="15.75">
      <c r="A269" s="113">
        <f t="shared" ref="A269:A271" si="10">+A268+1</f>
        <v>178</v>
      </c>
      <c r="B269" s="41"/>
      <c r="C269" s="928" t="str">
        <f>+B$24</f>
        <v>Wages &amp; Salary Allocator</v>
      </c>
      <c r="D269" s="9"/>
      <c r="E269" s="55"/>
      <c r="F269" s="132" t="str">
        <f>"(Line "&amp;A$24&amp;")"</f>
        <v>(Line 11)</v>
      </c>
      <c r="G269" s="257">
        <f>+G$24</f>
        <v>0.11000939176587933</v>
      </c>
      <c r="H269" s="1096">
        <f>H$24</f>
        <v>0.11000939176587933</v>
      </c>
      <c r="I269" s="267"/>
      <c r="J269" s="267"/>
      <c r="K269" s="267"/>
      <c r="L269" s="267"/>
    </row>
    <row r="270" spans="1:12" ht="15.75">
      <c r="A270" s="113">
        <f t="shared" si="10"/>
        <v>179</v>
      </c>
      <c r="B270" s="41"/>
      <c r="C270" s="927" t="str">
        <f>+"Total Transmission Allocated "&amp;C268</f>
        <v>Total Transmission Allocated General Plant</v>
      </c>
      <c r="D270" s="9"/>
      <c r="E270" s="55"/>
      <c r="F270" s="137" t="str">
        <f>"(Line "&amp;A268&amp;" * Line "&amp;A269&amp;")"</f>
        <v>(Line 177 * Line 178)</v>
      </c>
      <c r="G270" s="915">
        <f>+G268*G269</f>
        <v>659.50630363644655</v>
      </c>
      <c r="H270" s="1102">
        <f>+H268*H269</f>
        <v>659.50630363644655</v>
      </c>
      <c r="I270" s="267"/>
      <c r="J270" s="267"/>
      <c r="K270" s="267"/>
      <c r="L270" s="267"/>
    </row>
    <row r="271" spans="1:12" ht="15.75">
      <c r="A271" s="113">
        <f t="shared" si="10"/>
        <v>180</v>
      </c>
      <c r="B271" s="41"/>
      <c r="C271" s="58" t="s">
        <v>1069</v>
      </c>
      <c r="D271" s="9"/>
      <c r="E271" s="55"/>
      <c r="F271" s="136" t="str">
        <f>"(Line "&amp;A267&amp;" + Line "&amp;A270&amp;")"</f>
        <v>(Line 176 + Line 179)</v>
      </c>
      <c r="G271" s="101">
        <f>+G267+G270</f>
        <v>1021121.5063036365</v>
      </c>
      <c r="H271" s="1085">
        <f>+H267+H270</f>
        <v>1021121.5063036365</v>
      </c>
      <c r="I271" s="267"/>
      <c r="J271" s="267"/>
      <c r="K271" s="267"/>
      <c r="L271" s="267"/>
    </row>
    <row r="272" spans="1:12">
      <c r="A272" s="119"/>
      <c r="B272" s="7"/>
      <c r="C272" s="61"/>
      <c r="D272" s="9"/>
      <c r="F272" s="134"/>
      <c r="G272" s="669"/>
      <c r="H272" s="1117"/>
      <c r="I272" s="267"/>
      <c r="J272" s="267"/>
      <c r="K272" s="267"/>
      <c r="L272" s="267"/>
    </row>
    <row r="273" spans="1:12" ht="15.75">
      <c r="A273" s="114"/>
      <c r="B273" s="26"/>
      <c r="C273" s="5" t="s">
        <v>1070</v>
      </c>
      <c r="D273" s="9"/>
      <c r="E273" s="55"/>
      <c r="F273" s="143"/>
      <c r="G273" s="74"/>
      <c r="H273" s="1126"/>
      <c r="I273" s="267"/>
      <c r="J273" s="267"/>
      <c r="K273" s="267"/>
      <c r="L273" s="267"/>
    </row>
    <row r="274" spans="1:12">
      <c r="A274" s="113">
        <f>+A271+1</f>
        <v>181</v>
      </c>
      <c r="B274" s="58"/>
      <c r="C274" s="1185" t="s">
        <v>1096</v>
      </c>
      <c r="D274" s="9"/>
      <c r="E274" s="109"/>
      <c r="F274" s="132" t="str">
        <f>+"WP17 Rev Line "&amp;'WP17 Rev'!A$57&amp;" Column "&amp;'WP17 Rev'!D5</f>
        <v>WP17 Rev Line 7 Column C</v>
      </c>
      <c r="G274" s="101">
        <f>+'WP17 Rev'!$D57</f>
        <v>90073</v>
      </c>
      <c r="H274" s="1085">
        <f>+'WP17 Rev'!$D57</f>
        <v>90073</v>
      </c>
      <c r="I274" s="267"/>
      <c r="J274" s="267"/>
      <c r="K274" s="267"/>
      <c r="L274" s="267"/>
    </row>
    <row r="275" spans="1:12">
      <c r="A275" s="77">
        <f t="shared" ref="A275:A283" si="11">+A274+1</f>
        <v>182</v>
      </c>
      <c r="B275" s="58"/>
      <c r="C275" s="1185" t="s">
        <v>1098</v>
      </c>
      <c r="D275" s="9"/>
      <c r="E275" s="109"/>
      <c r="F275" s="132" t="str">
        <f>+"WP17 Rev Line "&amp;'WP17 Rev'!A$57&amp;" Column "&amp;'WP17 Rev'!E5</f>
        <v>WP17 Rev Line 7 Column D</v>
      </c>
      <c r="G275" s="670">
        <f>+'WP17 Rev'!$E57</f>
        <v>6297746</v>
      </c>
      <c r="H275" s="1086">
        <f>+'WP17 Rev'!$E57</f>
        <v>6297746</v>
      </c>
      <c r="I275" s="267"/>
      <c r="J275" s="267"/>
      <c r="K275" s="267"/>
      <c r="L275" s="267"/>
    </row>
    <row r="276" spans="1:12" ht="15.75">
      <c r="A276" s="77">
        <f t="shared" si="11"/>
        <v>183</v>
      </c>
      <c r="B276" s="41"/>
      <c r="C276" s="928" t="s">
        <v>1097</v>
      </c>
      <c r="D276" s="9"/>
      <c r="E276" s="36"/>
      <c r="F276" s="136" t="str">
        <f>"(Line "&amp;A274&amp;" + Line "&amp;A275&amp;")"</f>
        <v>(Line 181 + Line 182)</v>
      </c>
      <c r="G276" s="661">
        <f>SUM(G274:G275)</f>
        <v>6387819</v>
      </c>
      <c r="H276" s="1090">
        <f>SUM(H274:H275)</f>
        <v>6387819</v>
      </c>
      <c r="I276" s="267"/>
      <c r="J276" s="267"/>
      <c r="K276" s="267"/>
      <c r="L276" s="267"/>
    </row>
    <row r="277" spans="1:12">
      <c r="A277" s="77">
        <f t="shared" si="11"/>
        <v>184</v>
      </c>
      <c r="B277" s="116"/>
      <c r="C277" s="928" t="s">
        <v>273</v>
      </c>
      <c r="D277" s="9"/>
      <c r="E277" s="36"/>
      <c r="F277" s="132" t="str">
        <f>+"WP17 Rev Line "&amp;'WP17 Rev'!A$57&amp;" Column "&amp;'WP17 Rev'!F5</f>
        <v>WP17 Rev Line 7 Column E</v>
      </c>
      <c r="G277" s="661">
        <f>+'WP17 Rev'!F57</f>
        <v>0</v>
      </c>
      <c r="H277" s="1090">
        <f>+'WP17 Rev'!F57</f>
        <v>0</v>
      </c>
      <c r="I277" s="267"/>
      <c r="J277" s="267"/>
      <c r="K277" s="267"/>
      <c r="L277" s="267"/>
    </row>
    <row r="278" spans="1:12" s="267" customFormat="1" ht="15.75">
      <c r="A278" s="113">
        <f t="shared" si="11"/>
        <v>185</v>
      </c>
      <c r="B278" s="51"/>
      <c r="C278" s="928" t="str">
        <f>+B$24</f>
        <v>Wages &amp; Salary Allocator</v>
      </c>
      <c r="D278" s="9"/>
      <c r="E278" s="52"/>
      <c r="F278" s="132" t="str">
        <f>"(Line "&amp;A$24&amp;")"</f>
        <v>(Line 11)</v>
      </c>
      <c r="G278" s="257">
        <f>+G$24</f>
        <v>0.11000939176587933</v>
      </c>
      <c r="H278" s="1096">
        <f>H$24</f>
        <v>0.11000939176587933</v>
      </c>
    </row>
    <row r="279" spans="1:12">
      <c r="A279" s="77">
        <f t="shared" si="11"/>
        <v>186</v>
      </c>
      <c r="B279" s="116"/>
      <c r="C279" s="927" t="str">
        <f>+"Total Transmission Allocated "&amp;C277</f>
        <v>Total Transmission Allocated General Plant</v>
      </c>
      <c r="D279" s="68"/>
      <c r="E279" s="76"/>
      <c r="F279" s="137" t="str">
        <f>"(Line "&amp;A277&amp;" * "&amp;A278&amp;")"</f>
        <v>(Line 184 * 185)</v>
      </c>
      <c r="G279" s="915">
        <f>+G277*G278</f>
        <v>0</v>
      </c>
      <c r="H279" s="1102">
        <f>+H277*H278</f>
        <v>0</v>
      </c>
      <c r="I279" s="267"/>
      <c r="J279" s="267"/>
      <c r="K279" s="267"/>
      <c r="L279" s="267"/>
    </row>
    <row r="280" spans="1:12">
      <c r="A280" s="77">
        <f t="shared" si="11"/>
        <v>187</v>
      </c>
      <c r="B280" s="15"/>
      <c r="C280" s="58" t="s">
        <v>735</v>
      </c>
      <c r="D280" s="9"/>
      <c r="E280" s="36"/>
      <c r="F280" s="136" t="str">
        <f>"(Line "&amp;A276&amp;" + "&amp;A279&amp;")"</f>
        <v>(Line 183 + 186)</v>
      </c>
      <c r="G280" s="101">
        <f>+G276+G279</f>
        <v>6387819</v>
      </c>
      <c r="H280" s="1085">
        <f>+H276+H279</f>
        <v>6387819</v>
      </c>
      <c r="I280" s="267"/>
      <c r="J280" s="267"/>
      <c r="K280" s="267"/>
      <c r="L280" s="267"/>
    </row>
    <row r="281" spans="1:12">
      <c r="A281" s="77">
        <f t="shared" si="11"/>
        <v>188</v>
      </c>
      <c r="B281" s="15"/>
      <c r="C281" s="1022" t="str">
        <f>+"Less "&amp;C275</f>
        <v>Less Transmission Network &amp; LTF Service Revenues</v>
      </c>
      <c r="D281" s="9"/>
      <c r="E281" s="36"/>
      <c r="F281" s="132" t="str">
        <f>"(Line "&amp;A$275&amp;")"</f>
        <v>(Line 182)</v>
      </c>
      <c r="G281" s="1186">
        <f>+G275</f>
        <v>6297746</v>
      </c>
      <c r="H281" s="1187">
        <f>+H275</f>
        <v>6297746</v>
      </c>
      <c r="I281" s="267"/>
      <c r="J281" s="267"/>
      <c r="K281" s="267"/>
      <c r="L281" s="267"/>
    </row>
    <row r="282" spans="1:12">
      <c r="A282" s="77">
        <f t="shared" si="11"/>
        <v>189</v>
      </c>
      <c r="B282" s="15"/>
      <c r="C282" s="1022" t="s">
        <v>984</v>
      </c>
      <c r="D282" s="9"/>
      <c r="E282" s="36" t="str">
        <f>"(Note "&amp;A$329&amp;")"</f>
        <v>(Note Z)</v>
      </c>
      <c r="F282" s="132" t="str">
        <f>+"WP17 Rev Line "&amp;'WP17 Rev'!A$52&amp;" Column "&amp;'WP17 Rev'!D5</f>
        <v>WP17 Rev Line 6.38 Column C</v>
      </c>
      <c r="G282" s="1186">
        <f>+'WP17 Rev'!$D52</f>
        <v>0</v>
      </c>
      <c r="H282" s="1187">
        <f>+'WP17 Rev'!$D52</f>
        <v>0</v>
      </c>
      <c r="I282" s="267"/>
      <c r="J282" s="267"/>
      <c r="K282" s="267"/>
      <c r="L282" s="267"/>
    </row>
    <row r="283" spans="1:12">
      <c r="A283" s="77">
        <f t="shared" si="11"/>
        <v>190</v>
      </c>
      <c r="B283" s="15"/>
      <c r="C283" s="1023" t="s">
        <v>983</v>
      </c>
      <c r="D283" s="68"/>
      <c r="E283" s="76" t="str">
        <f>"(Note "&amp;A$330&amp;")"</f>
        <v>(Note AA)</v>
      </c>
      <c r="F283" s="265" t="str">
        <f>+"WP17 Rev Line "&amp;'WP17 Rev'!A$53&amp;" Column "&amp;'WP17 Rev'!D5</f>
        <v>WP17 Rev Line 6.39 Column C</v>
      </c>
      <c r="G283" s="738">
        <f>+'WP17 Rev'!D$53</f>
        <v>0</v>
      </c>
      <c r="H283" s="1188">
        <f>+'WP17 Rev'!E$53</f>
        <v>0</v>
      </c>
      <c r="I283" s="267"/>
      <c r="J283" s="267"/>
      <c r="K283" s="267"/>
      <c r="L283" s="267"/>
    </row>
    <row r="284" spans="1:12">
      <c r="A284" s="77">
        <f>+A283+1</f>
        <v>191</v>
      </c>
      <c r="B284" s="15"/>
      <c r="C284" s="58" t="str">
        <f>+"Revenue Credits - "&amp;C274</f>
        <v>Revenue Credits - Transmission Service Other Revenue Credits</v>
      </c>
      <c r="D284" s="9"/>
      <c r="E284" s="36"/>
      <c r="F284" s="143" t="str">
        <f>"(Line "&amp;A280&amp;" - Line "&amp;A281&amp;" - Line "&amp;A282&amp;" - Line "&amp;A283&amp;")"</f>
        <v>(Line 187 - Line 188 - Line 189 - Line 190)</v>
      </c>
      <c r="G284" s="101">
        <f>+G280-G281-G282-G283</f>
        <v>90073</v>
      </c>
      <c r="H284" s="1085">
        <f>+H280-H281-H282-H283</f>
        <v>90073</v>
      </c>
      <c r="I284" s="267"/>
      <c r="J284" s="267"/>
      <c r="K284" s="267"/>
      <c r="L284" s="267"/>
    </row>
    <row r="285" spans="1:12">
      <c r="A285" s="77">
        <f>+A284+1</f>
        <v>192</v>
      </c>
      <c r="B285" s="10"/>
      <c r="C285" s="58" t="s">
        <v>254</v>
      </c>
      <c r="D285" s="9"/>
      <c r="E285" s="36" t="str">
        <f>"(Note "&amp;A$317&amp;")"</f>
        <v>(Note N)</v>
      </c>
      <c r="F285" s="143"/>
      <c r="G285" s="212">
        <v>0</v>
      </c>
      <c r="H285" s="1104">
        <v>0</v>
      </c>
      <c r="I285" s="267"/>
      <c r="J285" s="267"/>
      <c r="K285" s="267"/>
      <c r="L285" s="267"/>
    </row>
    <row r="286" spans="1:12" ht="16.5" thickBot="1">
      <c r="A286" s="107"/>
      <c r="B286" s="7"/>
      <c r="C286" s="15"/>
      <c r="D286" s="15"/>
      <c r="E286" s="36"/>
      <c r="F286" s="143"/>
      <c r="G286" s="73"/>
      <c r="H286" s="1091"/>
      <c r="I286" s="267"/>
      <c r="J286" s="267"/>
      <c r="K286" s="267"/>
      <c r="L286" s="267"/>
    </row>
    <row r="287" spans="1:12" s="1" customFormat="1" ht="16.5" thickBot="1">
      <c r="A287" s="583">
        <f>+A285+1</f>
        <v>193</v>
      </c>
      <c r="B287" s="150"/>
      <c r="C287" s="1014" t="s">
        <v>226</v>
      </c>
      <c r="D287" s="590"/>
      <c r="E287" s="1015"/>
      <c r="F287" s="1021" t="str">
        <f>"(Line "&amp;A263&amp;" - Line "&amp;A271&amp;" - Line "&amp;A284&amp;" + Line "&amp;A285&amp;")"</f>
        <v>(Line 175 - Line 180 - Line 191 + Line 192)</v>
      </c>
      <c r="G287" s="680">
        <f>+G263-G271-G284+G285</f>
        <v>12522419.563437801</v>
      </c>
      <c r="H287" s="1144">
        <f>+H263-H271-H284+H285</f>
        <v>13619629.827186838</v>
      </c>
      <c r="I287" s="267"/>
      <c r="J287" s="267"/>
      <c r="K287" s="37"/>
      <c r="L287" s="37"/>
    </row>
    <row r="288" spans="1:12" ht="15.75">
      <c r="A288" s="114"/>
      <c r="B288" s="7"/>
      <c r="C288" s="15"/>
      <c r="D288" s="15"/>
      <c r="E288" s="36"/>
      <c r="F288" s="143"/>
      <c r="G288" s="681"/>
      <c r="H288" s="1126"/>
      <c r="I288" s="267"/>
      <c r="J288" s="267"/>
      <c r="K288" s="267"/>
      <c r="L288" s="267"/>
    </row>
    <row r="289" spans="1:181" ht="15.75">
      <c r="A289" s="77">
        <f>+A287+1</f>
        <v>194</v>
      </c>
      <c r="B289" s="33"/>
      <c r="C289" s="15" t="s">
        <v>1439</v>
      </c>
      <c r="D289" s="15" t="s">
        <v>1147</v>
      </c>
      <c r="E289" s="1189"/>
      <c r="F289" s="138" t="str">
        <f>+"WP01 True-Up Line "&amp;'WP01 True-Up'!A68&amp;" (EOY) Column "&amp;'WP01 True-Up'!F6</f>
        <v>WP01 True-Up Line 29 (EOY) Column E</v>
      </c>
      <c r="G289" s="661"/>
      <c r="H289" s="1085">
        <v>0</v>
      </c>
      <c r="I289" s="37"/>
      <c r="J289" s="37"/>
      <c r="K289" s="267"/>
      <c r="L289" s="267"/>
    </row>
    <row r="290" spans="1:181" ht="16.5" thickBot="1">
      <c r="A290" s="77"/>
      <c r="B290" s="33"/>
      <c r="C290" s="15"/>
      <c r="D290" s="15"/>
      <c r="E290" s="109"/>
      <c r="F290" s="138"/>
      <c r="G290" s="682"/>
      <c r="H290" s="1146"/>
      <c r="I290" s="37"/>
      <c r="J290" s="37"/>
      <c r="K290" s="267"/>
      <c r="L290" s="267"/>
    </row>
    <row r="291" spans="1:181" ht="16.5" thickBot="1">
      <c r="A291" s="583">
        <f>+A289+1</f>
        <v>195</v>
      </c>
      <c r="B291" s="150"/>
      <c r="C291" s="589" t="s">
        <v>124</v>
      </c>
      <c r="D291" s="590"/>
      <c r="E291" s="591"/>
      <c r="F291" s="297" t="str">
        <f>"(Line "&amp;A287&amp;" + Line "&amp;A289&amp;")"</f>
        <v>(Line 193 + Line 194)</v>
      </c>
      <c r="G291" s="680"/>
      <c r="H291" s="1144">
        <f>+H287+H289</f>
        <v>13619629.827186838</v>
      </c>
      <c r="I291" s="934"/>
      <c r="J291" s="37"/>
      <c r="K291" s="267"/>
      <c r="L291" s="267"/>
    </row>
    <row r="292" spans="1:181" s="10" customFormat="1" ht="15.75">
      <c r="A292" s="77"/>
      <c r="B292" s="7"/>
      <c r="C292" s="15"/>
      <c r="D292" s="15"/>
      <c r="E292" s="28"/>
      <c r="F292" s="134"/>
      <c r="G292" s="683"/>
      <c r="H292" s="1095"/>
      <c r="I292" s="922"/>
      <c r="J292" s="267"/>
      <c r="K292" s="267"/>
      <c r="L292" s="267"/>
      <c r="M292" s="266"/>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c r="CF292" s="266"/>
      <c r="CG292" s="266"/>
      <c r="CH292" s="266"/>
      <c r="CI292" s="266"/>
      <c r="CJ292" s="266"/>
      <c r="CK292" s="266"/>
      <c r="CL292" s="266"/>
      <c r="CM292" s="266"/>
      <c r="CN292" s="266"/>
      <c r="CO292" s="266"/>
      <c r="CP292" s="266"/>
      <c r="CQ292" s="266"/>
      <c r="CR292" s="266"/>
      <c r="CS292" s="266"/>
      <c r="CT292" s="266"/>
      <c r="CU292" s="266"/>
      <c r="CV292" s="266"/>
      <c r="CW292" s="266"/>
      <c r="CX292" s="266"/>
      <c r="CY292" s="266"/>
      <c r="CZ292" s="266"/>
      <c r="DA292" s="266"/>
      <c r="DB292" s="266"/>
      <c r="DC292" s="266"/>
      <c r="DD292" s="266"/>
      <c r="DE292" s="266"/>
      <c r="DF292" s="266"/>
      <c r="DG292" s="266"/>
      <c r="DH292" s="266"/>
      <c r="DI292" s="266"/>
      <c r="DJ292" s="266"/>
      <c r="DK292" s="266"/>
      <c r="DL292" s="266"/>
      <c r="DM292" s="266"/>
      <c r="DN292" s="266"/>
      <c r="DO292" s="266"/>
      <c r="DP292" s="266"/>
      <c r="DQ292" s="266"/>
      <c r="DR292" s="266"/>
      <c r="DS292" s="266"/>
      <c r="DT292" s="266"/>
      <c r="DU292" s="266"/>
      <c r="DV292" s="266"/>
      <c r="DW292" s="266"/>
      <c r="DX292" s="266"/>
      <c r="DY292" s="266"/>
      <c r="DZ292" s="266"/>
      <c r="EA292" s="266"/>
      <c r="EB292" s="266"/>
      <c r="EC292" s="266"/>
      <c r="ED292" s="266"/>
      <c r="EE292" s="266"/>
      <c r="EF292" s="266"/>
      <c r="EG292" s="266"/>
      <c r="EH292" s="266"/>
      <c r="EI292" s="266"/>
      <c r="EJ292" s="266"/>
      <c r="EK292" s="266"/>
      <c r="EL292" s="266"/>
      <c r="EM292" s="266"/>
      <c r="EN292" s="266"/>
      <c r="EO292" s="266"/>
      <c r="EP292" s="266"/>
      <c r="EQ292" s="266"/>
      <c r="ER292" s="266"/>
      <c r="ES292" s="266"/>
      <c r="ET292" s="266"/>
      <c r="EU292" s="266"/>
      <c r="EV292" s="266"/>
      <c r="EW292" s="266"/>
      <c r="EX292" s="266"/>
      <c r="EY292" s="266"/>
      <c r="EZ292" s="266"/>
      <c r="FA292" s="266"/>
      <c r="FB292" s="266"/>
      <c r="FC292" s="266"/>
      <c r="FD292" s="266"/>
      <c r="FE292" s="266"/>
      <c r="FF292" s="266"/>
      <c r="FG292" s="266"/>
      <c r="FH292" s="266"/>
      <c r="FI292" s="266"/>
      <c r="FJ292" s="266"/>
      <c r="FK292" s="266"/>
      <c r="FL292" s="266"/>
      <c r="FM292" s="266"/>
      <c r="FN292" s="266"/>
      <c r="FO292" s="266"/>
      <c r="FP292" s="266"/>
      <c r="FQ292" s="266"/>
      <c r="FR292" s="266"/>
      <c r="FS292" s="266"/>
      <c r="FT292" s="266"/>
      <c r="FU292" s="266"/>
      <c r="FV292" s="266"/>
      <c r="FW292" s="266"/>
      <c r="FX292" s="266"/>
      <c r="FY292" s="266"/>
    </row>
    <row r="293" spans="1:181" s="10" customFormat="1" ht="15.75">
      <c r="A293" s="77">
        <f>+A291+1</f>
        <v>196</v>
      </c>
      <c r="B293" s="15"/>
      <c r="C293" s="15" t="s">
        <v>1114</v>
      </c>
      <c r="D293" s="15"/>
      <c r="E293" s="36"/>
      <c r="F293" s="143"/>
      <c r="G293" s="1190"/>
      <c r="H293" s="1095"/>
      <c r="I293" s="922"/>
      <c r="J293" s="267"/>
      <c r="K293" s="267"/>
      <c r="L293" s="267"/>
      <c r="M293" s="266"/>
      <c r="N293" s="266"/>
      <c r="O293" s="266"/>
      <c r="P293" s="266"/>
      <c r="Q293" s="266"/>
      <c r="R293" s="266"/>
      <c r="S293" s="266"/>
      <c r="T293" s="266"/>
      <c r="U293" s="266"/>
      <c r="V293" s="266"/>
      <c r="W293" s="266"/>
      <c r="X293" s="266"/>
      <c r="Y293" s="266"/>
      <c r="Z293" s="266"/>
      <c r="AA293" s="266"/>
      <c r="AB293" s="266"/>
      <c r="AC293" s="266"/>
      <c r="AD293" s="266"/>
      <c r="AE293" s="266"/>
      <c r="AF293" s="266"/>
      <c r="AG293" s="266"/>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c r="CF293" s="266"/>
      <c r="CG293" s="266"/>
      <c r="CH293" s="266"/>
      <c r="CI293" s="266"/>
      <c r="CJ293" s="266"/>
      <c r="CK293" s="266"/>
      <c r="CL293" s="266"/>
      <c r="CM293" s="266"/>
      <c r="CN293" s="266"/>
      <c r="CO293" s="266"/>
      <c r="CP293" s="266"/>
      <c r="CQ293" s="266"/>
      <c r="CR293" s="266"/>
      <c r="CS293" s="266"/>
      <c r="CT293" s="266"/>
      <c r="CU293" s="266"/>
      <c r="CV293" s="266"/>
      <c r="CW293" s="266"/>
      <c r="CX293" s="266"/>
      <c r="CY293" s="266"/>
      <c r="CZ293" s="266"/>
      <c r="DA293" s="266"/>
      <c r="DB293" s="266"/>
      <c r="DC293" s="266"/>
      <c r="DD293" s="266"/>
      <c r="DE293" s="266"/>
      <c r="DF293" s="266"/>
      <c r="DG293" s="266"/>
      <c r="DH293" s="266"/>
      <c r="DI293" s="266"/>
      <c r="DJ293" s="266"/>
      <c r="DK293" s="266"/>
      <c r="DL293" s="266"/>
      <c r="DM293" s="266"/>
      <c r="DN293" s="266"/>
      <c r="DO293" s="266"/>
      <c r="DP293" s="266"/>
      <c r="DQ293" s="266"/>
      <c r="DR293" s="266"/>
      <c r="DS293" s="266"/>
      <c r="DT293" s="266"/>
      <c r="DU293" s="266"/>
      <c r="DV293" s="266"/>
      <c r="DW293" s="266"/>
      <c r="DX293" s="266"/>
      <c r="DY293" s="266"/>
      <c r="DZ293" s="266"/>
      <c r="EA293" s="266"/>
      <c r="EB293" s="266"/>
      <c r="EC293" s="266"/>
      <c r="ED293" s="266"/>
      <c r="EE293" s="266"/>
      <c r="EF293" s="266"/>
      <c r="EG293" s="266"/>
      <c r="EH293" s="266"/>
      <c r="EI293" s="266"/>
      <c r="EJ293" s="266"/>
      <c r="EK293" s="266"/>
      <c r="EL293" s="266"/>
      <c r="EM293" s="266"/>
      <c r="EN293" s="266"/>
      <c r="EO293" s="266"/>
      <c r="EP293" s="266"/>
      <c r="EQ293" s="266"/>
      <c r="ER293" s="266"/>
      <c r="ES293" s="266"/>
      <c r="ET293" s="266"/>
      <c r="EU293" s="266"/>
      <c r="EV293" s="266"/>
      <c r="EW293" s="266"/>
      <c r="EX293" s="266"/>
      <c r="EY293" s="266"/>
      <c r="EZ293" s="266"/>
      <c r="FA293" s="266"/>
      <c r="FB293" s="266"/>
      <c r="FC293" s="266"/>
      <c r="FD293" s="266"/>
      <c r="FE293" s="266"/>
      <c r="FF293" s="266"/>
      <c r="FG293" s="266"/>
      <c r="FH293" s="266"/>
      <c r="FI293" s="266"/>
      <c r="FJ293" s="266"/>
      <c r="FK293" s="266"/>
      <c r="FL293" s="266"/>
      <c r="FM293" s="266"/>
      <c r="FN293" s="266"/>
      <c r="FO293" s="266"/>
      <c r="FP293" s="266"/>
      <c r="FQ293" s="266"/>
      <c r="FR293" s="266"/>
      <c r="FS293" s="266"/>
      <c r="FT293" s="266"/>
      <c r="FU293" s="266"/>
      <c r="FV293" s="266"/>
      <c r="FW293" s="266"/>
      <c r="FX293" s="266"/>
      <c r="FY293" s="266"/>
    </row>
    <row r="294" spans="1:181" s="10" customFormat="1">
      <c r="A294" s="1393">
        <f>+A293+1</f>
        <v>197</v>
      </c>
      <c r="B294" s="33"/>
      <c r="C294" s="928" t="s">
        <v>967</v>
      </c>
      <c r="D294" s="15"/>
      <c r="E294" s="36" t="str">
        <f>"(Note "&amp;A$336&amp;")"</f>
        <v>(Note GG)</v>
      </c>
      <c r="F294" s="143"/>
      <c r="G294" s="101"/>
      <c r="H294" s="1104">
        <v>0</v>
      </c>
      <c r="I294" s="922"/>
      <c r="J294" s="267"/>
      <c r="K294" s="267"/>
      <c r="L294" s="267"/>
      <c r="M294" s="266"/>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c r="CF294" s="266"/>
      <c r="CG294" s="266"/>
      <c r="CH294" s="266"/>
      <c r="CI294" s="266"/>
      <c r="CJ294" s="266"/>
      <c r="CK294" s="266"/>
      <c r="CL294" s="266"/>
      <c r="CM294" s="266"/>
      <c r="CN294" s="266"/>
      <c r="CO294" s="266"/>
      <c r="CP294" s="266"/>
      <c r="CQ294" s="266"/>
      <c r="CR294" s="266"/>
      <c r="CS294" s="266"/>
      <c r="CT294" s="266"/>
      <c r="CU294" s="266"/>
      <c r="CV294" s="266"/>
      <c r="CW294" s="266"/>
      <c r="CX294" s="266"/>
      <c r="CY294" s="266"/>
      <c r="CZ294" s="266"/>
      <c r="DA294" s="266"/>
      <c r="DB294" s="266"/>
      <c r="DC294" s="266"/>
      <c r="DD294" s="266"/>
      <c r="DE294" s="266"/>
      <c r="DF294" s="266"/>
      <c r="DG294" s="266"/>
      <c r="DH294" s="266"/>
      <c r="DI294" s="266"/>
      <c r="DJ294" s="266"/>
      <c r="DK294" s="266"/>
      <c r="DL294" s="266"/>
      <c r="DM294" s="266"/>
      <c r="DN294" s="266"/>
      <c r="DO294" s="266"/>
      <c r="DP294" s="266"/>
      <c r="DQ294" s="266"/>
      <c r="DR294" s="266"/>
      <c r="DS294" s="266"/>
      <c r="DT294" s="266"/>
      <c r="DU294" s="266"/>
      <c r="DV294" s="266"/>
      <c r="DW294" s="266"/>
      <c r="DX294" s="266"/>
      <c r="DY294" s="266"/>
      <c r="DZ294" s="266"/>
      <c r="EA294" s="266"/>
      <c r="EB294" s="266"/>
      <c r="EC294" s="266"/>
      <c r="ED294" s="266"/>
      <c r="EE294" s="266"/>
      <c r="EF294" s="266"/>
      <c r="EG294" s="266"/>
      <c r="EH294" s="266"/>
      <c r="EI294" s="266"/>
      <c r="EJ294" s="266"/>
      <c r="EK294" s="266"/>
      <c r="EL294" s="266"/>
      <c r="EM294" s="266"/>
      <c r="EN294" s="266"/>
      <c r="EO294" s="266"/>
      <c r="EP294" s="266"/>
      <c r="EQ294" s="266"/>
      <c r="ER294" s="266"/>
      <c r="ES294" s="266"/>
      <c r="ET294" s="266"/>
      <c r="EU294" s="266"/>
      <c r="EV294" s="266"/>
      <c r="EW294" s="266"/>
      <c r="EX294" s="266"/>
      <c r="EY294" s="266"/>
      <c r="EZ294" s="266"/>
      <c r="FA294" s="266"/>
      <c r="FB294" s="266"/>
      <c r="FC294" s="266"/>
      <c r="FD294" s="266"/>
      <c r="FE294" s="266"/>
      <c r="FF294" s="266"/>
      <c r="FG294" s="266"/>
      <c r="FH294" s="266"/>
      <c r="FI294" s="266"/>
      <c r="FJ294" s="266"/>
      <c r="FK294" s="266"/>
      <c r="FL294" s="266"/>
      <c r="FM294" s="266"/>
      <c r="FN294" s="266"/>
      <c r="FO294" s="266"/>
      <c r="FP294" s="266"/>
      <c r="FQ294" s="266"/>
      <c r="FR294" s="266"/>
      <c r="FS294" s="266"/>
      <c r="FT294" s="266"/>
      <c r="FU294" s="266"/>
      <c r="FV294" s="266"/>
      <c r="FW294" s="266"/>
      <c r="FX294" s="266"/>
      <c r="FY294" s="266"/>
    </row>
    <row r="295" spans="1:181" s="10" customFormat="1">
      <c r="A295" s="1393">
        <f t="shared" ref="A295:A296" si="12">+A294+1</f>
        <v>198</v>
      </c>
      <c r="B295" s="33"/>
      <c r="C295" s="1191" t="s">
        <v>1120</v>
      </c>
      <c r="D295" s="465"/>
      <c r="E295" s="76" t="str">
        <f>"(Note "&amp;A$336&amp;")"</f>
        <v>(Note GG)</v>
      </c>
      <c r="F295" s="145"/>
      <c r="G295" s="670"/>
      <c r="H295" s="1112">
        <v>0</v>
      </c>
      <c r="I295" s="922"/>
      <c r="J295" s="267"/>
      <c r="K295" s="267"/>
      <c r="L295" s="267"/>
      <c r="M295" s="266"/>
      <c r="N295" s="266"/>
      <c r="O295" s="266"/>
      <c r="P295" s="266"/>
      <c r="Q295" s="266"/>
      <c r="R295" s="266"/>
      <c r="S295" s="266"/>
      <c r="T295" s="266"/>
      <c r="U295" s="266"/>
      <c r="V295" s="266"/>
      <c r="W295" s="266"/>
      <c r="X295" s="266"/>
      <c r="Y295" s="266"/>
      <c r="Z295" s="266"/>
      <c r="AA295" s="266"/>
      <c r="AB295" s="266"/>
      <c r="AC295" s="266"/>
      <c r="AD295" s="266"/>
      <c r="AE295" s="266"/>
      <c r="AF295" s="266"/>
      <c r="AG295" s="266"/>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c r="CF295" s="266"/>
      <c r="CG295" s="266"/>
      <c r="CH295" s="266"/>
      <c r="CI295" s="266"/>
      <c r="CJ295" s="266"/>
      <c r="CK295" s="266"/>
      <c r="CL295" s="266"/>
      <c r="CM295" s="266"/>
      <c r="CN295" s="266"/>
      <c r="CO295" s="266"/>
      <c r="CP295" s="266"/>
      <c r="CQ295" s="266"/>
      <c r="CR295" s="266"/>
      <c r="CS295" s="266"/>
      <c r="CT295" s="266"/>
      <c r="CU295" s="266"/>
      <c r="CV295" s="266"/>
      <c r="CW295" s="266"/>
      <c r="CX295" s="266"/>
      <c r="CY295" s="266"/>
      <c r="CZ295" s="266"/>
      <c r="DA295" s="266"/>
      <c r="DB295" s="266"/>
      <c r="DC295" s="266"/>
      <c r="DD295" s="266"/>
      <c r="DE295" s="266"/>
      <c r="DF295" s="266"/>
      <c r="DG295" s="266"/>
      <c r="DH295" s="266"/>
      <c r="DI295" s="266"/>
      <c r="DJ295" s="266"/>
      <c r="DK295" s="266"/>
      <c r="DL295" s="266"/>
      <c r="DM295" s="266"/>
      <c r="DN295" s="266"/>
      <c r="DO295" s="266"/>
      <c r="DP295" s="266"/>
      <c r="DQ295" s="266"/>
      <c r="DR295" s="266"/>
      <c r="DS295" s="266"/>
      <c r="DT295" s="266"/>
      <c r="DU295" s="266"/>
      <c r="DV295" s="266"/>
      <c r="DW295" s="266"/>
      <c r="DX295" s="266"/>
      <c r="DY295" s="266"/>
      <c r="DZ295" s="266"/>
      <c r="EA295" s="266"/>
      <c r="EB295" s="266"/>
      <c r="EC295" s="266"/>
      <c r="ED295" s="266"/>
      <c r="EE295" s="266"/>
      <c r="EF295" s="266"/>
      <c r="EG295" s="266"/>
      <c r="EH295" s="266"/>
      <c r="EI295" s="266"/>
      <c r="EJ295" s="266"/>
      <c r="EK295" s="266"/>
      <c r="EL295" s="266"/>
      <c r="EM295" s="266"/>
      <c r="EN295" s="266"/>
      <c r="EO295" s="266"/>
      <c r="EP295" s="266"/>
      <c r="EQ295" s="266"/>
      <c r="ER295" s="266"/>
      <c r="ES295" s="266"/>
      <c r="ET295" s="266"/>
      <c r="EU295" s="266"/>
      <c r="EV295" s="266"/>
      <c r="EW295" s="266"/>
      <c r="EX295" s="266"/>
      <c r="EY295" s="266"/>
      <c r="EZ295" s="266"/>
      <c r="FA295" s="266"/>
      <c r="FB295" s="266"/>
      <c r="FC295" s="266"/>
      <c r="FD295" s="266"/>
      <c r="FE295" s="266"/>
      <c r="FF295" s="266"/>
      <c r="FG295" s="266"/>
      <c r="FH295" s="266"/>
      <c r="FI295" s="266"/>
      <c r="FJ295" s="266"/>
      <c r="FK295" s="266"/>
      <c r="FL295" s="266"/>
      <c r="FM295" s="266"/>
      <c r="FN295" s="266"/>
      <c r="FO295" s="266"/>
      <c r="FP295" s="266"/>
      <c r="FQ295" s="266"/>
      <c r="FR295" s="266"/>
      <c r="FS295" s="266"/>
      <c r="FT295" s="266"/>
      <c r="FU295" s="266"/>
      <c r="FV295" s="266"/>
      <c r="FW295" s="266"/>
      <c r="FX295" s="266"/>
      <c r="FY295" s="266"/>
    </row>
    <row r="296" spans="1:181" s="10" customFormat="1" ht="15.75">
      <c r="A296" s="1393">
        <f t="shared" si="12"/>
        <v>199</v>
      </c>
      <c r="B296" s="33"/>
      <c r="C296" s="15" t="s">
        <v>1072</v>
      </c>
      <c r="D296" s="15"/>
      <c r="E296" s="36"/>
      <c r="F296" s="143" t="str">
        <f>"(Line "&amp;A291&amp;" + Line "&amp;A294&amp;" + Line "&amp;A295&amp;")"</f>
        <v>(Line 195 + Line 197 + Line 198)</v>
      </c>
      <c r="G296" s="1190"/>
      <c r="H296" s="1095">
        <f>+H291+H294+H295</f>
        <v>13619629.827186838</v>
      </c>
      <c r="I296" s="922"/>
      <c r="J296" s="267"/>
      <c r="K296" s="267"/>
      <c r="L296" s="267"/>
      <c r="M296" s="266"/>
      <c r="N296" s="266"/>
      <c r="O296" s="266"/>
      <c r="P296" s="266"/>
      <c r="Q296" s="266"/>
      <c r="R296" s="266"/>
      <c r="S296" s="266"/>
      <c r="T296" s="266"/>
      <c r="U296" s="266"/>
      <c r="V296" s="266"/>
      <c r="W296" s="266"/>
      <c r="X296" s="266"/>
      <c r="Y296" s="266"/>
      <c r="Z296" s="266"/>
      <c r="AA296" s="266"/>
      <c r="AB296" s="266"/>
      <c r="AC296" s="266"/>
      <c r="AD296" s="266"/>
      <c r="AE296" s="266"/>
      <c r="AF296" s="266"/>
      <c r="AG296" s="266"/>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c r="CF296" s="266"/>
      <c r="CG296" s="266"/>
      <c r="CH296" s="266"/>
      <c r="CI296" s="266"/>
      <c r="CJ296" s="266"/>
      <c r="CK296" s="266"/>
      <c r="CL296" s="266"/>
      <c r="CM296" s="266"/>
      <c r="CN296" s="266"/>
      <c r="CO296" s="266"/>
      <c r="CP296" s="266"/>
      <c r="CQ296" s="266"/>
      <c r="CR296" s="266"/>
      <c r="CS296" s="266"/>
      <c r="CT296" s="266"/>
      <c r="CU296" s="266"/>
      <c r="CV296" s="266"/>
      <c r="CW296" s="266"/>
      <c r="CX296" s="266"/>
      <c r="CY296" s="266"/>
      <c r="CZ296" s="266"/>
      <c r="DA296" s="266"/>
      <c r="DB296" s="266"/>
      <c r="DC296" s="266"/>
      <c r="DD296" s="266"/>
      <c r="DE296" s="266"/>
      <c r="DF296" s="266"/>
      <c r="DG296" s="266"/>
      <c r="DH296" s="266"/>
      <c r="DI296" s="266"/>
      <c r="DJ296" s="266"/>
      <c r="DK296" s="266"/>
      <c r="DL296" s="266"/>
      <c r="DM296" s="266"/>
      <c r="DN296" s="266"/>
      <c r="DO296" s="266"/>
      <c r="DP296" s="266"/>
      <c r="DQ296" s="266"/>
      <c r="DR296" s="266"/>
      <c r="DS296" s="266"/>
      <c r="DT296" s="266"/>
      <c r="DU296" s="266"/>
      <c r="DV296" s="266"/>
      <c r="DW296" s="266"/>
      <c r="DX296" s="266"/>
      <c r="DY296" s="266"/>
      <c r="DZ296" s="266"/>
      <c r="EA296" s="266"/>
      <c r="EB296" s="266"/>
      <c r="EC296" s="266"/>
      <c r="ED296" s="266"/>
      <c r="EE296" s="266"/>
      <c r="EF296" s="266"/>
      <c r="EG296" s="266"/>
      <c r="EH296" s="266"/>
      <c r="EI296" s="266"/>
      <c r="EJ296" s="266"/>
      <c r="EK296" s="266"/>
      <c r="EL296" s="266"/>
      <c r="EM296" s="266"/>
      <c r="EN296" s="266"/>
      <c r="EO296" s="266"/>
      <c r="EP296" s="266"/>
      <c r="EQ296" s="266"/>
      <c r="ER296" s="266"/>
      <c r="ES296" s="266"/>
      <c r="ET296" s="266"/>
      <c r="EU296" s="266"/>
      <c r="EV296" s="266"/>
      <c r="EW296" s="266"/>
      <c r="EX296" s="266"/>
      <c r="EY296" s="266"/>
      <c r="EZ296" s="266"/>
      <c r="FA296" s="266"/>
      <c r="FB296" s="266"/>
      <c r="FC296" s="266"/>
      <c r="FD296" s="266"/>
      <c r="FE296" s="266"/>
      <c r="FF296" s="266"/>
      <c r="FG296" s="266"/>
      <c r="FH296" s="266"/>
      <c r="FI296" s="266"/>
      <c r="FJ296" s="266"/>
      <c r="FK296" s="266"/>
      <c r="FL296" s="266"/>
      <c r="FM296" s="266"/>
      <c r="FN296" s="266"/>
      <c r="FO296" s="266"/>
      <c r="FP296" s="266"/>
      <c r="FQ296" s="266"/>
      <c r="FR296" s="266"/>
      <c r="FS296" s="266"/>
      <c r="FT296" s="266"/>
      <c r="FU296" s="266"/>
      <c r="FV296" s="266"/>
      <c r="FW296" s="266"/>
      <c r="FX296" s="266"/>
      <c r="FY296" s="266"/>
    </row>
    <row r="297" spans="1:181" s="10" customFormat="1" ht="15.75">
      <c r="A297" s="77"/>
      <c r="B297" s="7"/>
      <c r="C297" s="15"/>
      <c r="D297" s="15"/>
      <c r="E297" s="28"/>
      <c r="F297" s="134"/>
      <c r="G297" s="683"/>
      <c r="H297" s="1095"/>
      <c r="I297" s="922"/>
      <c r="J297" s="267"/>
      <c r="K297" s="267"/>
      <c r="L297" s="267"/>
      <c r="M297" s="266"/>
      <c r="N297" s="266"/>
      <c r="O297" s="266"/>
      <c r="P297" s="266"/>
      <c r="Q297" s="266"/>
      <c r="R297" s="266"/>
      <c r="S297" s="266"/>
      <c r="T297" s="266"/>
      <c r="U297" s="266"/>
      <c r="V297" s="266"/>
      <c r="W297" s="266"/>
      <c r="X297" s="266"/>
      <c r="Y297" s="266"/>
      <c r="Z297" s="266"/>
      <c r="AA297" s="266"/>
      <c r="AB297" s="266"/>
      <c r="AC297" s="266"/>
      <c r="AD297" s="266"/>
      <c r="AE297" s="266"/>
      <c r="AF297" s="266"/>
      <c r="AG297" s="266"/>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c r="CF297" s="266"/>
      <c r="CG297" s="266"/>
      <c r="CH297" s="266"/>
      <c r="CI297" s="266"/>
      <c r="CJ297" s="266"/>
      <c r="CK297" s="266"/>
      <c r="CL297" s="266"/>
      <c r="CM297" s="266"/>
      <c r="CN297" s="266"/>
      <c r="CO297" s="266"/>
      <c r="CP297" s="266"/>
      <c r="CQ297" s="266"/>
      <c r="CR297" s="266"/>
      <c r="CS297" s="266"/>
      <c r="CT297" s="266"/>
      <c r="CU297" s="266"/>
      <c r="CV297" s="266"/>
      <c r="CW297" s="266"/>
      <c r="CX297" s="266"/>
      <c r="CY297" s="266"/>
      <c r="CZ297" s="266"/>
      <c r="DA297" s="266"/>
      <c r="DB297" s="266"/>
      <c r="DC297" s="266"/>
      <c r="DD297" s="266"/>
      <c r="DE297" s="266"/>
      <c r="DF297" s="266"/>
      <c r="DG297" s="266"/>
      <c r="DH297" s="266"/>
      <c r="DI297" s="266"/>
      <c r="DJ297" s="266"/>
      <c r="DK297" s="266"/>
      <c r="DL297" s="266"/>
      <c r="DM297" s="266"/>
      <c r="DN297" s="266"/>
      <c r="DO297" s="266"/>
      <c r="DP297" s="266"/>
      <c r="DQ297" s="266"/>
      <c r="DR297" s="266"/>
      <c r="DS297" s="266"/>
      <c r="DT297" s="266"/>
      <c r="DU297" s="266"/>
      <c r="DV297" s="266"/>
      <c r="DW297" s="266"/>
      <c r="DX297" s="266"/>
      <c r="DY297" s="266"/>
      <c r="DZ297" s="266"/>
      <c r="EA297" s="266"/>
      <c r="EB297" s="266"/>
      <c r="EC297" s="266"/>
      <c r="ED297" s="266"/>
      <c r="EE297" s="266"/>
      <c r="EF297" s="266"/>
      <c r="EG297" s="266"/>
      <c r="EH297" s="266"/>
      <c r="EI297" s="266"/>
      <c r="EJ297" s="266"/>
      <c r="EK297" s="266"/>
      <c r="EL297" s="266"/>
      <c r="EM297" s="266"/>
      <c r="EN297" s="266"/>
      <c r="EO297" s="266"/>
      <c r="EP297" s="266"/>
      <c r="EQ297" s="266"/>
      <c r="ER297" s="266"/>
      <c r="ES297" s="266"/>
      <c r="ET297" s="266"/>
      <c r="EU297" s="266"/>
      <c r="EV297" s="266"/>
      <c r="EW297" s="266"/>
      <c r="EX297" s="266"/>
      <c r="EY297" s="266"/>
      <c r="EZ297" s="266"/>
      <c r="FA297" s="266"/>
      <c r="FB297" s="266"/>
      <c r="FC297" s="266"/>
      <c r="FD297" s="266"/>
      <c r="FE297" s="266"/>
      <c r="FF297" s="266"/>
      <c r="FG297" s="266"/>
      <c r="FH297" s="266"/>
      <c r="FI297" s="266"/>
      <c r="FJ297" s="266"/>
      <c r="FK297" s="266"/>
      <c r="FL297" s="266"/>
      <c r="FM297" s="266"/>
      <c r="FN297" s="266"/>
      <c r="FO297" s="266"/>
      <c r="FP297" s="266"/>
      <c r="FQ297" s="266"/>
      <c r="FR297" s="266"/>
      <c r="FS297" s="266"/>
      <c r="FT297" s="266"/>
      <c r="FU297" s="266"/>
      <c r="FV297" s="266"/>
      <c r="FW297" s="266"/>
      <c r="FX297" s="266"/>
      <c r="FY297" s="266"/>
    </row>
    <row r="298" spans="1:181" ht="15.75">
      <c r="A298" s="77"/>
      <c r="B298" s="41" t="s">
        <v>123</v>
      </c>
      <c r="C298" s="15"/>
      <c r="D298" s="15"/>
      <c r="E298" s="28"/>
      <c r="F298" s="134"/>
      <c r="G298" s="683"/>
      <c r="H298" s="1095"/>
      <c r="I298" s="267"/>
      <c r="J298" s="267"/>
      <c r="K298" s="267"/>
      <c r="L298" s="267"/>
    </row>
    <row r="299" spans="1:181" ht="15.75">
      <c r="A299" s="77">
        <f>+A296+1</f>
        <v>200</v>
      </c>
      <c r="B299" s="33"/>
      <c r="C299" s="58" t="s">
        <v>536</v>
      </c>
      <c r="D299" s="78" t="s">
        <v>165</v>
      </c>
      <c r="E299" s="36" t="str">
        <f>"(Note "&amp;A$315&amp;")"</f>
        <v>(Note L)</v>
      </c>
      <c r="F299" s="132" t="s">
        <v>718</v>
      </c>
      <c r="G299" s="683"/>
      <c r="H299" s="1111">
        <v>0</v>
      </c>
      <c r="I299" s="267"/>
      <c r="J299" s="267"/>
      <c r="K299" s="267"/>
      <c r="L299" s="267"/>
    </row>
    <row r="300" spans="1:181" ht="15.75">
      <c r="A300" s="113">
        <f>+A299+1</f>
        <v>201</v>
      </c>
      <c r="B300" s="9"/>
      <c r="C300" s="8" t="s">
        <v>123</v>
      </c>
      <c r="D300" s="592"/>
      <c r="E300" s="193"/>
      <c r="F300" s="131" t="str">
        <f>"(Line "&amp;A296&amp;" / Line "&amp;A299&amp;")"</f>
        <v>(Line 199 / Line 200)</v>
      </c>
      <c r="G300" s="482"/>
      <c r="H300" s="1392">
        <f>IF(H299=0,0,H296/H299)</f>
        <v>0</v>
      </c>
      <c r="I300" s="267"/>
      <c r="J300" s="267"/>
      <c r="K300" s="267"/>
      <c r="L300" s="267"/>
    </row>
    <row r="301" spans="1:181" ht="16.5" thickBot="1">
      <c r="A301" s="151">
        <f>+A300+1</f>
        <v>202</v>
      </c>
      <c r="B301" s="152"/>
      <c r="C301" s="153" t="s">
        <v>268</v>
      </c>
      <c r="D301" s="154"/>
      <c r="E301" s="194"/>
      <c r="F301" s="481" t="str">
        <f>"(Line "&amp;A300&amp;" / 12)"</f>
        <v>(Line 201 / 12)</v>
      </c>
      <c r="G301" s="483"/>
      <c r="H301" s="1147">
        <f>H300/12</f>
        <v>0</v>
      </c>
      <c r="I301" s="267"/>
      <c r="J301" s="267"/>
      <c r="K301" s="267"/>
      <c r="L301" s="267"/>
    </row>
    <row r="302" spans="1:181" ht="15.75">
      <c r="A302" s="36"/>
      <c r="B302" s="33"/>
      <c r="C302" s="8"/>
      <c r="D302" s="6"/>
      <c r="E302" s="32"/>
      <c r="F302" s="49"/>
      <c r="G302" s="473"/>
      <c r="H302" s="473"/>
      <c r="I302" s="267"/>
      <c r="J302" s="267"/>
      <c r="K302" s="267"/>
      <c r="L302" s="267"/>
    </row>
    <row r="303" spans="1:181" ht="15.75" customHeight="1">
      <c r="A303" s="1647" t="s">
        <v>225</v>
      </c>
      <c r="B303" s="1647"/>
      <c r="C303" s="6"/>
      <c r="D303" s="6"/>
      <c r="E303" s="32"/>
      <c r="F303" s="64"/>
      <c r="H303" s="47"/>
      <c r="I303" s="267"/>
      <c r="J303" s="267"/>
      <c r="K303" s="267"/>
      <c r="L303" s="267"/>
    </row>
    <row r="304" spans="1:181" ht="15.75" customHeight="1">
      <c r="A304" s="164" t="s">
        <v>167</v>
      </c>
      <c r="B304" s="266"/>
      <c r="C304" s="1638" t="s">
        <v>228</v>
      </c>
      <c r="D304" s="1638"/>
      <c r="E304" s="1638"/>
      <c r="F304" s="1638"/>
      <c r="G304" s="1638"/>
      <c r="H304" s="1638"/>
      <c r="I304" s="267"/>
      <c r="J304" s="267"/>
      <c r="K304" s="267"/>
      <c r="L304" s="267"/>
    </row>
    <row r="305" spans="1:12" ht="61.9" customHeight="1">
      <c r="A305" s="164" t="s">
        <v>215</v>
      </c>
      <c r="B305" s="266"/>
      <c r="C305" s="1637" t="s">
        <v>1421</v>
      </c>
      <c r="D305" s="1637"/>
      <c r="E305" s="1637"/>
      <c r="F305" s="1637"/>
      <c r="G305" s="1637"/>
      <c r="H305" s="1637"/>
      <c r="J305" s="267"/>
      <c r="K305" s="267"/>
      <c r="L305" s="267"/>
    </row>
    <row r="306" spans="1:12">
      <c r="A306" s="164" t="s">
        <v>155</v>
      </c>
      <c r="B306" s="981"/>
      <c r="C306" s="1637" t="s">
        <v>1028</v>
      </c>
      <c r="D306" s="1637"/>
      <c r="E306" s="1637"/>
      <c r="F306" s="1637"/>
      <c r="G306" s="1637"/>
      <c r="H306" s="1637"/>
      <c r="I306" s="267"/>
      <c r="J306" s="267"/>
      <c r="K306" s="267"/>
      <c r="L306" s="267"/>
    </row>
    <row r="307" spans="1:12" ht="33" customHeight="1">
      <c r="A307" s="164" t="s">
        <v>168</v>
      </c>
      <c r="B307" s="266"/>
      <c r="C307" s="1635" t="s">
        <v>1119</v>
      </c>
      <c r="D307" s="1635"/>
      <c r="E307" s="1635"/>
      <c r="F307" s="1635"/>
      <c r="G307" s="1635"/>
      <c r="H307" s="1635"/>
      <c r="J307" s="267"/>
      <c r="K307" s="267"/>
      <c r="L307" s="267"/>
    </row>
    <row r="308" spans="1:12">
      <c r="A308" s="164" t="s">
        <v>166</v>
      </c>
      <c r="B308" s="266"/>
      <c r="C308" s="1639" t="s">
        <v>269</v>
      </c>
      <c r="D308" s="1639"/>
      <c r="E308" s="1639"/>
      <c r="F308" s="1639"/>
      <c r="G308" s="1639"/>
      <c r="H308" s="1639"/>
      <c r="I308" s="267"/>
      <c r="J308" s="267"/>
      <c r="K308" s="267"/>
      <c r="L308" s="267"/>
    </row>
    <row r="309" spans="1:12" ht="33.6" customHeight="1">
      <c r="A309" s="164" t="s">
        <v>257</v>
      </c>
      <c r="B309" s="266"/>
      <c r="C309" s="1635" t="s">
        <v>1422</v>
      </c>
      <c r="D309" s="1635"/>
      <c r="E309" s="1635"/>
      <c r="F309" s="1635"/>
      <c r="G309" s="1635"/>
      <c r="H309" s="1635"/>
      <c r="I309" s="267"/>
      <c r="J309" s="267"/>
      <c r="K309" s="267"/>
      <c r="L309" s="267"/>
    </row>
    <row r="310" spans="1:12" ht="32.450000000000003" customHeight="1">
      <c r="A310" s="164" t="s">
        <v>169</v>
      </c>
      <c r="B310" s="266"/>
      <c r="C310" s="1640" t="s">
        <v>853</v>
      </c>
      <c r="D310" s="1640"/>
      <c r="E310" s="1640"/>
      <c r="F310" s="1640"/>
      <c r="G310" s="1640"/>
      <c r="H310" s="1640"/>
      <c r="J310" s="267"/>
      <c r="K310" s="267"/>
      <c r="L310" s="267"/>
    </row>
    <row r="311" spans="1:12" ht="15.75" customHeight="1">
      <c r="A311" s="164" t="s">
        <v>270</v>
      </c>
      <c r="B311" s="266"/>
      <c r="C311" s="243" t="s">
        <v>244</v>
      </c>
      <c r="D311" s="1150"/>
      <c r="E311" s="1641"/>
      <c r="F311" s="1641"/>
      <c r="G311" s="1641"/>
      <c r="H311" s="1641"/>
      <c r="I311" s="267"/>
      <c r="J311" s="267"/>
      <c r="K311" s="267"/>
      <c r="L311" s="267"/>
    </row>
    <row r="312" spans="1:12" ht="96.6" customHeight="1">
      <c r="A312" s="164" t="s">
        <v>159</v>
      </c>
      <c r="B312" s="266"/>
      <c r="C312" s="1640" t="s">
        <v>1181</v>
      </c>
      <c r="D312" s="1640"/>
      <c r="E312" s="1640"/>
      <c r="F312" s="1640"/>
      <c r="G312" s="1640"/>
      <c r="H312" s="1640"/>
      <c r="I312" s="267"/>
      <c r="J312" s="267"/>
      <c r="K312" s="267"/>
      <c r="L312" s="267"/>
    </row>
    <row r="313" spans="1:12" ht="48" customHeight="1">
      <c r="A313" s="164" t="s">
        <v>160</v>
      </c>
      <c r="B313" s="266"/>
      <c r="C313" s="1640" t="s">
        <v>1442</v>
      </c>
      <c r="D313" s="1640"/>
      <c r="E313" s="1640"/>
      <c r="F313" s="1640"/>
      <c r="G313" s="1640"/>
      <c r="H313" s="1640"/>
      <c r="J313" s="267"/>
      <c r="K313" s="267"/>
      <c r="L313" s="267"/>
    </row>
    <row r="314" spans="1:12">
      <c r="A314" s="164" t="s">
        <v>171</v>
      </c>
      <c r="B314" s="266"/>
      <c r="C314" s="1635" t="s">
        <v>1100</v>
      </c>
      <c r="D314" s="1635"/>
      <c r="E314" s="1635"/>
      <c r="F314" s="1635"/>
      <c r="G314" s="1635"/>
      <c r="H314" s="1635"/>
      <c r="I314" s="267"/>
      <c r="J314" s="267"/>
      <c r="K314" s="267"/>
      <c r="L314" s="267"/>
    </row>
    <row r="315" spans="1:12" ht="32.450000000000003" customHeight="1">
      <c r="A315" s="164" t="s">
        <v>199</v>
      </c>
      <c r="B315" s="266"/>
      <c r="C315" s="1635" t="s">
        <v>1118</v>
      </c>
      <c r="D315" s="1635"/>
      <c r="E315" s="1635"/>
      <c r="F315" s="1635"/>
      <c r="G315" s="1635"/>
      <c r="H315" s="1635"/>
      <c r="I315" s="267"/>
      <c r="J315" s="267"/>
      <c r="K315" s="267"/>
      <c r="L315" s="267"/>
    </row>
    <row r="316" spans="1:12" ht="125.1" customHeight="1">
      <c r="A316" s="244" t="s">
        <v>200</v>
      </c>
      <c r="B316" s="266"/>
      <c r="C316" s="1637" t="s">
        <v>1423</v>
      </c>
      <c r="D316" s="1637"/>
      <c r="E316" s="1637"/>
      <c r="F316" s="1637"/>
      <c r="G316" s="1637"/>
      <c r="H316" s="1637"/>
      <c r="I316" s="267"/>
      <c r="J316" s="267"/>
      <c r="K316" s="267"/>
      <c r="L316" s="267"/>
    </row>
    <row r="317" spans="1:12" ht="47.45" customHeight="1">
      <c r="A317" s="164" t="s">
        <v>258</v>
      </c>
      <c r="B317" s="266"/>
      <c r="C317" s="1644" t="s">
        <v>1182</v>
      </c>
      <c r="D317" s="1644"/>
      <c r="E317" s="1644"/>
      <c r="F317" s="1644"/>
      <c r="G317" s="1644"/>
      <c r="H317" s="1644"/>
      <c r="I317" s="267"/>
      <c r="J317" s="267"/>
      <c r="K317" s="267"/>
      <c r="L317" s="267"/>
    </row>
    <row r="318" spans="1:12" ht="45" customHeight="1">
      <c r="A318" s="164" t="s">
        <v>439</v>
      </c>
      <c r="B318" s="266"/>
      <c r="C318" s="1635" t="s">
        <v>1045</v>
      </c>
      <c r="D318" s="1635"/>
      <c r="E318" s="1635"/>
      <c r="F318" s="1635"/>
      <c r="G318" s="1635"/>
      <c r="H318" s="1635"/>
      <c r="J318" s="267"/>
      <c r="K318" s="267"/>
      <c r="L318" s="267"/>
    </row>
    <row r="319" spans="1:12" ht="63.6" customHeight="1">
      <c r="A319" s="164" t="s">
        <v>440</v>
      </c>
      <c r="B319" s="266"/>
      <c r="C319" s="1644" t="s">
        <v>1101</v>
      </c>
      <c r="D319" s="1644"/>
      <c r="E319" s="1644"/>
      <c r="F319" s="1644"/>
      <c r="G319" s="1644"/>
      <c r="H319" s="1644"/>
      <c r="J319" s="267"/>
      <c r="K319" s="267"/>
      <c r="L319" s="267"/>
    </row>
    <row r="320" spans="1:12" ht="32.450000000000003" customHeight="1">
      <c r="A320" s="164" t="s">
        <v>441</v>
      </c>
      <c r="B320" s="266"/>
      <c r="C320" s="1635" t="s">
        <v>1183</v>
      </c>
      <c r="D320" s="1635"/>
      <c r="E320" s="1635"/>
      <c r="F320" s="1635"/>
      <c r="G320" s="1635"/>
      <c r="H320" s="1635"/>
      <c r="J320" s="267"/>
      <c r="K320" s="267"/>
      <c r="L320" s="267"/>
    </row>
    <row r="321" spans="1:12" ht="15" customHeight="1">
      <c r="A321" s="244" t="s">
        <v>442</v>
      </c>
      <c r="B321" s="266"/>
      <c r="C321" s="1643" t="s">
        <v>1184</v>
      </c>
      <c r="D321" s="1643"/>
      <c r="E321" s="1643"/>
      <c r="F321" s="1643"/>
      <c r="G321" s="1643"/>
      <c r="H321" s="1643"/>
      <c r="I321" s="267"/>
      <c r="J321" s="267"/>
      <c r="K321" s="267"/>
      <c r="L321" s="267"/>
    </row>
    <row r="322" spans="1:12" ht="35.450000000000003" customHeight="1">
      <c r="A322" s="244" t="s">
        <v>443</v>
      </c>
      <c r="B322" s="266"/>
      <c r="C322" s="1635" t="s">
        <v>830</v>
      </c>
      <c r="D322" s="1635"/>
      <c r="E322" s="1635"/>
      <c r="F322" s="1635"/>
      <c r="G322" s="1635"/>
      <c r="H322" s="1635"/>
      <c r="J322" s="267"/>
      <c r="K322" s="267"/>
      <c r="L322" s="267"/>
    </row>
    <row r="323" spans="1:12" ht="31.15" customHeight="1">
      <c r="A323" s="244" t="s">
        <v>444</v>
      </c>
      <c r="B323" s="266"/>
      <c r="C323" s="1635" t="s">
        <v>1059</v>
      </c>
      <c r="D323" s="1635"/>
      <c r="E323" s="1635"/>
      <c r="F323" s="1635"/>
      <c r="G323" s="1635"/>
      <c r="H323" s="1635"/>
      <c r="I323" s="267"/>
      <c r="J323" s="267"/>
      <c r="K323" s="267"/>
      <c r="L323" s="267"/>
    </row>
    <row r="324" spans="1:12" ht="31.9" customHeight="1">
      <c r="A324" s="244" t="s">
        <v>445</v>
      </c>
      <c r="B324" s="266"/>
      <c r="C324" s="1635" t="s">
        <v>1060</v>
      </c>
      <c r="D324" s="1635"/>
      <c r="E324" s="1635"/>
      <c r="F324" s="1635"/>
      <c r="G324" s="1635"/>
      <c r="H324" s="1635"/>
      <c r="I324" s="267"/>
      <c r="J324" s="267"/>
      <c r="K324" s="267"/>
      <c r="L324" s="267"/>
    </row>
    <row r="325" spans="1:12" ht="31.9" customHeight="1">
      <c r="A325" s="244" t="s">
        <v>446</v>
      </c>
      <c r="B325" s="266"/>
      <c r="C325" s="1635" t="s">
        <v>1447</v>
      </c>
      <c r="D325" s="1635"/>
      <c r="E325" s="1635"/>
      <c r="F325" s="1635"/>
      <c r="G325" s="1635"/>
      <c r="H325" s="1635"/>
      <c r="I325" s="267"/>
      <c r="J325" s="267"/>
      <c r="K325" s="267"/>
      <c r="L325" s="267"/>
    </row>
    <row r="326" spans="1:12">
      <c r="A326" s="244" t="s">
        <v>535</v>
      </c>
      <c r="B326" s="266"/>
      <c r="C326" s="1635" t="s">
        <v>948</v>
      </c>
      <c r="D326" s="1635"/>
      <c r="E326" s="1635"/>
      <c r="F326" s="1635"/>
      <c r="G326" s="1635"/>
      <c r="H326" s="1635"/>
    </row>
    <row r="327" spans="1:12" ht="48" customHeight="1">
      <c r="A327" s="244" t="s">
        <v>531</v>
      </c>
      <c r="B327" s="267"/>
      <c r="C327" s="1635" t="s">
        <v>1424</v>
      </c>
      <c r="D327" s="1635"/>
      <c r="E327" s="1635"/>
      <c r="F327" s="1635"/>
      <c r="G327" s="1635"/>
      <c r="H327" s="1635"/>
    </row>
    <row r="328" spans="1:12">
      <c r="A328" s="244" t="s">
        <v>532</v>
      </c>
      <c r="B328" s="267"/>
      <c r="C328" s="1635" t="s">
        <v>1044</v>
      </c>
      <c r="D328" s="1635"/>
      <c r="E328" s="1635"/>
      <c r="F328" s="1635"/>
      <c r="G328" s="1635"/>
      <c r="H328" s="1635"/>
    </row>
    <row r="329" spans="1:12">
      <c r="A329" s="244" t="s">
        <v>533</v>
      </c>
      <c r="B329" s="267"/>
      <c r="C329" s="1635" t="s">
        <v>1102</v>
      </c>
      <c r="D329" s="1635"/>
      <c r="E329" s="1635"/>
      <c r="F329" s="1635"/>
      <c r="G329" s="1635"/>
      <c r="H329" s="1635"/>
    </row>
    <row r="330" spans="1:12">
      <c r="A330" s="244" t="s">
        <v>534</v>
      </c>
      <c r="B330" s="267"/>
      <c r="C330" s="1635" t="s">
        <v>1103</v>
      </c>
      <c r="D330" s="1635"/>
      <c r="E330" s="1635"/>
      <c r="F330" s="1635"/>
      <c r="G330" s="1635"/>
      <c r="H330" s="1635"/>
    </row>
    <row r="331" spans="1:12" ht="15" customHeight="1">
      <c r="A331" s="244" t="s">
        <v>605</v>
      </c>
      <c r="B331" s="267"/>
      <c r="C331" s="1635" t="s">
        <v>948</v>
      </c>
      <c r="D331" s="1635"/>
      <c r="E331" s="1635"/>
      <c r="F331" s="1635"/>
      <c r="G331" s="1635"/>
      <c r="H331" s="1635"/>
    </row>
    <row r="332" spans="1:12" ht="47.45" customHeight="1">
      <c r="A332" s="244" t="s">
        <v>606</v>
      </c>
      <c r="B332" s="267"/>
      <c r="C332" s="1635" t="s">
        <v>1061</v>
      </c>
      <c r="D332" s="1635"/>
      <c r="E332" s="1635"/>
      <c r="F332" s="1635"/>
      <c r="G332" s="1635"/>
      <c r="H332" s="1635"/>
    </row>
    <row r="333" spans="1:12" ht="16.149999999999999" customHeight="1">
      <c r="A333" s="244" t="s">
        <v>608</v>
      </c>
      <c r="B333" s="267"/>
      <c r="C333" s="1635" t="s">
        <v>609</v>
      </c>
      <c r="D333" s="1635"/>
      <c r="E333" s="1635"/>
      <c r="F333" s="1635"/>
      <c r="G333" s="1635"/>
      <c r="H333" s="1635"/>
    </row>
    <row r="334" spans="1:12">
      <c r="A334" s="244" t="s">
        <v>831</v>
      </c>
      <c r="B334" s="266"/>
      <c r="C334" s="1635" t="s">
        <v>1104</v>
      </c>
      <c r="D334" s="1635"/>
      <c r="E334" s="1635"/>
      <c r="F334" s="1635"/>
      <c r="G334" s="1635"/>
      <c r="H334" s="1635"/>
    </row>
    <row r="335" spans="1:12" ht="46.9" customHeight="1">
      <c r="A335" s="244" t="s">
        <v>836</v>
      </c>
      <c r="B335" s="267"/>
      <c r="C335" s="1635" t="s">
        <v>1448</v>
      </c>
      <c r="D335" s="1635"/>
      <c r="E335" s="1635"/>
      <c r="F335" s="1635"/>
      <c r="G335" s="1635"/>
      <c r="H335" s="1635"/>
    </row>
    <row r="336" spans="1:12">
      <c r="A336" s="244" t="s">
        <v>837</v>
      </c>
      <c r="B336" s="267"/>
      <c r="C336" s="1635" t="s">
        <v>1185</v>
      </c>
      <c r="D336" s="1635"/>
      <c r="E336" s="1635"/>
      <c r="F336" s="1635"/>
      <c r="G336" s="1635"/>
      <c r="H336" s="1635"/>
    </row>
    <row r="337" spans="1:8" ht="30.6" customHeight="1">
      <c r="A337" s="244" t="s">
        <v>838</v>
      </c>
      <c r="B337" s="266"/>
      <c r="C337" s="1637" t="s">
        <v>1029</v>
      </c>
      <c r="D337" s="1637"/>
      <c r="E337" s="1637"/>
      <c r="F337" s="1637"/>
      <c r="G337" s="1637"/>
      <c r="H337" s="1637"/>
    </row>
    <row r="338" spans="1:8" ht="30.6" customHeight="1">
      <c r="A338" s="244" t="s">
        <v>839</v>
      </c>
      <c r="B338" s="266"/>
      <c r="C338" s="1637" t="s">
        <v>1446</v>
      </c>
      <c r="D338" s="1637"/>
      <c r="E338" s="1637"/>
      <c r="F338" s="1637"/>
      <c r="G338" s="1637"/>
      <c r="H338" s="1637"/>
    </row>
    <row r="339" spans="1:8">
      <c r="A339" s="244" t="s">
        <v>840</v>
      </c>
      <c r="B339" s="267"/>
      <c r="C339" s="1635" t="s">
        <v>1025</v>
      </c>
      <c r="D339" s="1635"/>
      <c r="E339" s="1635"/>
      <c r="F339" s="1635"/>
      <c r="G339" s="1635"/>
      <c r="H339" s="1635"/>
    </row>
    <row r="340" spans="1:8">
      <c r="A340" s="244" t="s">
        <v>841</v>
      </c>
      <c r="B340" s="267"/>
      <c r="C340" s="1635" t="s">
        <v>842</v>
      </c>
      <c r="D340" s="1635"/>
      <c r="E340" s="1635"/>
      <c r="F340" s="1635"/>
      <c r="G340" s="1635"/>
      <c r="H340" s="1635"/>
    </row>
    <row r="341" spans="1:8">
      <c r="A341" s="244"/>
      <c r="B341" s="267"/>
      <c r="C341" s="1149"/>
      <c r="D341" s="1149"/>
      <c r="E341" s="1149"/>
      <c r="F341" s="1149"/>
      <c r="G341" s="1149"/>
      <c r="H341" s="1149"/>
    </row>
    <row r="342" spans="1:8">
      <c r="A342" s="244"/>
      <c r="B342" s="267"/>
      <c r="C342" s="1635"/>
      <c r="D342" s="1635"/>
      <c r="E342" s="1635"/>
      <c r="F342" s="1635"/>
      <c r="G342" s="1635"/>
      <c r="H342" s="1635"/>
    </row>
    <row r="343" spans="1:8" ht="15.75">
      <c r="A343" s="24" t="s">
        <v>154</v>
      </c>
      <c r="B343" s="23"/>
      <c r="C343" s="1636"/>
      <c r="D343" s="1636"/>
      <c r="E343" s="1636"/>
      <c r="F343" s="1636"/>
      <c r="G343" s="1636"/>
      <c r="H343" s="1636"/>
    </row>
  </sheetData>
  <mergeCells count="46">
    <mergeCell ref="A1:H1"/>
    <mergeCell ref="A3:H3"/>
    <mergeCell ref="C305:H305"/>
    <mergeCell ref="A303:B303"/>
    <mergeCell ref="D235:E236"/>
    <mergeCell ref="F235:F236"/>
    <mergeCell ref="C331:H331"/>
    <mergeCell ref="C332:H332"/>
    <mergeCell ref="C333:H333"/>
    <mergeCell ref="D209:E209"/>
    <mergeCell ref="D210:E210"/>
    <mergeCell ref="C320:H320"/>
    <mergeCell ref="C321:H321"/>
    <mergeCell ref="C322:H322"/>
    <mergeCell ref="C323:H323"/>
    <mergeCell ref="C324:H324"/>
    <mergeCell ref="C325:H325"/>
    <mergeCell ref="C317:H317"/>
    <mergeCell ref="C318:H318"/>
    <mergeCell ref="C319:H319"/>
    <mergeCell ref="C326:H326"/>
    <mergeCell ref="C327:H327"/>
    <mergeCell ref="C328:H328"/>
    <mergeCell ref="C329:H329"/>
    <mergeCell ref="C330:H330"/>
    <mergeCell ref="C304:H304"/>
    <mergeCell ref="C306:H306"/>
    <mergeCell ref="C307:H307"/>
    <mergeCell ref="C308:H308"/>
    <mergeCell ref="C309:H309"/>
    <mergeCell ref="C312:H312"/>
    <mergeCell ref="C310:H310"/>
    <mergeCell ref="C313:H313"/>
    <mergeCell ref="C315:H315"/>
    <mergeCell ref="C316:H316"/>
    <mergeCell ref="E311:H311"/>
    <mergeCell ref="C314:H314"/>
    <mergeCell ref="C334:H334"/>
    <mergeCell ref="C342:H342"/>
    <mergeCell ref="C343:H343"/>
    <mergeCell ref="C338:H338"/>
    <mergeCell ref="C340:H340"/>
    <mergeCell ref="C339:H339"/>
    <mergeCell ref="C335:H335"/>
    <mergeCell ref="C336:H336"/>
    <mergeCell ref="C337:H337"/>
  </mergeCells>
  <printOptions horizontalCentered="1"/>
  <pageMargins left="0.7" right="0.7" top="0.7" bottom="0.7" header="0.3" footer="0.5"/>
  <pageSetup scale="50" fitToHeight="6" orientation="portrait" r:id="rId1"/>
  <headerFooter>
    <oddFooter>&amp;CPage &amp;P of &amp;N&amp;R&amp;A</oddFooter>
  </headerFooter>
  <rowBreaks count="3" manualBreakCount="3">
    <brk id="87" max="7" man="1"/>
    <brk id="157" max="7" man="1"/>
    <brk id="237"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3"/>
  <sheetViews>
    <sheetView topLeftCell="A37" zoomScaleNormal="100" zoomScaleSheetLayoutView="90" workbookViewId="0">
      <selection activeCell="H43" sqref="H43:I43"/>
    </sheetView>
  </sheetViews>
  <sheetFormatPr defaultColWidth="9.140625" defaultRowHeight="12.75"/>
  <cols>
    <col min="1" max="1" width="5.42578125" style="176" customWidth="1"/>
    <col min="2" max="2" width="51.42578125" style="175" customWidth="1"/>
    <col min="3" max="3" width="11.42578125" style="175" customWidth="1"/>
    <col min="4" max="4" width="12.7109375" style="175" customWidth="1"/>
    <col min="5" max="5" width="15.28515625" style="175" bestFit="1" customWidth="1"/>
    <col min="6" max="6" width="11.85546875" style="175" customWidth="1"/>
    <col min="7" max="7" width="11.42578125" style="175" customWidth="1"/>
    <col min="8" max="8" width="11" style="175" customWidth="1"/>
    <col min="9" max="9" width="9.85546875" style="175" customWidth="1"/>
    <col min="10" max="10" width="9.140625" style="175"/>
    <col min="11" max="11" width="7.5703125" style="175" customWidth="1"/>
    <col min="12" max="12" width="34" style="175" customWidth="1"/>
    <col min="13" max="13" width="16.140625" style="175" customWidth="1"/>
    <col min="14" max="14" width="9.140625" style="175"/>
    <col min="15" max="15" width="9.140625" style="44"/>
    <col min="16" max="16384" width="9.140625" style="175"/>
  </cols>
  <sheetData>
    <row r="1" spans="1:15">
      <c r="A1" s="1674" t="str">
        <f>+'MISO Cover'!C6</f>
        <v>Entergy New Orleans, Inc.</v>
      </c>
      <c r="B1" s="1674"/>
      <c r="C1" s="1674"/>
      <c r="D1" s="1674"/>
      <c r="E1" s="1674"/>
      <c r="F1" s="1674"/>
      <c r="G1" s="1674"/>
      <c r="H1" s="1674"/>
      <c r="I1" s="1674"/>
      <c r="O1" s="175"/>
    </row>
    <row r="2" spans="1:15">
      <c r="A2" s="1674" t="s">
        <v>962</v>
      </c>
      <c r="B2" s="1674"/>
      <c r="C2" s="1674"/>
      <c r="D2" s="1674"/>
      <c r="E2" s="1674"/>
      <c r="F2" s="1674"/>
      <c r="G2" s="1674"/>
      <c r="H2" s="1674"/>
      <c r="I2" s="1674"/>
      <c r="O2" s="175"/>
    </row>
    <row r="3" spans="1:15">
      <c r="A3" s="1724" t="str">
        <f>+'MISO Cover'!K4</f>
        <v>For  the 12 Months Ended 12/31/2014</v>
      </c>
      <c r="B3" s="1724"/>
      <c r="C3" s="1724"/>
      <c r="D3" s="1724"/>
      <c r="E3" s="1724"/>
      <c r="F3" s="1724"/>
      <c r="G3" s="1724"/>
      <c r="H3" s="1724"/>
      <c r="I3" s="1724"/>
      <c r="K3" s="817"/>
      <c r="O3" s="175"/>
    </row>
    <row r="4" spans="1:15">
      <c r="B4" s="818"/>
      <c r="C4" s="773"/>
      <c r="D4" s="773"/>
      <c r="E4" s="773"/>
      <c r="F4" s="773"/>
      <c r="G4" s="773"/>
      <c r="H4" s="773"/>
      <c r="I4" s="773"/>
      <c r="O4" s="175"/>
    </row>
    <row r="5" spans="1:15" s="285" customFormat="1">
      <c r="A5" s="732" t="s">
        <v>525</v>
      </c>
      <c r="B5" s="1480" t="s">
        <v>167</v>
      </c>
      <c r="C5" s="1480" t="s">
        <v>1413</v>
      </c>
      <c r="D5" s="1480" t="s">
        <v>155</v>
      </c>
      <c r="E5" s="1480" t="s">
        <v>168</v>
      </c>
      <c r="F5" s="1480" t="s">
        <v>166</v>
      </c>
      <c r="G5" s="1480" t="s">
        <v>1414</v>
      </c>
      <c r="H5" s="1480" t="s">
        <v>169</v>
      </c>
      <c r="I5" s="1480" t="s">
        <v>270</v>
      </c>
    </row>
    <row r="6" spans="1:15" s="44" customFormat="1">
      <c r="A6" s="731"/>
      <c r="B6" s="554"/>
      <c r="C6" s="555"/>
      <c r="D6" s="555"/>
      <c r="E6" s="555"/>
      <c r="F6" s="555"/>
      <c r="G6" s="555"/>
      <c r="H6" s="555"/>
      <c r="I6" s="554"/>
    </row>
    <row r="7" spans="1:15">
      <c r="A7" s="207">
        <v>1</v>
      </c>
      <c r="B7" s="559" t="s">
        <v>747</v>
      </c>
      <c r="C7" s="560" t="s">
        <v>748</v>
      </c>
      <c r="D7" s="641" t="s">
        <v>237</v>
      </c>
      <c r="E7" s="644"/>
      <c r="F7" s="644" t="s">
        <v>273</v>
      </c>
      <c r="G7" s="645" t="s">
        <v>256</v>
      </c>
      <c r="H7" s="564" t="s">
        <v>121</v>
      </c>
      <c r="I7" s="560" t="s">
        <v>272</v>
      </c>
      <c r="O7" s="175"/>
    </row>
    <row r="8" spans="1:15">
      <c r="A8" s="207">
        <f>+A7+0.1</f>
        <v>1.1000000000000001</v>
      </c>
      <c r="B8" s="556" t="s">
        <v>745</v>
      </c>
      <c r="C8" s="202">
        <f>SUM(D8:G8)</f>
        <v>1071257</v>
      </c>
      <c r="D8" s="642">
        <v>1020462</v>
      </c>
      <c r="E8" s="522"/>
      <c r="F8" s="282">
        <v>5995</v>
      </c>
      <c r="G8" s="933">
        <f>+H8+I8</f>
        <v>44800</v>
      </c>
      <c r="H8" s="562">
        <v>0</v>
      </c>
      <c r="I8" s="282">
        <v>44800</v>
      </c>
      <c r="O8" s="175"/>
    </row>
    <row r="9" spans="1:15" s="285" customFormat="1" ht="15">
      <c r="A9" s="207">
        <f>+A8+0.1</f>
        <v>1.2000000000000002</v>
      </c>
      <c r="B9" s="557" t="s">
        <v>746</v>
      </c>
      <c r="C9" s="230">
        <f>SUM(D9:G9)</f>
        <v>571541</v>
      </c>
      <c r="D9" s="643"/>
      <c r="E9" s="558"/>
      <c r="F9" s="558"/>
      <c r="G9" s="561">
        <f>+H9+I9</f>
        <v>571541</v>
      </c>
      <c r="H9" s="563">
        <v>571541</v>
      </c>
      <c r="I9" s="558"/>
    </row>
    <row r="10" spans="1:15" s="285" customFormat="1">
      <c r="A10" s="207">
        <f>+A7+1</f>
        <v>2</v>
      </c>
      <c r="B10" s="553" t="s">
        <v>859</v>
      </c>
      <c r="C10" s="1213">
        <f>SUM(C8:C9)</f>
        <v>1642798</v>
      </c>
      <c r="D10" s="1214">
        <f>SUM(D8:D9)</f>
        <v>1020462</v>
      </c>
      <c r="E10" s="1213"/>
      <c r="F10" s="1213">
        <f>SUM(F8:F9)</f>
        <v>5995</v>
      </c>
      <c r="G10" s="1213">
        <f>+G8+G9</f>
        <v>616341</v>
      </c>
      <c r="H10" s="1215">
        <f>SUM(H8:H9)</f>
        <v>571541</v>
      </c>
      <c r="I10" s="1213">
        <f>SUM(I8:I9)</f>
        <v>44800</v>
      </c>
    </row>
    <row r="11" spans="1:15" s="285" customFormat="1">
      <c r="A11" s="207">
        <f>1+A10</f>
        <v>3</v>
      </c>
      <c r="B11" s="553"/>
      <c r="C11" s="552"/>
      <c r="D11" s="552"/>
      <c r="E11" s="552"/>
      <c r="F11" s="552"/>
      <c r="G11" s="552"/>
      <c r="H11" s="552"/>
      <c r="I11" s="552"/>
    </row>
    <row r="12" spans="1:15" s="285" customFormat="1">
      <c r="A12" s="1209">
        <f>1+A11</f>
        <v>4</v>
      </c>
      <c r="B12" s="1216"/>
      <c r="C12" s="503"/>
      <c r="D12" s="1723" t="s">
        <v>1107</v>
      </c>
      <c r="E12" s="1723"/>
      <c r="F12" s="1723"/>
      <c r="G12" s="1723"/>
    </row>
    <row r="13" spans="1:15" s="1167" customFormat="1">
      <c r="A13" s="1209">
        <f t="shared" ref="A13:A14" si="0">1+A12</f>
        <v>5</v>
      </c>
      <c r="B13" s="1216"/>
      <c r="C13" s="503"/>
      <c r="D13" s="1722" t="s">
        <v>237</v>
      </c>
      <c r="E13" s="1722"/>
      <c r="F13" s="1217"/>
      <c r="G13" s="1217"/>
    </row>
    <row r="14" spans="1:15" s="813" customFormat="1">
      <c r="A14" s="1209">
        <f t="shared" si="0"/>
        <v>6</v>
      </c>
      <c r="B14" s="1218" t="s">
        <v>749</v>
      </c>
      <c r="C14" s="608"/>
      <c r="D14" s="610" t="s">
        <v>845</v>
      </c>
      <c r="E14" s="1219" t="s">
        <v>1071</v>
      </c>
      <c r="F14" s="1220" t="s">
        <v>245</v>
      </c>
      <c r="G14" s="611" t="s">
        <v>256</v>
      </c>
      <c r="H14" s="1168"/>
      <c r="I14" s="1168"/>
      <c r="J14" s="1167"/>
      <c r="K14" s="1167"/>
      <c r="L14" s="1167"/>
    </row>
    <row r="15" spans="1:15" ht="15.75" customHeight="1">
      <c r="A15" s="902">
        <f>+A14+0.01</f>
        <v>6.01</v>
      </c>
      <c r="B15" s="1056" t="s">
        <v>538</v>
      </c>
      <c r="C15" s="282">
        <v>0</v>
      </c>
      <c r="D15" s="612"/>
      <c r="E15" s="522"/>
      <c r="F15" s="522"/>
      <c r="G15" s="613">
        <f t="shared" ref="G15:G23" si="1">+C15</f>
        <v>0</v>
      </c>
      <c r="H15" s="609"/>
      <c r="I15" s="609"/>
      <c r="K15" s="44"/>
      <c r="L15" s="44"/>
      <c r="M15" s="44"/>
      <c r="N15" s="44"/>
    </row>
    <row r="16" spans="1:15" s="813" customFormat="1" ht="15.75" customHeight="1">
      <c r="A16" s="902">
        <f t="shared" ref="A16:A54" si="2">+A15+0.01</f>
        <v>6.02</v>
      </c>
      <c r="B16" s="1056" t="s">
        <v>539</v>
      </c>
      <c r="C16" s="282">
        <v>0</v>
      </c>
      <c r="D16" s="612"/>
      <c r="E16" s="522"/>
      <c r="F16" s="522"/>
      <c r="G16" s="613">
        <f t="shared" si="1"/>
        <v>0</v>
      </c>
    </row>
    <row r="17" spans="1:16" ht="15.75" customHeight="1">
      <c r="A17" s="902">
        <f t="shared" si="2"/>
        <v>6.0299999999999994</v>
      </c>
      <c r="B17" s="1056" t="s">
        <v>540</v>
      </c>
      <c r="C17" s="282">
        <v>0</v>
      </c>
      <c r="D17" s="612"/>
      <c r="E17" s="522"/>
      <c r="F17" s="522"/>
      <c r="G17" s="613">
        <f t="shared" si="1"/>
        <v>0</v>
      </c>
      <c r="J17" s="814"/>
      <c r="K17" s="528"/>
      <c r="L17" s="528"/>
      <c r="M17" s="528"/>
      <c r="N17" s="528"/>
      <c r="O17" s="528"/>
      <c r="P17" s="814"/>
    </row>
    <row r="18" spans="1:16" s="813" customFormat="1" ht="15.75" customHeight="1">
      <c r="A18" s="902">
        <f t="shared" si="2"/>
        <v>6.0399999999999991</v>
      </c>
      <c r="B18" s="1056" t="s">
        <v>593</v>
      </c>
      <c r="C18" s="282">
        <v>0</v>
      </c>
      <c r="D18" s="612"/>
      <c r="E18" s="522"/>
      <c r="F18" s="522"/>
      <c r="G18" s="613">
        <f t="shared" si="1"/>
        <v>0</v>
      </c>
    </row>
    <row r="19" spans="1:16" s="813" customFormat="1" ht="15.75" customHeight="1">
      <c r="A19" s="902">
        <f t="shared" si="2"/>
        <v>6.0499999999999989</v>
      </c>
      <c r="B19" s="1056" t="s">
        <v>1189</v>
      </c>
      <c r="C19" s="282">
        <v>0</v>
      </c>
      <c r="D19" s="612"/>
      <c r="E19" s="522"/>
      <c r="F19" s="522"/>
      <c r="G19" s="613">
        <f>+C19</f>
        <v>0</v>
      </c>
    </row>
    <row r="20" spans="1:16" s="813" customFormat="1" ht="15.75" customHeight="1">
      <c r="A20" s="902">
        <f t="shared" si="2"/>
        <v>6.0599999999999987</v>
      </c>
      <c r="B20" s="1056" t="s">
        <v>1190</v>
      </c>
      <c r="C20" s="282">
        <v>0</v>
      </c>
      <c r="D20" s="612"/>
      <c r="E20" s="522"/>
      <c r="F20" s="522"/>
      <c r="G20" s="613">
        <f>+C20</f>
        <v>0</v>
      </c>
    </row>
    <row r="21" spans="1:16" s="813" customFormat="1" ht="15.75" customHeight="1">
      <c r="A21" s="902">
        <f t="shared" si="2"/>
        <v>6.0699999999999985</v>
      </c>
      <c r="B21" s="1056" t="s">
        <v>541</v>
      </c>
      <c r="C21" s="282">
        <v>168184</v>
      </c>
      <c r="D21" s="612"/>
      <c r="E21" s="522"/>
      <c r="F21" s="522"/>
      <c r="G21" s="613">
        <f t="shared" si="1"/>
        <v>168184</v>
      </c>
    </row>
    <row r="22" spans="1:16" ht="15.75" customHeight="1">
      <c r="A22" s="902">
        <f t="shared" si="2"/>
        <v>6.0799999999999983</v>
      </c>
      <c r="B22" s="1056" t="s">
        <v>542</v>
      </c>
      <c r="C22" s="282">
        <v>0</v>
      </c>
      <c r="D22" s="612"/>
      <c r="E22" s="522"/>
      <c r="F22" s="522"/>
      <c r="G22" s="613">
        <f t="shared" si="1"/>
        <v>0</v>
      </c>
      <c r="H22" s="177"/>
      <c r="I22" s="813"/>
      <c r="J22" s="813"/>
      <c r="K22" s="44"/>
      <c r="L22" s="44"/>
      <c r="M22" s="44"/>
      <c r="N22" s="44"/>
    </row>
    <row r="23" spans="1:16" ht="15.75" customHeight="1">
      <c r="A23" s="902">
        <f t="shared" si="2"/>
        <v>6.0899999999999981</v>
      </c>
      <c r="B23" s="1056" t="s">
        <v>98</v>
      </c>
      <c r="C23" s="282">
        <v>-2927</v>
      </c>
      <c r="D23" s="612"/>
      <c r="E23" s="522"/>
      <c r="F23" s="522"/>
      <c r="G23" s="613">
        <f t="shared" si="1"/>
        <v>-2927</v>
      </c>
      <c r="H23" s="813"/>
      <c r="I23" s="813"/>
      <c r="J23" s="813"/>
      <c r="K23" s="44"/>
      <c r="L23" s="44"/>
      <c r="M23" s="44"/>
      <c r="N23" s="44"/>
    </row>
    <row r="24" spans="1:16" ht="15.75" customHeight="1">
      <c r="A24" s="902">
        <f t="shared" si="2"/>
        <v>6.0999999999999979</v>
      </c>
      <c r="B24" s="1056" t="s">
        <v>92</v>
      </c>
      <c r="C24" s="282">
        <v>1</v>
      </c>
      <c r="D24" s="612"/>
      <c r="E24" s="522">
        <f>+C24</f>
        <v>1</v>
      </c>
      <c r="F24" s="522"/>
      <c r="G24" s="613"/>
      <c r="H24" s="815"/>
      <c r="K24" s="44"/>
      <c r="L24" s="44"/>
      <c r="M24" s="44"/>
      <c r="N24" s="44"/>
    </row>
    <row r="25" spans="1:16" ht="15.75" customHeight="1">
      <c r="A25" s="902">
        <f t="shared" si="2"/>
        <v>6.1099999999999977</v>
      </c>
      <c r="B25" s="1056" t="s">
        <v>93</v>
      </c>
      <c r="C25" s="282">
        <v>0</v>
      </c>
      <c r="D25" s="1221">
        <f>+C25</f>
        <v>0</v>
      </c>
      <c r="E25" s="204"/>
      <c r="F25" s="204"/>
      <c r="G25" s="613"/>
      <c r="K25" s="44"/>
      <c r="L25" s="44"/>
      <c r="M25" s="44"/>
      <c r="N25" s="44"/>
    </row>
    <row r="26" spans="1:16" ht="15.75" customHeight="1">
      <c r="A26" s="902">
        <f t="shared" si="2"/>
        <v>6.1199999999999974</v>
      </c>
      <c r="B26" s="1237" t="s">
        <v>94</v>
      </c>
      <c r="C26" s="282">
        <v>729469</v>
      </c>
      <c r="D26" s="1221"/>
      <c r="E26" s="204">
        <f>+C26</f>
        <v>729469</v>
      </c>
      <c r="F26" s="204"/>
      <c r="G26" s="613"/>
      <c r="K26" s="44"/>
      <c r="L26" s="44"/>
      <c r="M26" s="44"/>
      <c r="N26" s="44"/>
    </row>
    <row r="27" spans="1:16" s="813" customFormat="1" ht="15.75" customHeight="1">
      <c r="A27" s="902">
        <f t="shared" si="2"/>
        <v>6.1299999999999972</v>
      </c>
      <c r="B27" s="1056" t="s">
        <v>99</v>
      </c>
      <c r="C27" s="282">
        <v>0</v>
      </c>
      <c r="D27" s="612"/>
      <c r="E27" s="522"/>
      <c r="F27" s="522"/>
      <c r="G27" s="613">
        <f>+C27</f>
        <v>0</v>
      </c>
      <c r="H27" s="175"/>
      <c r="I27" s="175"/>
      <c r="J27" s="175"/>
    </row>
    <row r="28" spans="1:16" ht="15.75" customHeight="1">
      <c r="A28" s="902">
        <f t="shared" si="2"/>
        <v>6.139999999999997</v>
      </c>
      <c r="B28" s="1056" t="s">
        <v>100</v>
      </c>
      <c r="C28" s="282">
        <v>1901</v>
      </c>
      <c r="D28" s="612"/>
      <c r="E28" s="522"/>
      <c r="F28" s="522"/>
      <c r="G28" s="613">
        <f>+C28</f>
        <v>1901</v>
      </c>
      <c r="K28" s="44"/>
      <c r="L28" s="44"/>
      <c r="M28" s="44"/>
      <c r="N28" s="44"/>
    </row>
    <row r="29" spans="1:16" ht="15.75" customHeight="1">
      <c r="A29" s="902">
        <f t="shared" si="2"/>
        <v>6.1499999999999968</v>
      </c>
      <c r="B29" s="1056" t="s">
        <v>95</v>
      </c>
      <c r="C29" s="282">
        <v>-1278</v>
      </c>
      <c r="D29" s="612">
        <f>+C29</f>
        <v>-1278</v>
      </c>
      <c r="E29" s="522"/>
      <c r="F29" s="204"/>
      <c r="G29" s="1222"/>
      <c r="H29" s="813"/>
      <c r="I29" s="813"/>
      <c r="J29" s="813"/>
      <c r="K29" s="44"/>
      <c r="L29" s="44"/>
      <c r="M29" s="44"/>
      <c r="N29" s="44"/>
    </row>
    <row r="30" spans="1:16" ht="15.75" customHeight="1">
      <c r="A30" s="902">
        <f t="shared" si="2"/>
        <v>6.1599999999999966</v>
      </c>
      <c r="B30" s="1265" t="s">
        <v>96</v>
      </c>
      <c r="C30" s="282">
        <v>-7253</v>
      </c>
      <c r="D30" s="612">
        <f>+C30</f>
        <v>-7253</v>
      </c>
      <c r="E30" s="522"/>
      <c r="F30" s="204"/>
      <c r="G30" s="1223"/>
      <c r="K30" s="44"/>
      <c r="L30" s="44"/>
      <c r="M30" s="44"/>
      <c r="N30" s="44"/>
    </row>
    <row r="31" spans="1:16" ht="15.75" customHeight="1">
      <c r="A31" s="902">
        <f t="shared" si="2"/>
        <v>6.1699999999999964</v>
      </c>
      <c r="B31" s="1265" t="s">
        <v>97</v>
      </c>
      <c r="C31" s="282">
        <v>-21355</v>
      </c>
      <c r="D31" s="1221"/>
      <c r="E31" s="204">
        <f>+C31</f>
        <v>-21355</v>
      </c>
      <c r="F31" s="204"/>
      <c r="G31" s="613"/>
      <c r="K31" s="44"/>
      <c r="L31" s="44"/>
      <c r="M31" s="44"/>
      <c r="N31" s="44"/>
    </row>
    <row r="32" spans="1:16" ht="15.75" customHeight="1">
      <c r="A32" s="902">
        <f t="shared" si="2"/>
        <v>6.1799999999999962</v>
      </c>
      <c r="B32" s="1056" t="s">
        <v>103</v>
      </c>
      <c r="C32" s="282">
        <v>391</v>
      </c>
      <c r="D32" s="612"/>
      <c r="E32" s="522"/>
      <c r="F32" s="522"/>
      <c r="G32" s="613">
        <f>+C32</f>
        <v>391</v>
      </c>
      <c r="K32" s="44"/>
      <c r="L32" s="44"/>
      <c r="M32" s="44"/>
      <c r="N32" s="44"/>
    </row>
    <row r="33" spans="1:14" ht="15.75" customHeight="1">
      <c r="A33" s="902">
        <f t="shared" si="2"/>
        <v>6.1899999999999959</v>
      </c>
      <c r="B33" s="1056" t="s">
        <v>104</v>
      </c>
      <c r="C33" s="282">
        <v>605</v>
      </c>
      <c r="D33" s="612"/>
      <c r="E33" s="522"/>
      <c r="F33" s="522"/>
      <c r="G33" s="613">
        <f>+C33</f>
        <v>605</v>
      </c>
      <c r="K33" s="44"/>
      <c r="L33" s="44"/>
      <c r="M33" s="44"/>
      <c r="N33" s="44"/>
    </row>
    <row r="34" spans="1:14" ht="15.75" customHeight="1">
      <c r="A34" s="902">
        <f t="shared" si="2"/>
        <v>6.1999999999999957</v>
      </c>
      <c r="B34" s="1056" t="s">
        <v>105</v>
      </c>
      <c r="C34" s="282">
        <v>602</v>
      </c>
      <c r="D34" s="612"/>
      <c r="E34" s="522"/>
      <c r="F34" s="522"/>
      <c r="G34" s="613">
        <f>+C34</f>
        <v>602</v>
      </c>
      <c r="K34" s="44"/>
      <c r="L34" s="44"/>
      <c r="M34" s="44"/>
      <c r="N34" s="44"/>
    </row>
    <row r="35" spans="1:14" ht="15.75" customHeight="1">
      <c r="A35" s="902">
        <f t="shared" si="2"/>
        <v>6.2099999999999955</v>
      </c>
      <c r="B35" s="1056" t="s">
        <v>860</v>
      </c>
      <c r="C35" s="282">
        <v>0</v>
      </c>
      <c r="D35" s="612"/>
      <c r="E35" s="522"/>
      <c r="F35" s="522">
        <f>+C35</f>
        <v>0</v>
      </c>
      <c r="G35" s="1222"/>
      <c r="K35" s="44"/>
      <c r="L35" s="44"/>
      <c r="M35" s="44"/>
      <c r="N35" s="44"/>
    </row>
    <row r="36" spans="1:14" ht="15.75" customHeight="1">
      <c r="A36" s="902">
        <f t="shared" si="2"/>
        <v>6.2199999999999953</v>
      </c>
      <c r="B36" s="1056" t="s">
        <v>101</v>
      </c>
      <c r="C36" s="282">
        <v>3851</v>
      </c>
      <c r="D36" s="612"/>
      <c r="E36" s="522"/>
      <c r="F36" s="522"/>
      <c r="G36" s="613">
        <f>+C36</f>
        <v>3851</v>
      </c>
      <c r="K36" s="44"/>
      <c r="L36" s="44"/>
      <c r="M36" s="44"/>
      <c r="N36" s="44"/>
    </row>
    <row r="37" spans="1:14" ht="15.75" customHeight="1">
      <c r="A37" s="902">
        <f t="shared" si="2"/>
        <v>6.2299999999999951</v>
      </c>
      <c r="B37" s="1056" t="s">
        <v>588</v>
      </c>
      <c r="C37" s="282">
        <v>42583</v>
      </c>
      <c r="D37" s="612">
        <f>+C37</f>
        <v>42583</v>
      </c>
      <c r="E37" s="522"/>
      <c r="F37" s="522"/>
      <c r="G37" s="1222"/>
      <c r="K37" s="44"/>
      <c r="L37" s="44"/>
      <c r="M37" s="44"/>
      <c r="N37" s="44"/>
    </row>
    <row r="38" spans="1:14" ht="15.75" customHeight="1">
      <c r="A38" s="902">
        <f t="shared" si="2"/>
        <v>6.2399999999999949</v>
      </c>
      <c r="B38" s="1056" t="s">
        <v>589</v>
      </c>
      <c r="C38" s="282">
        <v>643010</v>
      </c>
      <c r="D38" s="612"/>
      <c r="E38" s="522">
        <f>+C38</f>
        <v>643010</v>
      </c>
      <c r="F38" s="522"/>
      <c r="G38" s="1224"/>
      <c r="I38" s="816"/>
      <c r="K38" s="44"/>
      <c r="L38" s="44"/>
      <c r="M38" s="44"/>
      <c r="N38" s="44"/>
    </row>
    <row r="39" spans="1:14" ht="15.75" customHeight="1">
      <c r="A39" s="902">
        <f t="shared" si="2"/>
        <v>6.2499999999999947</v>
      </c>
      <c r="B39" s="1056" t="s">
        <v>590</v>
      </c>
      <c r="C39" s="282">
        <v>55937</v>
      </c>
      <c r="D39" s="612">
        <f>+C39</f>
        <v>55937</v>
      </c>
      <c r="E39" s="522"/>
      <c r="F39" s="522"/>
      <c r="G39" s="1222"/>
      <c r="K39" s="44"/>
      <c r="L39" s="44"/>
      <c r="M39" s="44"/>
      <c r="N39" s="44"/>
    </row>
    <row r="40" spans="1:14" ht="15.75" customHeight="1">
      <c r="A40" s="902">
        <f t="shared" si="2"/>
        <v>6.2599999999999945</v>
      </c>
      <c r="B40" s="1056" t="s">
        <v>861</v>
      </c>
      <c r="C40" s="282">
        <v>4946621</v>
      </c>
      <c r="D40" s="612"/>
      <c r="E40" s="522">
        <f>+C40</f>
        <v>4946621</v>
      </c>
      <c r="F40" s="522"/>
      <c r="G40" s="613"/>
      <c r="K40" s="44"/>
      <c r="L40" s="44"/>
      <c r="M40" s="44"/>
      <c r="N40" s="44"/>
    </row>
    <row r="41" spans="1:14" ht="15.75" customHeight="1">
      <c r="A41" s="902">
        <f t="shared" si="2"/>
        <v>6.2699999999999942</v>
      </c>
      <c r="B41" s="1056" t="s">
        <v>591</v>
      </c>
      <c r="C41" s="282">
        <v>447971</v>
      </c>
      <c r="D41" s="612"/>
      <c r="E41" s="522"/>
      <c r="F41" s="522"/>
      <c r="G41" s="613">
        <f>+C41</f>
        <v>447971</v>
      </c>
      <c r="H41" s="1720" t="s">
        <v>1275</v>
      </c>
      <c r="I41" s="1721"/>
      <c r="K41" s="44"/>
      <c r="L41" s="44"/>
      <c r="M41" s="44"/>
      <c r="N41" s="44"/>
    </row>
    <row r="42" spans="1:14" ht="15.75" customHeight="1">
      <c r="A42" s="902">
        <f t="shared" si="2"/>
        <v>6.279999999999994</v>
      </c>
      <c r="B42" s="1265" t="s">
        <v>1415</v>
      </c>
      <c r="C42" s="282">
        <v>7499</v>
      </c>
      <c r="D42" s="612"/>
      <c r="E42" s="522"/>
      <c r="F42" s="522"/>
      <c r="G42" s="613">
        <f>+C42</f>
        <v>7499</v>
      </c>
      <c r="H42" s="1307" t="s">
        <v>1273</v>
      </c>
      <c r="I42" s="1308" t="s">
        <v>1274</v>
      </c>
      <c r="K42" s="44"/>
      <c r="L42" s="44"/>
      <c r="M42" s="44"/>
      <c r="N42" s="44"/>
    </row>
    <row r="43" spans="1:14" ht="15.75" customHeight="1">
      <c r="A43" s="902">
        <f t="shared" si="2"/>
        <v>6.2899999999999938</v>
      </c>
      <c r="B43" s="1265" t="s">
        <v>1191</v>
      </c>
      <c r="C43" s="282">
        <v>41336</v>
      </c>
      <c r="D43" s="612"/>
      <c r="E43" s="522"/>
      <c r="F43" s="522"/>
      <c r="G43" s="613">
        <f>+C43</f>
        <v>41336</v>
      </c>
      <c r="H43" s="1357">
        <v>16765.919999999998</v>
      </c>
      <c r="I43" s="1357">
        <v>-9266.8700000000008</v>
      </c>
      <c r="K43" s="44"/>
      <c r="L43" s="44"/>
      <c r="M43" s="44"/>
      <c r="N43" s="44"/>
    </row>
    <row r="44" spans="1:14" ht="15.75" customHeight="1">
      <c r="A44" s="902">
        <f t="shared" si="2"/>
        <v>6.2999999999999936</v>
      </c>
      <c r="B44" s="1265" t="s">
        <v>1192</v>
      </c>
      <c r="C44" s="282">
        <v>0</v>
      </c>
      <c r="D44" s="612"/>
      <c r="E44" s="522">
        <f>+C44</f>
        <v>0</v>
      </c>
      <c r="F44" s="522"/>
      <c r="G44" s="613"/>
      <c r="K44" s="44"/>
      <c r="L44" s="44"/>
      <c r="M44" s="44"/>
      <c r="N44" s="44"/>
    </row>
    <row r="45" spans="1:14" ht="15.75" customHeight="1">
      <c r="A45" s="902">
        <f t="shared" si="2"/>
        <v>6.3099999999999934</v>
      </c>
      <c r="B45" s="1265" t="s">
        <v>102</v>
      </c>
      <c r="C45" s="282">
        <v>-683</v>
      </c>
      <c r="D45" s="612"/>
      <c r="E45" s="522"/>
      <c r="F45" s="522"/>
      <c r="G45" s="613">
        <f>+C45</f>
        <v>-683</v>
      </c>
      <c r="K45" s="44"/>
      <c r="L45" s="44"/>
      <c r="M45" s="44"/>
      <c r="N45" s="44"/>
    </row>
    <row r="46" spans="1:14" ht="15.75" customHeight="1">
      <c r="A46" s="902">
        <f t="shared" si="2"/>
        <v>6.3199999999999932</v>
      </c>
      <c r="B46" s="1056" t="s">
        <v>543</v>
      </c>
      <c r="C46" s="282">
        <v>-1508553</v>
      </c>
      <c r="D46" s="612"/>
      <c r="E46" s="522"/>
      <c r="F46" s="522"/>
      <c r="G46" s="613">
        <f>+C46</f>
        <v>-1508553</v>
      </c>
      <c r="K46" s="44"/>
      <c r="L46" s="44"/>
      <c r="M46" s="44"/>
      <c r="N46" s="44"/>
    </row>
    <row r="47" spans="1:14" ht="15.75" customHeight="1">
      <c r="A47" s="902">
        <f t="shared" si="2"/>
        <v>6.329999999999993</v>
      </c>
      <c r="B47" s="1056" t="s">
        <v>544</v>
      </c>
      <c r="C47" s="282">
        <v>0</v>
      </c>
      <c r="D47" s="612"/>
      <c r="E47" s="522"/>
      <c r="F47" s="522"/>
      <c r="G47" s="613">
        <f>+C47</f>
        <v>0</v>
      </c>
      <c r="K47" s="44"/>
      <c r="L47" s="44"/>
      <c r="M47" s="44"/>
      <c r="N47" s="44"/>
    </row>
    <row r="48" spans="1:14" ht="15.75" customHeight="1">
      <c r="A48" s="902">
        <f t="shared" si="2"/>
        <v>6.3399999999999928</v>
      </c>
      <c r="B48" s="1056" t="s">
        <v>537</v>
      </c>
      <c r="C48" s="282">
        <v>84</v>
      </c>
      <c r="D48" s="612">
        <f>+C48</f>
        <v>84</v>
      </c>
      <c r="E48" s="522"/>
      <c r="F48" s="522"/>
      <c r="G48" s="1222"/>
      <c r="K48" s="44"/>
      <c r="L48" s="44"/>
      <c r="M48" s="44"/>
      <c r="N48" s="44"/>
    </row>
    <row r="49" spans="1:15" ht="15.75" customHeight="1">
      <c r="A49" s="902">
        <f t="shared" si="2"/>
        <v>6.3499999999999925</v>
      </c>
      <c r="B49" s="1056" t="s">
        <v>545</v>
      </c>
      <c r="C49" s="282">
        <v>0</v>
      </c>
      <c r="D49" s="612"/>
      <c r="E49" s="522"/>
      <c r="F49" s="522"/>
      <c r="G49" s="613">
        <f>+C49</f>
        <v>0</v>
      </c>
      <c r="I49" s="819"/>
      <c r="K49" s="44"/>
      <c r="L49" s="44"/>
      <c r="M49" s="44"/>
      <c r="N49" s="44"/>
    </row>
    <row r="50" spans="1:15" ht="15.75" customHeight="1">
      <c r="A50" s="902">
        <f t="shared" si="2"/>
        <v>6.3599999999999923</v>
      </c>
      <c r="B50" s="1265" t="s">
        <v>546</v>
      </c>
      <c r="C50" s="282">
        <v>0</v>
      </c>
      <c r="D50" s="612"/>
      <c r="E50" s="522"/>
      <c r="F50" s="522"/>
      <c r="G50" s="613">
        <f>+C50</f>
        <v>0</v>
      </c>
      <c r="K50" s="44"/>
      <c r="L50" s="44"/>
      <c r="M50" s="44"/>
      <c r="N50" s="44"/>
    </row>
    <row r="51" spans="1:15" ht="15.75" customHeight="1">
      <c r="A51" s="902">
        <f t="shared" si="2"/>
        <v>6.3699999999999921</v>
      </c>
      <c r="B51" s="1265" t="s">
        <v>1052</v>
      </c>
      <c r="C51" s="282">
        <v>0</v>
      </c>
      <c r="D51" s="612">
        <f>+C51</f>
        <v>0</v>
      </c>
      <c r="E51" s="522"/>
      <c r="F51" s="522"/>
      <c r="G51" s="613"/>
      <c r="K51" s="44"/>
      <c r="L51" s="44"/>
      <c r="M51" s="44"/>
      <c r="N51" s="44"/>
    </row>
    <row r="52" spans="1:15" ht="15.75" customHeight="1">
      <c r="A52" s="902">
        <f>ROUND(+A51+0.01,2)</f>
        <v>6.38</v>
      </c>
      <c r="B52" s="1265" t="s">
        <v>1053</v>
      </c>
      <c r="C52" s="282">
        <v>0</v>
      </c>
      <c r="D52" s="612">
        <f>+C52</f>
        <v>0</v>
      </c>
      <c r="E52" s="522"/>
      <c r="F52" s="522"/>
      <c r="G52" s="613"/>
      <c r="K52" s="44"/>
      <c r="L52" s="44"/>
      <c r="M52" s="44"/>
      <c r="N52" s="44"/>
    </row>
    <row r="53" spans="1:15" ht="15.75" customHeight="1">
      <c r="A53" s="902">
        <f t="shared" si="2"/>
        <v>6.39</v>
      </c>
      <c r="B53" s="1265" t="s">
        <v>1053</v>
      </c>
      <c r="C53" s="282">
        <v>0</v>
      </c>
      <c r="D53" s="612">
        <f>+C53</f>
        <v>0</v>
      </c>
      <c r="E53" s="522"/>
      <c r="F53" s="522"/>
      <c r="G53" s="613"/>
      <c r="K53" s="44"/>
      <c r="L53" s="44"/>
      <c r="M53" s="44"/>
      <c r="N53" s="44"/>
    </row>
    <row r="54" spans="1:15" ht="15.75" customHeight="1">
      <c r="A54" s="1302">
        <f t="shared" si="2"/>
        <v>6.3999999999999995</v>
      </c>
      <c r="B54" s="1349" t="s">
        <v>1272</v>
      </c>
      <c r="C54" s="1347"/>
      <c r="D54" s="562"/>
      <c r="E54" s="1347"/>
      <c r="F54" s="1347"/>
      <c r="G54" s="1350"/>
      <c r="K54" s="44"/>
      <c r="L54" s="44"/>
      <c r="M54" s="44"/>
      <c r="N54" s="44"/>
    </row>
    <row r="55" spans="1:15" ht="15.75" customHeight="1">
      <c r="A55" s="1302" t="s">
        <v>1266</v>
      </c>
      <c r="B55" s="1349" t="s">
        <v>1272</v>
      </c>
      <c r="C55" s="1347"/>
      <c r="D55" s="562"/>
      <c r="E55" s="1347"/>
      <c r="F55" s="1347"/>
      <c r="G55" s="1350"/>
      <c r="K55" s="44"/>
      <c r="L55" s="44"/>
      <c r="M55" s="44"/>
      <c r="N55" s="44"/>
    </row>
    <row r="56" spans="1:15" ht="15.75" customHeight="1">
      <c r="A56" s="1302" t="s">
        <v>1271</v>
      </c>
      <c r="B56" s="1351" t="s">
        <v>1272</v>
      </c>
      <c r="C56" s="1348"/>
      <c r="D56" s="563"/>
      <c r="E56" s="1348"/>
      <c r="F56" s="1348"/>
      <c r="G56" s="1352"/>
      <c r="K56" s="44"/>
      <c r="L56" s="44"/>
      <c r="M56" s="44"/>
      <c r="N56" s="44"/>
    </row>
    <row r="57" spans="1:15" s="813" customFormat="1" ht="15.75" customHeight="1">
      <c r="A57" s="1055">
        <f>+A14+1</f>
        <v>7</v>
      </c>
      <c r="B57" s="1216" t="str">
        <f>+"Total Acct 456  (Sum Ln "&amp;A14&amp;" Subparts)  (3)"</f>
        <v>Total Acct 456  (Sum Ln 6 Subparts)  (3)</v>
      </c>
      <c r="C57" s="1225">
        <f>SUM(C15:C53)</f>
        <v>5547996</v>
      </c>
      <c r="D57" s="1225">
        <f>SUM(D15:D53)</f>
        <v>90073</v>
      </c>
      <c r="E57" s="1225">
        <f>SUM(E15:E53)</f>
        <v>6297746</v>
      </c>
      <c r="F57" s="1225">
        <f>SUM(F15:F53)</f>
        <v>0</v>
      </c>
      <c r="G57" s="1225">
        <f>SUM(G15:G53)</f>
        <v>-839823</v>
      </c>
      <c r="K57" s="44"/>
      <c r="L57" s="43"/>
      <c r="M57" s="43"/>
      <c r="N57" s="43"/>
      <c r="O57" s="43"/>
    </row>
    <row r="58" spans="1:15" s="813" customFormat="1" ht="15.75" customHeight="1" thickBot="1">
      <c r="A58" s="1055">
        <f>+A57+1</f>
        <v>8</v>
      </c>
      <c r="B58" s="1056" t="str">
        <f>+"Total (Sum Ln "&amp;A10&amp;" + Ln"&amp;A57&amp;")"</f>
        <v>Total (Sum Ln 2 + Ln7)</v>
      </c>
      <c r="C58" s="1226">
        <f>+C10+C57</f>
        <v>7190794</v>
      </c>
      <c r="D58" s="1226">
        <f>+D10+D57</f>
        <v>1110535</v>
      </c>
      <c r="E58" s="1226">
        <f>+E10+E57</f>
        <v>6297746</v>
      </c>
      <c r="F58" s="1226">
        <f>+F10+F57</f>
        <v>5995</v>
      </c>
      <c r="G58" s="1226">
        <f>+G10+G57</f>
        <v>-223482</v>
      </c>
      <c r="K58" s="44"/>
      <c r="L58" s="43"/>
      <c r="M58" s="43"/>
      <c r="N58" s="43"/>
      <c r="O58" s="43"/>
    </row>
    <row r="59" spans="1:15" s="813" customFormat="1" ht="15.75" customHeight="1" thickTop="1">
      <c r="A59" s="1056"/>
      <c r="B59" s="901"/>
      <c r="C59" s="901"/>
      <c r="D59" s="901"/>
      <c r="E59" s="901"/>
      <c r="F59" s="901"/>
      <c r="G59" s="901"/>
      <c r="K59" s="44"/>
      <c r="L59" s="43"/>
      <c r="M59" s="43"/>
      <c r="N59" s="43"/>
      <c r="O59" s="43"/>
    </row>
    <row r="60" spans="1:15" s="813" customFormat="1" ht="15.75" customHeight="1">
      <c r="A60" s="1056" t="s">
        <v>592</v>
      </c>
      <c r="C60" s="1167"/>
      <c r="D60" s="1167"/>
      <c r="E60" s="1167"/>
      <c r="F60" s="1167"/>
      <c r="G60" s="1167"/>
      <c r="K60" s="44"/>
      <c r="L60" s="43"/>
      <c r="M60" s="43"/>
      <c r="N60" s="43"/>
      <c r="O60" s="43"/>
    </row>
    <row r="61" spans="1:15" s="813" customFormat="1" ht="15.75" customHeight="1">
      <c r="A61" s="1169" t="s">
        <v>271</v>
      </c>
      <c r="B61" s="1719" t="s">
        <v>1164</v>
      </c>
      <c r="C61" s="1718"/>
      <c r="D61" s="1718"/>
      <c r="E61" s="1718"/>
      <c r="F61" s="1718"/>
      <c r="G61" s="1718"/>
      <c r="H61" s="1432"/>
      <c r="I61" s="1432"/>
      <c r="K61" s="44"/>
      <c r="O61" s="43"/>
    </row>
    <row r="62" spans="1:15" s="813" customFormat="1">
      <c r="A62" s="1170" t="s">
        <v>615</v>
      </c>
      <c r="B62" s="1433" t="s">
        <v>1162</v>
      </c>
      <c r="C62" s="1433"/>
      <c r="D62" s="1433"/>
      <c r="E62" s="1433"/>
      <c r="F62" s="1433"/>
      <c r="G62" s="1433"/>
      <c r="K62" s="44"/>
      <c r="O62" s="43"/>
    </row>
    <row r="63" spans="1:15" s="813" customFormat="1">
      <c r="A63" s="1170" t="s">
        <v>616</v>
      </c>
      <c r="B63" s="1433" t="s">
        <v>1163</v>
      </c>
      <c r="C63" s="1448"/>
      <c r="D63" s="1448"/>
      <c r="E63" s="1448"/>
      <c r="F63" s="1448"/>
      <c r="G63" s="1448"/>
      <c r="K63" s="44"/>
      <c r="O63" s="43"/>
    </row>
    <row r="64" spans="1:15" s="813" customFormat="1" ht="26.45" customHeight="1">
      <c r="A64" s="1170" t="s">
        <v>617</v>
      </c>
      <c r="B64" s="1717" t="str">
        <f>+"Revenues from Schedules associated with Attachment GG and MM should appear in the Rev. Credits category above because they are credited in Appendix A - Revenue Requirement Lines "&amp;'Appendix A'!A282&amp;" &amp; "&amp;'Appendix A'!A283&amp;"."</f>
        <v>Revenues from Schedules associated with Attachment GG and MM should appear in the Rev. Credits category above because they are credited in Appendix A - Revenue Requirement Lines 189 &amp; 190.</v>
      </c>
      <c r="C64" s="1718"/>
      <c r="D64" s="1718"/>
      <c r="E64" s="1718"/>
      <c r="F64" s="1718"/>
      <c r="G64" s="1718"/>
      <c r="H64" s="1434"/>
      <c r="K64" s="44"/>
      <c r="O64" s="43"/>
    </row>
    <row r="65" spans="1:15" s="813" customFormat="1" ht="67.900000000000006" customHeight="1">
      <c r="A65" s="1170" t="s">
        <v>618</v>
      </c>
      <c r="B65" s="1710" t="s">
        <v>1250</v>
      </c>
      <c r="C65" s="1718"/>
      <c r="D65" s="1718"/>
      <c r="E65" s="1718"/>
      <c r="F65" s="1718"/>
      <c r="G65" s="1718"/>
      <c r="H65" s="1431"/>
      <c r="K65" s="44"/>
      <c r="O65" s="43"/>
    </row>
    <row r="66" spans="1:15">
      <c r="A66" s="1533" t="s">
        <v>1010</v>
      </c>
      <c r="B66" s="285" t="s">
        <v>1416</v>
      </c>
      <c r="K66" s="44"/>
    </row>
    <row r="67" spans="1:15">
      <c r="A67" s="732"/>
    </row>
    <row r="68" spans="1:15">
      <c r="A68" s="732"/>
    </row>
    <row r="69" spans="1:15">
      <c r="A69" s="732"/>
    </row>
    <row r="70" spans="1:15">
      <c r="A70" s="732"/>
    </row>
    <row r="71" spans="1:15">
      <c r="A71" s="732"/>
    </row>
    <row r="83" ht="14.45" customHeight="1"/>
  </sheetData>
  <sortState ref="B29:E76">
    <sortCondition ref="B29:B76"/>
  </sortState>
  <mergeCells count="9">
    <mergeCell ref="B64:G64"/>
    <mergeCell ref="B65:G65"/>
    <mergeCell ref="B61:G61"/>
    <mergeCell ref="H41:I41"/>
    <mergeCell ref="A1:I1"/>
    <mergeCell ref="A2:I2"/>
    <mergeCell ref="D13:E13"/>
    <mergeCell ref="D12:G12"/>
    <mergeCell ref="A3:I3"/>
  </mergeCells>
  <phoneticPr fontId="97" type="noConversion"/>
  <printOptions horizontalCentered="1"/>
  <pageMargins left="0.7" right="0.7" top="0.7" bottom="0.7" header="0.3" footer="0.5"/>
  <pageSetup scale="65" orientation="portrait" r:id="rId1"/>
  <headerFooter>
    <oddFooter>&amp;CPage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2"/>
  <sheetViews>
    <sheetView topLeftCell="A16" workbookViewId="0">
      <selection sqref="A1:D1"/>
    </sheetView>
  </sheetViews>
  <sheetFormatPr defaultColWidth="8.85546875" defaultRowHeight="12.75"/>
  <cols>
    <col min="1" max="1" width="7.7109375" style="44" customWidth="1"/>
    <col min="2" max="2" width="47.42578125" style="44" customWidth="1"/>
    <col min="3" max="3" width="16.7109375" style="44" bestFit="1" customWidth="1"/>
    <col min="4" max="4" width="7.7109375" style="44" customWidth="1"/>
    <col min="5" max="16384" width="8.85546875" style="44"/>
  </cols>
  <sheetData>
    <row r="1" spans="1:12">
      <c r="A1" s="1668" t="str">
        <f>+'MISO Cover'!C6</f>
        <v>Entergy New Orleans, Inc.</v>
      </c>
      <c r="B1" s="1668"/>
      <c r="C1" s="1668"/>
      <c r="D1" s="1668"/>
    </row>
    <row r="2" spans="1:12">
      <c r="A2" s="1703" t="s">
        <v>963</v>
      </c>
      <c r="B2" s="1703"/>
      <c r="C2" s="1703"/>
      <c r="D2" s="1703"/>
    </row>
    <row r="3" spans="1:12">
      <c r="A3" s="1725" t="str">
        <f>+'MISO Cover'!K4</f>
        <v>For  the 12 Months Ended 12/31/2014</v>
      </c>
      <c r="B3" s="1725"/>
      <c r="C3" s="1725"/>
      <c r="D3" s="1725"/>
      <c r="E3" s="820"/>
      <c r="F3" s="820"/>
      <c r="G3" s="820"/>
      <c r="H3" s="820"/>
      <c r="I3" s="820"/>
      <c r="J3" s="820"/>
      <c r="K3" s="820"/>
      <c r="L3" s="820"/>
    </row>
    <row r="4" spans="1:12">
      <c r="A4" s="43"/>
      <c r="B4" s="565"/>
      <c r="C4" s="565"/>
      <c r="D4" s="565"/>
      <c r="E4" s="43"/>
    </row>
    <row r="5" spans="1:12">
      <c r="A5" s="768" t="s">
        <v>525</v>
      </c>
      <c r="B5" s="652" t="s">
        <v>167</v>
      </c>
      <c r="C5" s="652" t="s">
        <v>215</v>
      </c>
      <c r="D5" s="565"/>
    </row>
    <row r="6" spans="1:12">
      <c r="A6" s="768"/>
      <c r="D6" s="565"/>
    </row>
    <row r="7" spans="1:12">
      <c r="A7" s="207">
        <v>1</v>
      </c>
      <c r="B7" s="493" t="s">
        <v>474</v>
      </c>
      <c r="C7" s="493" t="s">
        <v>932</v>
      </c>
      <c r="D7" s="565"/>
    </row>
    <row r="8" spans="1:12" ht="15">
      <c r="A8" s="207">
        <f>+A7+1</f>
        <v>2</v>
      </c>
      <c r="B8" s="821" t="s">
        <v>273</v>
      </c>
      <c r="C8" s="822"/>
      <c r="D8" s="565"/>
    </row>
    <row r="9" spans="1:12">
      <c r="A9" s="207">
        <f>+A8+0.01</f>
        <v>2.0099999999999998</v>
      </c>
      <c r="B9" s="44" t="s">
        <v>447</v>
      </c>
      <c r="C9" s="1515">
        <v>0</v>
      </c>
      <c r="D9" s="565"/>
    </row>
    <row r="10" spans="1:12">
      <c r="A10" s="207">
        <f t="shared" ref="A10:A22" si="0">+A9+0.01</f>
        <v>2.0199999999999996</v>
      </c>
      <c r="B10" s="44" t="s">
        <v>448</v>
      </c>
      <c r="C10" s="1438">
        <v>3.8600000000000002E-2</v>
      </c>
      <c r="D10" s="565"/>
    </row>
    <row r="11" spans="1:12">
      <c r="A11" s="207">
        <f t="shared" si="0"/>
        <v>2.0299999999999994</v>
      </c>
      <c r="B11" s="44" t="s">
        <v>449</v>
      </c>
      <c r="C11" s="1438">
        <v>3.8600000000000002E-2</v>
      </c>
      <c r="D11" s="565"/>
    </row>
    <row r="12" spans="1:12">
      <c r="A12" s="207">
        <f t="shared" si="0"/>
        <v>2.0399999999999991</v>
      </c>
      <c r="B12" s="44" t="s">
        <v>450</v>
      </c>
      <c r="C12" s="1438">
        <v>3.8600000000000002E-2</v>
      </c>
      <c r="D12" s="565"/>
    </row>
    <row r="13" spans="1:12">
      <c r="A13" s="207">
        <f t="shared" si="0"/>
        <v>2.0499999999999989</v>
      </c>
      <c r="B13" s="44" t="s">
        <v>451</v>
      </c>
      <c r="C13" s="1438">
        <v>3.8600000000000002E-2</v>
      </c>
      <c r="D13" s="565"/>
    </row>
    <row r="14" spans="1:12">
      <c r="A14" s="207">
        <f t="shared" si="0"/>
        <v>2.0599999999999987</v>
      </c>
      <c r="B14" s="44" t="s">
        <v>452</v>
      </c>
      <c r="C14" s="1438">
        <v>3.8600000000000002E-2</v>
      </c>
      <c r="D14" s="565"/>
    </row>
    <row r="15" spans="1:12">
      <c r="A15" s="207">
        <f t="shared" si="0"/>
        <v>2.0699999999999985</v>
      </c>
      <c r="B15" s="44" t="s">
        <v>453</v>
      </c>
      <c r="C15" s="1438">
        <v>3.8600000000000002E-2</v>
      </c>
      <c r="D15" s="565"/>
    </row>
    <row r="16" spans="1:12">
      <c r="A16" s="207">
        <f t="shared" si="0"/>
        <v>2.0799999999999983</v>
      </c>
      <c r="B16" s="44" t="s">
        <v>454</v>
      </c>
      <c r="C16" s="1438">
        <v>3.8600000000000002E-2</v>
      </c>
      <c r="D16" s="565"/>
    </row>
    <row r="17" spans="1:4">
      <c r="A17" s="207">
        <f t="shared" si="0"/>
        <v>2.0899999999999981</v>
      </c>
      <c r="B17" s="44" t="s">
        <v>455</v>
      </c>
      <c r="C17" s="1438">
        <v>3.8600000000000002E-2</v>
      </c>
      <c r="D17" s="565"/>
    </row>
    <row r="18" spans="1:4">
      <c r="A18" s="902">
        <f t="shared" si="0"/>
        <v>2.0999999999999979</v>
      </c>
      <c r="B18" s="44" t="s">
        <v>456</v>
      </c>
      <c r="C18" s="1438">
        <v>3.8600000000000002E-2</v>
      </c>
      <c r="D18" s="565"/>
    </row>
    <row r="19" spans="1:4">
      <c r="A19" s="207">
        <f t="shared" si="0"/>
        <v>2.1099999999999977</v>
      </c>
      <c r="B19" s="44" t="s">
        <v>457</v>
      </c>
      <c r="C19" s="1438">
        <v>3.8600000000000002E-2</v>
      </c>
      <c r="D19" s="565"/>
    </row>
    <row r="20" spans="1:4">
      <c r="A20" s="207">
        <f t="shared" si="0"/>
        <v>2.1199999999999974</v>
      </c>
      <c r="B20" s="44" t="s">
        <v>458</v>
      </c>
      <c r="C20" s="1438">
        <v>3.8600000000000002E-2</v>
      </c>
      <c r="D20" s="565"/>
    </row>
    <row r="21" spans="1:4">
      <c r="A21" s="207">
        <f t="shared" si="0"/>
        <v>2.1299999999999972</v>
      </c>
      <c r="B21" s="44" t="s">
        <v>459</v>
      </c>
      <c r="C21" s="1438">
        <v>3.8600000000000002E-2</v>
      </c>
      <c r="D21" s="565"/>
    </row>
    <row r="22" spans="1:4">
      <c r="A22" s="207">
        <f t="shared" si="0"/>
        <v>2.139999999999997</v>
      </c>
      <c r="B22" s="44" t="s">
        <v>460</v>
      </c>
      <c r="C22" s="1438">
        <v>3.8600000000000002E-2</v>
      </c>
      <c r="D22" s="565"/>
    </row>
    <row r="23" spans="1:4">
      <c r="A23" s="207">
        <f>+A8+1</f>
        <v>3</v>
      </c>
      <c r="C23" s="1438"/>
      <c r="D23" s="565"/>
    </row>
    <row r="24" spans="1:4" ht="15">
      <c r="A24" s="207">
        <f>+A23+1</f>
        <v>4</v>
      </c>
      <c r="B24" s="821" t="s">
        <v>789</v>
      </c>
      <c r="C24" s="823"/>
      <c r="D24" s="565"/>
    </row>
    <row r="25" spans="1:4">
      <c r="A25" s="207">
        <f>+A24+0.01</f>
        <v>4.01</v>
      </c>
      <c r="B25" s="43" t="s">
        <v>514</v>
      </c>
      <c r="C25" s="1439">
        <v>6.6699999999999995E-2</v>
      </c>
      <c r="D25" s="565"/>
    </row>
    <row r="26" spans="1:4">
      <c r="A26" s="207">
        <f t="shared" ref="A26:A32" si="1">+A25+0.01</f>
        <v>4.0199999999999996</v>
      </c>
      <c r="B26" s="43" t="s">
        <v>515</v>
      </c>
      <c r="C26" s="1439">
        <v>0</v>
      </c>
      <c r="D26" s="565"/>
    </row>
    <row r="27" spans="1:4">
      <c r="A27" s="207">
        <f t="shared" si="1"/>
        <v>4.0299999999999994</v>
      </c>
      <c r="B27" s="43" t="s">
        <v>516</v>
      </c>
      <c r="C27" s="1439">
        <v>0</v>
      </c>
      <c r="D27" s="565"/>
    </row>
    <row r="28" spans="1:4">
      <c r="A28" s="207">
        <f t="shared" si="1"/>
        <v>4.0399999999999991</v>
      </c>
      <c r="B28" s="43" t="s">
        <v>517</v>
      </c>
      <c r="C28" s="1439">
        <v>0</v>
      </c>
      <c r="D28" s="565"/>
    </row>
    <row r="29" spans="1:4">
      <c r="A29" s="207">
        <f t="shared" si="1"/>
        <v>4.0499999999999989</v>
      </c>
      <c r="B29" s="43" t="s">
        <v>518</v>
      </c>
      <c r="C29" s="1439">
        <v>0.2</v>
      </c>
      <c r="D29" s="565"/>
    </row>
    <row r="30" spans="1:4">
      <c r="A30" s="207">
        <f t="shared" si="1"/>
        <v>4.0599999999999987</v>
      </c>
      <c r="B30" s="43" t="s">
        <v>519</v>
      </c>
      <c r="C30" s="1439">
        <v>0.1</v>
      </c>
      <c r="D30" s="565"/>
    </row>
    <row r="31" spans="1:4">
      <c r="A31" s="207">
        <f t="shared" si="1"/>
        <v>4.0699999999999985</v>
      </c>
      <c r="B31" s="43" t="s">
        <v>520</v>
      </c>
      <c r="C31" s="1439">
        <v>3.3300000000000003E-2</v>
      </c>
      <c r="D31" s="565"/>
    </row>
    <row r="32" spans="1:4">
      <c r="A32" s="207">
        <f t="shared" si="1"/>
        <v>4.0799999999999983</v>
      </c>
      <c r="B32" s="43" t="s">
        <v>521</v>
      </c>
      <c r="C32" s="1439">
        <v>0.02</v>
      </c>
      <c r="D32" s="565"/>
    </row>
    <row r="33" spans="1:4">
      <c r="A33" s="207">
        <f>+A24+1</f>
        <v>5</v>
      </c>
      <c r="B33" s="565"/>
      <c r="C33" s="1440"/>
      <c r="D33" s="565"/>
    </row>
    <row r="34" spans="1:4" ht="15">
      <c r="A34" s="207">
        <f>+A33+1</f>
        <v>6</v>
      </c>
      <c r="B34" s="821" t="s">
        <v>237</v>
      </c>
      <c r="C34" s="1441"/>
      <c r="D34" s="565"/>
    </row>
    <row r="35" spans="1:4">
      <c r="A35" s="207">
        <f>+A34+0.01</f>
        <v>6.01</v>
      </c>
      <c r="B35" s="44" t="s">
        <v>461</v>
      </c>
      <c r="C35" s="1515">
        <v>0</v>
      </c>
      <c r="D35" s="565"/>
    </row>
    <row r="36" spans="1:4">
      <c r="A36" s="207">
        <f t="shared" ref="A36:A47" si="2">+A35+0.01</f>
        <v>6.02</v>
      </c>
      <c r="B36" s="44" t="s">
        <v>462</v>
      </c>
      <c r="C36" s="1438">
        <v>2.93E-2</v>
      </c>
      <c r="D36" s="565"/>
    </row>
    <row r="37" spans="1:4">
      <c r="A37" s="207">
        <f t="shared" si="2"/>
        <v>6.0299999999999994</v>
      </c>
      <c r="B37" s="44" t="s">
        <v>463</v>
      </c>
      <c r="C37" s="1438">
        <v>2.93E-2</v>
      </c>
      <c r="D37" s="565"/>
    </row>
    <row r="38" spans="1:4">
      <c r="A38" s="207">
        <f t="shared" si="2"/>
        <v>6.0399999999999991</v>
      </c>
      <c r="B38" s="44" t="s">
        <v>464</v>
      </c>
      <c r="C38" s="1438">
        <v>2.93E-2</v>
      </c>
      <c r="D38" s="565"/>
    </row>
    <row r="39" spans="1:4">
      <c r="A39" s="207">
        <f t="shared" si="2"/>
        <v>6.0499999999999989</v>
      </c>
      <c r="B39" s="44" t="s">
        <v>465</v>
      </c>
      <c r="C39" s="1438">
        <v>2.93E-2</v>
      </c>
      <c r="D39" s="565"/>
    </row>
    <row r="40" spans="1:4">
      <c r="A40" s="207">
        <f t="shared" si="2"/>
        <v>6.0599999999999987</v>
      </c>
      <c r="B40" s="44" t="s">
        <v>466</v>
      </c>
      <c r="C40" s="1438">
        <v>2.93E-2</v>
      </c>
      <c r="D40" s="565"/>
    </row>
    <row r="41" spans="1:4">
      <c r="A41" s="207">
        <f t="shared" si="2"/>
        <v>6.0699999999999985</v>
      </c>
      <c r="B41" s="44" t="s">
        <v>467</v>
      </c>
      <c r="C41" s="1438">
        <v>2.93E-2</v>
      </c>
      <c r="D41" s="565"/>
    </row>
    <row r="42" spans="1:4">
      <c r="A42" s="207">
        <f t="shared" si="2"/>
        <v>6.0799999999999983</v>
      </c>
      <c r="B42" s="44" t="s">
        <v>468</v>
      </c>
      <c r="C42" s="1438">
        <v>2.93E-2</v>
      </c>
      <c r="D42" s="565"/>
    </row>
    <row r="43" spans="1:4">
      <c r="A43" s="207">
        <f t="shared" si="2"/>
        <v>6.0899999999999981</v>
      </c>
      <c r="B43" s="44" t="s">
        <v>469</v>
      </c>
      <c r="C43" s="1438">
        <v>2.93E-2</v>
      </c>
      <c r="D43" s="565"/>
    </row>
    <row r="44" spans="1:4">
      <c r="A44" s="902">
        <f t="shared" si="2"/>
        <v>6.0999999999999979</v>
      </c>
      <c r="B44" s="44" t="s">
        <v>470</v>
      </c>
      <c r="C44" s="1438">
        <v>2.93E-2</v>
      </c>
      <c r="D44" s="565"/>
    </row>
    <row r="45" spans="1:4">
      <c r="A45" s="207">
        <f t="shared" si="2"/>
        <v>6.1099999999999977</v>
      </c>
      <c r="B45" s="44" t="s">
        <v>471</v>
      </c>
      <c r="C45" s="1438">
        <v>2.93E-2</v>
      </c>
      <c r="D45" s="565"/>
    </row>
    <row r="46" spans="1:4">
      <c r="A46" s="207">
        <f t="shared" si="2"/>
        <v>6.1199999999999974</v>
      </c>
      <c r="B46" s="44" t="s">
        <v>472</v>
      </c>
      <c r="C46" s="1438">
        <v>2.93E-2</v>
      </c>
      <c r="D46" s="43"/>
    </row>
    <row r="47" spans="1:4">
      <c r="A47" s="207">
        <f t="shared" si="2"/>
        <v>6.1299999999999972</v>
      </c>
      <c r="B47" s="44" t="s">
        <v>473</v>
      </c>
      <c r="C47" s="1438">
        <v>2.93E-2</v>
      </c>
      <c r="D47" s="43"/>
    </row>
    <row r="48" spans="1:4">
      <c r="A48" s="860"/>
      <c r="B48" s="43"/>
      <c r="C48" s="43"/>
      <c r="D48" s="43"/>
    </row>
    <row r="49" spans="1:4">
      <c r="A49" s="43" t="s">
        <v>592</v>
      </c>
      <c r="C49" s="43"/>
      <c r="D49" s="43"/>
    </row>
    <row r="50" spans="1:4" ht="54" customHeight="1">
      <c r="A50" s="903" t="s">
        <v>271</v>
      </c>
      <c r="B50" s="1654" t="s">
        <v>869</v>
      </c>
      <c r="C50" s="1654"/>
      <c r="D50" s="1654"/>
    </row>
    <row r="51" spans="1:4">
      <c r="A51" s="903" t="s">
        <v>615</v>
      </c>
      <c r="B51" s="45" t="s">
        <v>868</v>
      </c>
      <c r="C51" s="43"/>
      <c r="D51" s="43"/>
    </row>
    <row r="52" spans="1:4">
      <c r="A52" s="768"/>
    </row>
  </sheetData>
  <mergeCells count="4">
    <mergeCell ref="B50:D50"/>
    <mergeCell ref="A1:D1"/>
    <mergeCell ref="A3:D3"/>
    <mergeCell ref="A2:D2"/>
  </mergeCells>
  <printOptions horizontalCentered="1"/>
  <pageMargins left="0.7" right="0.7" top="0.7" bottom="0.7" header="0.3" footer="0.5"/>
  <pageSetup orientation="portrait" r:id="rId1"/>
  <headerFooter>
    <oddFooter>&amp;CPage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7"/>
  <sheetViews>
    <sheetView zoomScale="80" zoomScaleNormal="80" workbookViewId="0">
      <selection sqref="A1:P1"/>
    </sheetView>
  </sheetViews>
  <sheetFormatPr defaultColWidth="9.140625" defaultRowHeight="12.75"/>
  <cols>
    <col min="1" max="1" width="5.7109375" style="826" bestFit="1" customWidth="1"/>
    <col min="2" max="2" width="28.5703125" style="526" customWidth="1"/>
    <col min="3" max="9" width="10.42578125" style="526" bestFit="1" customWidth="1"/>
    <col min="10" max="14" width="11.42578125" style="526" bestFit="1" customWidth="1"/>
    <col min="15" max="15" width="10.7109375" style="526" customWidth="1"/>
    <col min="16" max="16" width="18.7109375" style="824" customWidth="1"/>
    <col min="17" max="17" width="9.28515625" style="526" bestFit="1" customWidth="1"/>
    <col min="18" max="18" width="13" style="526" bestFit="1" customWidth="1"/>
    <col min="19" max="16384" width="9.140625" style="526"/>
  </cols>
  <sheetData>
    <row r="1" spans="1:18">
      <c r="A1" s="1726" t="str">
        <f>+'MISO Cover'!C6</f>
        <v>Entergy New Orleans, Inc.</v>
      </c>
      <c r="B1" s="1726"/>
      <c r="C1" s="1726"/>
      <c r="D1" s="1726"/>
      <c r="E1" s="1726"/>
      <c r="F1" s="1726"/>
      <c r="G1" s="1726"/>
      <c r="H1" s="1726"/>
      <c r="I1" s="1726"/>
      <c r="J1" s="1726"/>
      <c r="K1" s="1726"/>
      <c r="L1" s="1726"/>
      <c r="M1" s="1726"/>
      <c r="N1" s="1726"/>
      <c r="O1" s="1726"/>
      <c r="P1" s="1726"/>
    </row>
    <row r="2" spans="1:18">
      <c r="A2" s="1672" t="s">
        <v>1213</v>
      </c>
      <c r="B2" s="1672"/>
      <c r="C2" s="1672"/>
      <c r="D2" s="1672"/>
      <c r="E2" s="1672"/>
      <c r="F2" s="1672"/>
      <c r="G2" s="1672"/>
      <c r="H2" s="1672"/>
      <c r="I2" s="1672"/>
      <c r="J2" s="1672"/>
      <c r="K2" s="1672"/>
      <c r="L2" s="1672"/>
      <c r="M2" s="1672"/>
      <c r="N2" s="1672"/>
      <c r="O2" s="1672"/>
      <c r="P2" s="1672"/>
    </row>
    <row r="3" spans="1:18">
      <c r="A3" s="1673" t="str">
        <f>+'MISO Cover'!K4</f>
        <v>For  the 12 Months Ended 12/31/2014</v>
      </c>
      <c r="B3" s="1673"/>
      <c r="C3" s="1673"/>
      <c r="D3" s="1673"/>
      <c r="E3" s="1673"/>
      <c r="F3" s="1673"/>
      <c r="G3" s="1673"/>
      <c r="H3" s="1673"/>
      <c r="I3" s="1673"/>
      <c r="J3" s="1673"/>
      <c r="K3" s="1673"/>
      <c r="L3" s="1673"/>
      <c r="M3" s="1673"/>
      <c r="N3" s="1673"/>
      <c r="O3" s="1673"/>
      <c r="P3" s="1673"/>
      <c r="Q3" s="179"/>
      <c r="R3" s="179"/>
    </row>
    <row r="4" spans="1:18">
      <c r="B4" s="772"/>
      <c r="C4" s="772"/>
      <c r="D4" s="772"/>
      <c r="E4" s="772"/>
      <c r="F4" s="772"/>
      <c r="G4" s="772"/>
      <c r="H4" s="772"/>
      <c r="I4" s="772"/>
      <c r="J4" s="772"/>
      <c r="K4" s="772"/>
      <c r="L4" s="772"/>
      <c r="M4" s="772"/>
      <c r="N4" s="772"/>
      <c r="O4" s="772"/>
      <c r="P4" s="825"/>
      <c r="Q4" s="179"/>
      <c r="R4" s="179"/>
    </row>
    <row r="5" spans="1:18" s="1487" customFormat="1">
      <c r="A5" s="826" t="s">
        <v>225</v>
      </c>
      <c r="B5" s="1499"/>
      <c r="C5" s="1485"/>
      <c r="D5" s="1485"/>
      <c r="E5" s="1485"/>
      <c r="F5" s="1485"/>
      <c r="G5" s="1485"/>
      <c r="H5" s="1485"/>
      <c r="I5" s="1485"/>
      <c r="J5" s="1485"/>
      <c r="K5" s="1485"/>
      <c r="L5" s="1485"/>
      <c r="M5" s="1485"/>
      <c r="N5" s="1485"/>
      <c r="O5" s="1485"/>
      <c r="P5" s="1484"/>
      <c r="Q5" s="1486"/>
      <c r="R5" s="1486"/>
    </row>
    <row r="6" spans="1:18" s="1487" customFormat="1">
      <c r="A6" s="1516" t="s">
        <v>271</v>
      </c>
      <c r="B6" s="1517" t="s">
        <v>1417</v>
      </c>
      <c r="C6" s="1485"/>
      <c r="D6" s="1485"/>
      <c r="E6" s="1485"/>
      <c r="F6" s="1485"/>
      <c r="G6" s="1485"/>
      <c r="H6" s="1485"/>
      <c r="I6" s="1485"/>
      <c r="J6" s="1485"/>
      <c r="K6" s="1485"/>
      <c r="L6" s="1485"/>
      <c r="M6" s="1485"/>
      <c r="N6" s="1485"/>
      <c r="O6" s="1485"/>
      <c r="P6" s="1484"/>
      <c r="Q6" s="1486"/>
      <c r="R6" s="1486"/>
    </row>
    <row r="7" spans="1:18" s="1487" customFormat="1">
      <c r="A7" s="1488"/>
      <c r="B7" s="1489"/>
      <c r="C7" s="1485"/>
      <c r="D7" s="1485"/>
      <c r="E7" s="1485"/>
      <c r="F7" s="1485"/>
      <c r="G7" s="1485"/>
      <c r="H7" s="1485"/>
      <c r="I7" s="1485"/>
      <c r="J7" s="1485"/>
      <c r="K7" s="1485"/>
      <c r="L7" s="1485"/>
      <c r="M7" s="1485"/>
      <c r="N7" s="1485"/>
      <c r="O7" s="1485"/>
      <c r="P7" s="1484"/>
      <c r="Q7" s="1486"/>
      <c r="R7" s="1486"/>
    </row>
  </sheetData>
  <mergeCells count="3">
    <mergeCell ref="A1:P1"/>
    <mergeCell ref="A2:P2"/>
    <mergeCell ref="A3:P3"/>
  </mergeCells>
  <printOptions horizontalCentered="1"/>
  <pageMargins left="0.5" right="0.5" top="0.5" bottom="0.75" header="0.3" footer="0.5"/>
  <pageSetup scale="67" orientation="landscape" r:id="rId1"/>
  <headerFooter>
    <oddFooter>&amp;CPage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30"/>
  <sheetViews>
    <sheetView zoomScale="90" zoomScaleNormal="90" workbookViewId="0">
      <selection activeCell="D41" sqref="D41"/>
    </sheetView>
  </sheetViews>
  <sheetFormatPr defaultColWidth="9.140625" defaultRowHeight="12.75"/>
  <cols>
    <col min="1" max="1" width="5.85546875" style="835" customWidth="1"/>
    <col min="2" max="2" width="7.7109375" style="828" bestFit="1" customWidth="1"/>
    <col min="3" max="3" width="29.42578125" style="828" bestFit="1" customWidth="1"/>
    <col min="4" max="16" width="12.7109375" style="828" customWidth="1"/>
    <col min="17" max="17" width="12.85546875" style="828" bestFit="1" customWidth="1"/>
    <col min="18" max="19" width="6.85546875" style="828" customWidth="1"/>
    <col min="20" max="20" width="23.28515625" style="828" bestFit="1" customWidth="1"/>
    <col min="21" max="21" width="27.42578125" style="828" bestFit="1" customWidth="1"/>
    <col min="22" max="22" width="23.28515625" style="828" bestFit="1" customWidth="1"/>
    <col min="23" max="23" width="27.42578125" style="828" bestFit="1" customWidth="1"/>
    <col min="24" max="24" width="23.28515625" style="828" bestFit="1" customWidth="1"/>
    <col min="25" max="25" width="27.42578125" style="828" bestFit="1" customWidth="1"/>
    <col min="26" max="26" width="23.28515625" style="828" bestFit="1" customWidth="1"/>
    <col min="27" max="27" width="32.7109375" style="828" bestFit="1" customWidth="1"/>
    <col min="28" max="28" width="28.5703125" style="828" bestFit="1" customWidth="1"/>
    <col min="29" max="29" width="32.7109375" style="828" bestFit="1" customWidth="1"/>
    <col min="30" max="30" width="28.5703125" style="828" bestFit="1" customWidth="1"/>
    <col min="31" max="16384" width="9.140625" style="828"/>
  </cols>
  <sheetData>
    <row r="1" spans="1:18" s="44" customFormat="1">
      <c r="A1" s="1660" t="str">
        <f>+'MISO Cover'!C6</f>
        <v>Entergy New Orleans, Inc.</v>
      </c>
      <c r="B1" s="1660"/>
      <c r="C1" s="1660"/>
      <c r="D1" s="1660"/>
      <c r="E1" s="1660"/>
      <c r="F1" s="1660"/>
      <c r="G1" s="1660"/>
      <c r="H1" s="1660"/>
      <c r="I1" s="1660"/>
      <c r="J1" s="1660"/>
      <c r="K1" s="1660"/>
      <c r="L1" s="1660"/>
      <c r="M1" s="1660"/>
      <c r="N1" s="1660"/>
      <c r="O1" s="1660"/>
      <c r="P1" s="1660"/>
      <c r="Q1" s="1660"/>
    </row>
    <row r="2" spans="1:18" s="44" customFormat="1">
      <c r="A2" s="1652" t="s">
        <v>1176</v>
      </c>
      <c r="B2" s="1652"/>
      <c r="C2" s="1652"/>
      <c r="D2" s="1652"/>
      <c r="E2" s="1652"/>
      <c r="F2" s="1652"/>
      <c r="G2" s="1652"/>
      <c r="H2" s="1652"/>
      <c r="I2" s="1652"/>
      <c r="J2" s="1652"/>
      <c r="K2" s="1652"/>
      <c r="L2" s="1652"/>
      <c r="M2" s="1652"/>
      <c r="N2" s="1652"/>
      <c r="O2" s="1652"/>
      <c r="P2" s="1652"/>
      <c r="Q2" s="1652"/>
    </row>
    <row r="3" spans="1:18" s="44" customFormat="1">
      <c r="A3" s="1660" t="str">
        <f>+'MISO Cover'!K4</f>
        <v>For  the 12 Months Ended 12/31/2014</v>
      </c>
      <c r="B3" s="1660"/>
      <c r="C3" s="1660"/>
      <c r="D3" s="1660"/>
      <c r="E3" s="1660"/>
      <c r="F3" s="1660"/>
      <c r="G3" s="1660"/>
      <c r="H3" s="1660"/>
      <c r="I3" s="1660"/>
      <c r="J3" s="1660"/>
      <c r="K3" s="1660"/>
      <c r="L3" s="1660"/>
      <c r="M3" s="1660"/>
      <c r="N3" s="1660"/>
      <c r="O3" s="1660"/>
      <c r="P3" s="1660"/>
      <c r="Q3" s="1660"/>
    </row>
    <row r="4" spans="1:18" s="44" customFormat="1">
      <c r="A4" s="771"/>
      <c r="B4" s="771"/>
      <c r="C4" s="771"/>
      <c r="D4" s="771"/>
      <c r="E4" s="771"/>
      <c r="F4" s="771"/>
      <c r="G4" s="771"/>
      <c r="H4" s="771"/>
      <c r="I4" s="771"/>
      <c r="J4" s="771"/>
      <c r="K4" s="771"/>
      <c r="L4" s="771"/>
      <c r="M4" s="771"/>
      <c r="N4" s="771"/>
      <c r="O4" s="771"/>
      <c r="P4" s="771"/>
      <c r="Q4" s="771"/>
    </row>
    <row r="5" spans="1:18" s="771" customFormat="1">
      <c r="A5" s="771" t="s">
        <v>525</v>
      </c>
      <c r="B5" s="771" t="s">
        <v>167</v>
      </c>
      <c r="C5" s="771" t="s">
        <v>215</v>
      </c>
      <c r="D5" s="771" t="s">
        <v>155</v>
      </c>
      <c r="E5" s="771" t="s">
        <v>168</v>
      </c>
      <c r="F5" s="771" t="s">
        <v>166</v>
      </c>
      <c r="G5" s="771" t="s">
        <v>257</v>
      </c>
      <c r="H5" s="771" t="s">
        <v>169</v>
      </c>
      <c r="I5" s="771" t="s">
        <v>270</v>
      </c>
      <c r="J5" s="771" t="s">
        <v>159</v>
      </c>
      <c r="K5" s="771" t="s">
        <v>733</v>
      </c>
      <c r="L5" s="771" t="s">
        <v>171</v>
      </c>
      <c r="M5" s="771" t="s">
        <v>199</v>
      </c>
      <c r="N5" s="771" t="s">
        <v>200</v>
      </c>
      <c r="O5" s="771" t="s">
        <v>258</v>
      </c>
      <c r="P5" s="771" t="s">
        <v>439</v>
      </c>
      <c r="Q5" s="771" t="s">
        <v>440</v>
      </c>
    </row>
    <row r="6" spans="1:18" s="44" customFormat="1">
      <c r="A6" s="904">
        <v>1</v>
      </c>
      <c r="B6" s="188"/>
      <c r="C6" s="188"/>
      <c r="D6" s="188"/>
      <c r="E6" s="188"/>
      <c r="F6" s="188"/>
      <c r="G6" s="188"/>
      <c r="H6" s="188"/>
      <c r="I6" s="188"/>
      <c r="J6" s="188"/>
      <c r="K6" s="188"/>
      <c r="L6" s="188"/>
      <c r="M6" s="188"/>
      <c r="N6" s="188"/>
      <c r="O6" s="188"/>
      <c r="P6" s="188"/>
      <c r="Q6" s="1727" t="s">
        <v>908</v>
      </c>
    </row>
    <row r="7" spans="1:18">
      <c r="A7" s="905">
        <f>1+A6</f>
        <v>2</v>
      </c>
      <c r="B7" s="1507" t="s">
        <v>276</v>
      </c>
      <c r="C7" s="1554" t="s">
        <v>498</v>
      </c>
      <c r="D7" s="1508" t="s">
        <v>137</v>
      </c>
      <c r="E7" s="1508" t="s">
        <v>127</v>
      </c>
      <c r="F7" s="1508" t="s">
        <v>128</v>
      </c>
      <c r="G7" s="1508" t="s">
        <v>129</v>
      </c>
      <c r="H7" s="1508" t="s">
        <v>130</v>
      </c>
      <c r="I7" s="1508" t="s">
        <v>126</v>
      </c>
      <c r="J7" s="1508" t="s">
        <v>131</v>
      </c>
      <c r="K7" s="1508" t="s">
        <v>132</v>
      </c>
      <c r="L7" s="1508" t="s">
        <v>133</v>
      </c>
      <c r="M7" s="1508" t="s">
        <v>134</v>
      </c>
      <c r="N7" s="1508" t="s">
        <v>135</v>
      </c>
      <c r="O7" s="1508" t="s">
        <v>136</v>
      </c>
      <c r="P7" s="1508" t="s">
        <v>137</v>
      </c>
      <c r="Q7" s="1728"/>
    </row>
    <row r="8" spans="1:18">
      <c r="A8" s="906">
        <f>+A7+0.01</f>
        <v>2.0099999999999998</v>
      </c>
      <c r="B8" s="1292" t="s">
        <v>509</v>
      </c>
      <c r="C8" s="180" t="s">
        <v>437</v>
      </c>
      <c r="D8" s="1363">
        <v>374858.11</v>
      </c>
      <c r="E8" s="1363">
        <v>379427.26</v>
      </c>
      <c r="F8" s="1363">
        <v>1671823.65</v>
      </c>
      <c r="G8" s="1363">
        <v>2291813.48</v>
      </c>
      <c r="H8" s="1363">
        <v>1579496.02</v>
      </c>
      <c r="I8" s="1363">
        <v>1729840.46</v>
      </c>
      <c r="J8" s="1363">
        <v>1737697.32</v>
      </c>
      <c r="K8" s="1363">
        <v>1767424.83</v>
      </c>
      <c r="L8" s="1363">
        <v>1788387.12</v>
      </c>
      <c r="M8" s="1363">
        <v>1814172.66</v>
      </c>
      <c r="N8" s="1363">
        <v>1846825.83</v>
      </c>
      <c r="O8" s="1363">
        <v>1857409.89</v>
      </c>
      <c r="P8" s="1363">
        <v>869531.15</v>
      </c>
      <c r="Q8" s="829">
        <f t="shared" ref="Q8:Q24" si="0">SUM(D8:P8)/13</f>
        <v>1516054.4446153848</v>
      </c>
      <c r="R8" s="830"/>
    </row>
    <row r="9" spans="1:18">
      <c r="A9" s="906">
        <f>+A8+0.01</f>
        <v>2.0199999999999996</v>
      </c>
      <c r="B9" s="1292" t="s">
        <v>508</v>
      </c>
      <c r="C9" s="180" t="s">
        <v>438</v>
      </c>
      <c r="D9" s="1363">
        <v>0</v>
      </c>
      <c r="E9" s="1363">
        <v>0</v>
      </c>
      <c r="F9" s="1363">
        <v>0</v>
      </c>
      <c r="G9" s="1363">
        <v>0</v>
      </c>
      <c r="H9" s="1363">
        <v>0</v>
      </c>
      <c r="I9" s="1363">
        <v>0</v>
      </c>
      <c r="J9" s="1363">
        <v>0</v>
      </c>
      <c r="K9" s="1363">
        <v>0</v>
      </c>
      <c r="L9" s="1363">
        <v>0</v>
      </c>
      <c r="M9" s="1363">
        <v>0</v>
      </c>
      <c r="N9" s="1363">
        <v>0</v>
      </c>
      <c r="O9" s="1363">
        <v>0</v>
      </c>
      <c r="P9" s="1363">
        <v>0</v>
      </c>
      <c r="Q9" s="829">
        <f t="shared" si="0"/>
        <v>0</v>
      </c>
      <c r="R9" s="830"/>
    </row>
    <row r="10" spans="1:18">
      <c r="A10" s="1518">
        <f>+A9+0.01</f>
        <v>2.0299999999999994</v>
      </c>
      <c r="B10" s="1292" t="s">
        <v>507</v>
      </c>
      <c r="C10" s="180" t="s">
        <v>510</v>
      </c>
      <c r="D10" s="1363">
        <v>0</v>
      </c>
      <c r="E10" s="1363">
        <v>0</v>
      </c>
      <c r="F10" s="1363">
        <v>0</v>
      </c>
      <c r="G10" s="1363">
        <v>0</v>
      </c>
      <c r="H10" s="1363">
        <v>0</v>
      </c>
      <c r="I10" s="1363">
        <v>0</v>
      </c>
      <c r="J10" s="1363">
        <v>0</v>
      </c>
      <c r="K10" s="1363">
        <v>0</v>
      </c>
      <c r="L10" s="1363">
        <v>0</v>
      </c>
      <c r="M10" s="1363">
        <v>0</v>
      </c>
      <c r="N10" s="1363">
        <v>0</v>
      </c>
      <c r="O10" s="1363">
        <v>0</v>
      </c>
      <c r="P10" s="1363">
        <v>0</v>
      </c>
      <c r="Q10" s="829">
        <f t="shared" si="0"/>
        <v>0</v>
      </c>
      <c r="R10" s="830"/>
    </row>
    <row r="11" spans="1:18">
      <c r="A11" s="1518">
        <f t="shared" ref="A11:A22" si="1">+A10+0.01</f>
        <v>2.0399999999999991</v>
      </c>
      <c r="B11" s="1292" t="s">
        <v>1109</v>
      </c>
      <c r="C11" s="180" t="s">
        <v>1111</v>
      </c>
      <c r="D11" s="1363">
        <v>0</v>
      </c>
      <c r="E11" s="1363">
        <v>0</v>
      </c>
      <c r="F11" s="1363">
        <v>0</v>
      </c>
      <c r="G11" s="1363">
        <v>0</v>
      </c>
      <c r="H11" s="1363">
        <v>0</v>
      </c>
      <c r="I11" s="1363">
        <v>0</v>
      </c>
      <c r="J11" s="1363">
        <v>0</v>
      </c>
      <c r="K11" s="1363">
        <v>0</v>
      </c>
      <c r="L11" s="1363">
        <v>0</v>
      </c>
      <c r="M11" s="1363">
        <v>0</v>
      </c>
      <c r="N11" s="1363">
        <v>0</v>
      </c>
      <c r="O11" s="1363">
        <v>0</v>
      </c>
      <c r="P11" s="1363">
        <v>0</v>
      </c>
      <c r="Q11" s="829">
        <f t="shared" si="0"/>
        <v>0</v>
      </c>
      <c r="R11" s="830"/>
    </row>
    <row r="12" spans="1:18">
      <c r="A12" s="1518">
        <f t="shared" si="1"/>
        <v>2.0499999999999989</v>
      </c>
      <c r="B12" s="1292" t="s">
        <v>475</v>
      </c>
      <c r="C12" s="180" t="s">
        <v>476</v>
      </c>
      <c r="D12" s="1363">
        <v>-374858.11</v>
      </c>
      <c r="E12" s="1363">
        <v>-379427.26</v>
      </c>
      <c r="F12" s="1363">
        <v>-1671823.65</v>
      </c>
      <c r="G12" s="1363">
        <v>-2291813.48</v>
      </c>
      <c r="H12" s="1363">
        <v>-1579496.02</v>
      </c>
      <c r="I12" s="1363">
        <v>-1729840.46</v>
      </c>
      <c r="J12" s="1363">
        <v>-1737697.32</v>
      </c>
      <c r="K12" s="1363">
        <v>-1767424.83</v>
      </c>
      <c r="L12" s="1363">
        <v>-1788387.12</v>
      </c>
      <c r="M12" s="1363">
        <v>-1814172.66</v>
      </c>
      <c r="N12" s="1363">
        <v>-1846825.83</v>
      </c>
      <c r="O12" s="1363">
        <v>-1857409.89</v>
      </c>
      <c r="P12" s="1363">
        <v>-869531.15</v>
      </c>
      <c r="Q12" s="829">
        <f t="shared" si="0"/>
        <v>-1516054.4446153848</v>
      </c>
      <c r="R12" s="830"/>
    </row>
    <row r="13" spans="1:18">
      <c r="A13" s="1518">
        <f t="shared" si="1"/>
        <v>2.0599999999999987</v>
      </c>
      <c r="B13" s="1292" t="s">
        <v>1110</v>
      </c>
      <c r="C13" s="180" t="s">
        <v>1112</v>
      </c>
      <c r="D13" s="1363">
        <v>-11007321.970000001</v>
      </c>
      <c r="E13" s="1363">
        <v>-11693577.439999999</v>
      </c>
      <c r="F13" s="1363">
        <v>-12379841.66</v>
      </c>
      <c r="G13" s="1363">
        <v>-12936522.27</v>
      </c>
      <c r="H13" s="1363">
        <v>-13449028.83</v>
      </c>
      <c r="I13" s="1363">
        <v>-13979022.91</v>
      </c>
      <c r="J13" s="1363">
        <v>-14612837.609999999</v>
      </c>
      <c r="K13" s="1363">
        <v>-15296699.17</v>
      </c>
      <c r="L13" s="1363">
        <v>-15999387.02</v>
      </c>
      <c r="M13" s="1363">
        <v>-16697165.98</v>
      </c>
      <c r="N13" s="1363">
        <v>-17295062.02</v>
      </c>
      <c r="O13" s="1363">
        <v>-17846732.949999999</v>
      </c>
      <c r="P13" s="1363">
        <v>-18411855.16</v>
      </c>
      <c r="Q13" s="829">
        <f t="shared" si="0"/>
        <v>-14738850.383846153</v>
      </c>
      <c r="R13" s="830"/>
    </row>
    <row r="14" spans="1:18">
      <c r="A14" s="1518">
        <f t="shared" si="1"/>
        <v>2.0699999999999985</v>
      </c>
      <c r="B14" s="1292" t="s">
        <v>506</v>
      </c>
      <c r="C14" s="180" t="s">
        <v>433</v>
      </c>
      <c r="D14" s="1363">
        <v>-2618622.6</v>
      </c>
      <c r="E14" s="1363">
        <v>-2603950.56</v>
      </c>
      <c r="F14" s="1363">
        <v>-2619121.2400000002</v>
      </c>
      <c r="G14" s="1363">
        <v>-2575470.7000000002</v>
      </c>
      <c r="H14" s="1363">
        <v>-2526499.27</v>
      </c>
      <c r="I14" s="1363">
        <v>-2538437.5499999998</v>
      </c>
      <c r="J14" s="1363">
        <v>-2541628.92</v>
      </c>
      <c r="K14" s="1363">
        <v>-2541930.9</v>
      </c>
      <c r="L14" s="1363">
        <v>-2552233.4900000002</v>
      </c>
      <c r="M14" s="1363">
        <v>-2516835.9900000002</v>
      </c>
      <c r="N14" s="1363">
        <v>-2529896.75</v>
      </c>
      <c r="O14" s="1363">
        <v>-2553726.86</v>
      </c>
      <c r="P14" s="1363">
        <v>-2510074.4300000002</v>
      </c>
      <c r="Q14" s="829">
        <f t="shared" si="0"/>
        <v>-2556033.0200000005</v>
      </c>
      <c r="R14" s="830"/>
    </row>
    <row r="15" spans="1:18">
      <c r="A15" s="1518">
        <f t="shared" si="1"/>
        <v>2.0799999999999983</v>
      </c>
      <c r="B15" s="1292" t="s">
        <v>505</v>
      </c>
      <c r="C15" s="180" t="s">
        <v>434</v>
      </c>
      <c r="D15" s="1363">
        <v>-1263488.8899999999</v>
      </c>
      <c r="E15" s="1363">
        <v>-1263488.8899999999</v>
      </c>
      <c r="F15" s="1363">
        <v>-1263363.8899999999</v>
      </c>
      <c r="G15" s="1363">
        <v>-3339999.89</v>
      </c>
      <c r="H15" s="1363">
        <v>-2839999.89</v>
      </c>
      <c r="I15" s="1363">
        <v>-2839249.89</v>
      </c>
      <c r="J15" s="1363">
        <v>-3539249.89</v>
      </c>
      <c r="K15" s="1363">
        <v>-3539249.89</v>
      </c>
      <c r="L15" s="1363">
        <v>-3539249.89</v>
      </c>
      <c r="M15" s="1363">
        <v>-3839249.89</v>
      </c>
      <c r="N15" s="1363">
        <v>-3824249.89</v>
      </c>
      <c r="O15" s="1363">
        <v>-3624249.89</v>
      </c>
      <c r="P15" s="1363">
        <v>-4844249.8899999997</v>
      </c>
      <c r="Q15" s="829">
        <f t="shared" si="0"/>
        <v>-3043026.1976923076</v>
      </c>
      <c r="R15" s="830"/>
    </row>
    <row r="16" spans="1:18">
      <c r="A16" s="1518">
        <f t="shared" si="1"/>
        <v>2.0899999999999981</v>
      </c>
      <c r="B16" s="1292" t="s">
        <v>504</v>
      </c>
      <c r="C16" s="180" t="s">
        <v>436</v>
      </c>
      <c r="D16" s="1363">
        <v>-1494064.14</v>
      </c>
      <c r="E16" s="1363">
        <v>-1494064.14</v>
      </c>
      <c r="F16" s="1363">
        <v>-1494064.14</v>
      </c>
      <c r="G16" s="1363">
        <v>-1494064.14</v>
      </c>
      <c r="H16" s="1363">
        <v>-1494064.14</v>
      </c>
      <c r="I16" s="1363">
        <v>-1494064.14</v>
      </c>
      <c r="J16" s="1363">
        <v>-1494064.14</v>
      </c>
      <c r="K16" s="1363">
        <v>-1494064.14</v>
      </c>
      <c r="L16" s="1363">
        <v>-1494064.14</v>
      </c>
      <c r="M16" s="1363">
        <v>-1494064.14</v>
      </c>
      <c r="N16" s="1363">
        <v>-1494064.14</v>
      </c>
      <c r="O16" s="1363">
        <v>-1494064.14</v>
      </c>
      <c r="P16" s="1363">
        <v>-1474457.14</v>
      </c>
      <c r="Q16" s="829">
        <f t="shared" si="0"/>
        <v>-1492555.9092307696</v>
      </c>
      <c r="R16" s="830"/>
    </row>
    <row r="17" spans="1:18">
      <c r="A17" s="1518">
        <f t="shared" si="1"/>
        <v>2.0999999999999979</v>
      </c>
      <c r="B17" s="1292" t="s">
        <v>503</v>
      </c>
      <c r="C17" s="180" t="s">
        <v>435</v>
      </c>
      <c r="D17" s="1363">
        <v>8665000.1799999997</v>
      </c>
      <c r="E17" s="1363">
        <v>8905519.4600000009</v>
      </c>
      <c r="F17" s="1363">
        <v>9220390.1300000008</v>
      </c>
      <c r="G17" s="1363">
        <v>8707326.4199999999</v>
      </c>
      <c r="H17" s="1363">
        <v>9043319.7300000004</v>
      </c>
      <c r="I17" s="1363">
        <v>9347948.7300000004</v>
      </c>
      <c r="J17" s="1363">
        <v>11789579.48</v>
      </c>
      <c r="K17" s="1363">
        <v>11399715.65</v>
      </c>
      <c r="L17" s="1363">
        <v>11711476.470000001</v>
      </c>
      <c r="M17" s="1363">
        <v>12349557.59</v>
      </c>
      <c r="N17" s="1363">
        <v>12524198.67</v>
      </c>
      <c r="O17" s="1363">
        <v>12786037.960000001</v>
      </c>
      <c r="P17" s="1363">
        <v>7224999.5999999996</v>
      </c>
      <c r="Q17" s="829">
        <f t="shared" si="0"/>
        <v>10282697.697692309</v>
      </c>
      <c r="R17" s="830"/>
    </row>
    <row r="18" spans="1:18">
      <c r="A18" s="1518">
        <f t="shared" si="1"/>
        <v>2.1099999999999977</v>
      </c>
      <c r="B18" s="1292" t="s">
        <v>502</v>
      </c>
      <c r="C18" s="180" t="s">
        <v>511</v>
      </c>
      <c r="D18" s="1363">
        <v>-110998.57</v>
      </c>
      <c r="E18" s="1363">
        <v>-123834.81</v>
      </c>
      <c r="F18" s="1363">
        <v>-119508.19</v>
      </c>
      <c r="G18" s="1363">
        <v>-121984.82</v>
      </c>
      <c r="H18" s="1363">
        <v>-135705.49</v>
      </c>
      <c r="I18" s="1363">
        <v>-102741.93</v>
      </c>
      <c r="J18" s="1363">
        <v>-110999.66</v>
      </c>
      <c r="K18" s="1363">
        <v>-124479.64</v>
      </c>
      <c r="L18" s="1363">
        <v>-126267.01</v>
      </c>
      <c r="M18" s="1363">
        <v>-110979.02</v>
      </c>
      <c r="N18" s="1363">
        <v>-120445.69</v>
      </c>
      <c r="O18" s="1363">
        <v>-87521.1</v>
      </c>
      <c r="P18" s="1363">
        <v>-110999.75</v>
      </c>
      <c r="Q18" s="829">
        <f t="shared" si="0"/>
        <v>-115881.97538461539</v>
      </c>
      <c r="R18" s="830"/>
    </row>
    <row r="19" spans="1:18">
      <c r="A19" s="1518">
        <f t="shared" si="1"/>
        <v>2.1199999999999974</v>
      </c>
      <c r="B19" s="1292" t="s">
        <v>501</v>
      </c>
      <c r="C19" s="180" t="s">
        <v>477</v>
      </c>
      <c r="D19" s="1363">
        <v>0</v>
      </c>
      <c r="E19" s="1363">
        <v>0</v>
      </c>
      <c r="F19" s="1363">
        <v>0</v>
      </c>
      <c r="G19" s="1363">
        <v>0</v>
      </c>
      <c r="H19" s="1363">
        <v>0</v>
      </c>
      <c r="I19" s="1363">
        <v>0</v>
      </c>
      <c r="J19" s="1363">
        <v>0</v>
      </c>
      <c r="K19" s="1363">
        <v>0</v>
      </c>
      <c r="L19" s="1363">
        <v>0</v>
      </c>
      <c r="M19" s="1363">
        <v>0</v>
      </c>
      <c r="N19" s="1363">
        <v>0</v>
      </c>
      <c r="O19" s="1363">
        <v>0</v>
      </c>
      <c r="P19" s="1363">
        <v>0</v>
      </c>
      <c r="Q19" s="829">
        <f t="shared" si="0"/>
        <v>0</v>
      </c>
      <c r="R19" s="830"/>
    </row>
    <row r="20" spans="1:18">
      <c r="A20" s="1518">
        <f t="shared" si="1"/>
        <v>2.1299999999999972</v>
      </c>
      <c r="B20" s="1292" t="s">
        <v>500</v>
      </c>
      <c r="C20" s="180" t="s">
        <v>512</v>
      </c>
      <c r="D20" s="1363">
        <v>0</v>
      </c>
      <c r="E20" s="1363">
        <v>0</v>
      </c>
      <c r="F20" s="1363">
        <v>0</v>
      </c>
      <c r="G20" s="1363">
        <v>0</v>
      </c>
      <c r="H20" s="1363">
        <v>0</v>
      </c>
      <c r="I20" s="1363">
        <v>0</v>
      </c>
      <c r="J20" s="1363">
        <v>0</v>
      </c>
      <c r="K20" s="1363">
        <v>0</v>
      </c>
      <c r="L20" s="1363">
        <v>0</v>
      </c>
      <c r="M20" s="1363">
        <v>0</v>
      </c>
      <c r="N20" s="1363">
        <v>0</v>
      </c>
      <c r="O20" s="1363">
        <v>0</v>
      </c>
      <c r="P20" s="1363">
        <v>0</v>
      </c>
      <c r="Q20" s="829">
        <f t="shared" si="0"/>
        <v>0</v>
      </c>
      <c r="R20" s="830"/>
    </row>
    <row r="21" spans="1:18">
      <c r="A21" s="1518">
        <f t="shared" si="1"/>
        <v>2.139999999999997</v>
      </c>
      <c r="B21" s="1292" t="s">
        <v>499</v>
      </c>
      <c r="C21" s="180" t="s">
        <v>478</v>
      </c>
      <c r="D21" s="1363">
        <v>0</v>
      </c>
      <c r="E21" s="1363">
        <v>0</v>
      </c>
      <c r="F21" s="1363">
        <v>0</v>
      </c>
      <c r="G21" s="1363">
        <v>0</v>
      </c>
      <c r="H21" s="1363">
        <v>0</v>
      </c>
      <c r="I21" s="1363">
        <v>0</v>
      </c>
      <c r="J21" s="1363">
        <v>0</v>
      </c>
      <c r="K21" s="1363">
        <v>0</v>
      </c>
      <c r="L21" s="1363">
        <v>0</v>
      </c>
      <c r="M21" s="1363">
        <v>0</v>
      </c>
      <c r="N21" s="1363">
        <v>0</v>
      </c>
      <c r="O21" s="1363">
        <v>0</v>
      </c>
      <c r="P21" s="1363">
        <v>0</v>
      </c>
      <c r="Q21" s="829">
        <f t="shared" si="0"/>
        <v>0</v>
      </c>
      <c r="R21" s="830"/>
    </row>
    <row r="22" spans="1:18">
      <c r="A22" s="1519">
        <f t="shared" si="1"/>
        <v>2.1499999999999968</v>
      </c>
      <c r="B22" s="1362" t="s">
        <v>1272</v>
      </c>
      <c r="C22" s="191"/>
      <c r="D22" s="1363">
        <v>0</v>
      </c>
      <c r="E22" s="1363">
        <v>0</v>
      </c>
      <c r="F22" s="1363">
        <v>0</v>
      </c>
      <c r="G22" s="1363">
        <v>0</v>
      </c>
      <c r="H22" s="1363">
        <v>0</v>
      </c>
      <c r="I22" s="1363">
        <v>0</v>
      </c>
      <c r="J22" s="1363">
        <v>0</v>
      </c>
      <c r="K22" s="1363">
        <v>0</v>
      </c>
      <c r="L22" s="1363">
        <v>0</v>
      </c>
      <c r="M22" s="1363">
        <v>0</v>
      </c>
      <c r="N22" s="1363">
        <v>0</v>
      </c>
      <c r="O22" s="1363">
        <v>0</v>
      </c>
      <c r="P22" s="1363">
        <v>0</v>
      </c>
      <c r="Q22" s="829">
        <f t="shared" si="0"/>
        <v>0</v>
      </c>
      <c r="R22" s="830"/>
    </row>
    <row r="23" spans="1:18">
      <c r="A23" s="1333" t="s">
        <v>1265</v>
      </c>
      <c r="B23" s="1362" t="s">
        <v>1272</v>
      </c>
      <c r="C23" s="191"/>
      <c r="D23" s="1363">
        <v>0</v>
      </c>
      <c r="E23" s="1363">
        <v>0</v>
      </c>
      <c r="F23" s="1363">
        <v>0</v>
      </c>
      <c r="G23" s="1363">
        <v>0</v>
      </c>
      <c r="H23" s="1363">
        <v>0</v>
      </c>
      <c r="I23" s="1363">
        <v>0</v>
      </c>
      <c r="J23" s="1363">
        <v>0</v>
      </c>
      <c r="K23" s="1363">
        <v>0</v>
      </c>
      <c r="L23" s="1363">
        <v>0</v>
      </c>
      <c r="M23" s="1363">
        <v>0</v>
      </c>
      <c r="N23" s="1363">
        <v>0</v>
      </c>
      <c r="O23" s="1363">
        <v>0</v>
      </c>
      <c r="P23" s="1363">
        <v>0</v>
      </c>
      <c r="Q23" s="829">
        <f t="shared" si="0"/>
        <v>0</v>
      </c>
      <c r="R23" s="830"/>
    </row>
    <row r="24" spans="1:18">
      <c r="A24" s="1333" t="s">
        <v>1268</v>
      </c>
      <c r="B24" s="1362" t="s">
        <v>1272</v>
      </c>
      <c r="C24" s="191"/>
      <c r="D24" s="1364">
        <v>0</v>
      </c>
      <c r="E24" s="1364">
        <v>0</v>
      </c>
      <c r="F24" s="1364">
        <v>0</v>
      </c>
      <c r="G24" s="1364">
        <v>0</v>
      </c>
      <c r="H24" s="1364">
        <v>0</v>
      </c>
      <c r="I24" s="1364">
        <v>0</v>
      </c>
      <c r="J24" s="1364">
        <v>0</v>
      </c>
      <c r="K24" s="1364">
        <v>0</v>
      </c>
      <c r="L24" s="1364">
        <v>0</v>
      </c>
      <c r="M24" s="1364">
        <v>0</v>
      </c>
      <c r="N24" s="1364">
        <v>0</v>
      </c>
      <c r="O24" s="1364">
        <v>0</v>
      </c>
      <c r="P24" s="1364">
        <v>0</v>
      </c>
      <c r="Q24" s="1291">
        <f t="shared" si="0"/>
        <v>0</v>
      </c>
      <c r="R24" s="830"/>
    </row>
    <row r="25" spans="1:18" s="834" customFormat="1">
      <c r="A25" s="905">
        <f>+A7+1</f>
        <v>3</v>
      </c>
      <c r="B25" s="831"/>
      <c r="C25" s="831" t="str">
        <f>+"Total   Sum (Ln "&amp;A7&amp;" Subparts)"</f>
        <v>Total   Sum (Ln 2 Subparts)</v>
      </c>
      <c r="D25" s="832">
        <f>SUM(D8:D24)</f>
        <v>-7829495.9900000021</v>
      </c>
      <c r="E25" s="832">
        <f t="shared" ref="E25:P25" si="2">SUM(E8:E24)</f>
        <v>-8273396.3799999999</v>
      </c>
      <c r="F25" s="832">
        <f t="shared" si="2"/>
        <v>-8655508.9899999984</v>
      </c>
      <c r="G25" s="832">
        <f t="shared" si="2"/>
        <v>-11760715.4</v>
      </c>
      <c r="H25" s="832">
        <f t="shared" si="2"/>
        <v>-11401977.889999999</v>
      </c>
      <c r="I25" s="832">
        <f t="shared" si="2"/>
        <v>-11605567.690000001</v>
      </c>
      <c r="J25" s="832">
        <f t="shared" si="2"/>
        <v>-10509200.740000002</v>
      </c>
      <c r="K25" s="832">
        <f t="shared" si="2"/>
        <v>-11596708.090000002</v>
      </c>
      <c r="L25" s="832">
        <f t="shared" si="2"/>
        <v>-11999725.079999998</v>
      </c>
      <c r="M25" s="832">
        <f t="shared" si="2"/>
        <v>-12308737.43</v>
      </c>
      <c r="N25" s="832">
        <f t="shared" si="2"/>
        <v>-12739519.82</v>
      </c>
      <c r="O25" s="832">
        <f t="shared" si="2"/>
        <v>-12820256.979999999</v>
      </c>
      <c r="P25" s="832">
        <f t="shared" si="2"/>
        <v>-20126636.770000003</v>
      </c>
      <c r="Q25" s="832">
        <f>SUM(Q8:Q24)</f>
        <v>-11663649.788461536</v>
      </c>
      <c r="R25" s="833"/>
    </row>
    <row r="26" spans="1:18" s="834" customFormat="1">
      <c r="A26" s="1165"/>
      <c r="D26" s="1057" t="s">
        <v>615</v>
      </c>
      <c r="P26" s="1057" t="s">
        <v>615</v>
      </c>
    </row>
    <row r="27" spans="1:18">
      <c r="A27" s="835" t="s">
        <v>592</v>
      </c>
    </row>
    <row r="28" spans="1:18">
      <c r="A28" s="836" t="s">
        <v>271</v>
      </c>
      <c r="B28" s="1654" t="s">
        <v>1285</v>
      </c>
      <c r="C28" s="1654"/>
      <c r="D28" s="1654"/>
      <c r="E28" s="1654"/>
      <c r="F28" s="1654"/>
      <c r="G28" s="1654"/>
      <c r="H28" s="1654"/>
      <c r="I28" s="1654"/>
      <c r="J28" s="1654"/>
      <c r="K28" s="1654"/>
      <c r="L28" s="1654"/>
      <c r="M28" s="1654"/>
      <c r="N28" s="1654"/>
      <c r="O28" s="1654"/>
      <c r="P28" s="1654"/>
      <c r="Q28" s="1654"/>
    </row>
    <row r="29" spans="1:18">
      <c r="A29" s="1057" t="s">
        <v>615</v>
      </c>
      <c r="B29" s="834" t="s">
        <v>964</v>
      </c>
      <c r="C29" s="834"/>
    </row>
    <row r="30" spans="1:18">
      <c r="A30" s="1057" t="s">
        <v>616</v>
      </c>
      <c r="B30" s="1661" t="s">
        <v>1175</v>
      </c>
      <c r="C30" s="1661"/>
      <c r="D30" s="1661"/>
      <c r="E30" s="1661"/>
      <c r="F30" s="1661"/>
      <c r="G30" s="1661"/>
      <c r="H30" s="1661"/>
      <c r="I30" s="1661"/>
      <c r="J30" s="1661"/>
      <c r="K30" s="1661"/>
      <c r="L30" s="1661"/>
      <c r="M30" s="1661"/>
      <c r="N30" s="1661"/>
      <c r="O30" s="1661"/>
      <c r="P30" s="1661"/>
      <c r="Q30" s="1661"/>
    </row>
  </sheetData>
  <mergeCells count="6">
    <mergeCell ref="B30:Q30"/>
    <mergeCell ref="B28:Q28"/>
    <mergeCell ref="Q6:Q7"/>
    <mergeCell ref="A1:Q1"/>
    <mergeCell ref="A2:Q2"/>
    <mergeCell ref="A3:Q3"/>
  </mergeCells>
  <printOptions horizontalCentered="1"/>
  <pageMargins left="0.2" right="0.2" top="0.7" bottom="0.7" header="0.3" footer="0.5"/>
  <pageSetup scale="60" orientation="landscape" r:id="rId1"/>
  <headerFooter>
    <oddFooter>&amp;CPage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5"/>
  <sheetViews>
    <sheetView topLeftCell="A43" zoomScaleNormal="100" workbookViewId="0">
      <selection activeCell="B79" sqref="B79"/>
    </sheetView>
  </sheetViews>
  <sheetFormatPr defaultColWidth="8.85546875" defaultRowHeight="12.75"/>
  <cols>
    <col min="1" max="1" width="6.140625" style="619" customWidth="1"/>
    <col min="2" max="2" width="43.42578125" style="618" customWidth="1"/>
    <col min="3" max="3" width="11.42578125" style="618" customWidth="1"/>
    <col min="4" max="4" width="10.42578125" style="618" customWidth="1"/>
    <col min="5" max="5" width="11.42578125" style="630" customWidth="1"/>
    <col min="6" max="6" width="12.85546875" style="630" customWidth="1"/>
    <col min="7" max="7" width="10.42578125" style="1002" customWidth="1"/>
    <col min="8" max="8" width="9.5703125" style="980" customWidth="1"/>
    <col min="9" max="10" width="10.42578125" style="630" bestFit="1" customWidth="1"/>
    <col min="11" max="11" width="12.85546875" style="1002" customWidth="1"/>
    <col min="12" max="12" width="9.85546875" style="618" customWidth="1"/>
    <col min="13" max="13" width="9.5703125" style="618" bestFit="1" customWidth="1"/>
    <col min="14" max="16384" width="8.85546875" style="618"/>
  </cols>
  <sheetData>
    <row r="1" spans="1:18">
      <c r="A1" s="1700" t="str">
        <f>+'MISO Cover'!C6</f>
        <v>Entergy New Orleans, Inc.</v>
      </c>
      <c r="B1" s="1700"/>
      <c r="C1" s="1700"/>
      <c r="D1" s="1700"/>
      <c r="E1" s="1700"/>
      <c r="F1" s="1700"/>
      <c r="G1" s="1700"/>
      <c r="H1" s="1700"/>
      <c r="I1" s="1700"/>
      <c r="J1" s="1700"/>
      <c r="K1" s="1700"/>
      <c r="L1" s="854"/>
    </row>
    <row r="2" spans="1:18">
      <c r="A2" s="1701" t="s">
        <v>1409</v>
      </c>
      <c r="B2" s="1701"/>
      <c r="C2" s="1701"/>
      <c r="D2" s="1701"/>
      <c r="E2" s="1701"/>
      <c r="F2" s="1701"/>
      <c r="G2" s="1701"/>
      <c r="H2" s="1701"/>
      <c r="I2" s="1701"/>
      <c r="J2" s="1701"/>
      <c r="K2" s="1701"/>
      <c r="L2" s="169"/>
    </row>
    <row r="3" spans="1:18">
      <c r="A3" s="1700" t="str">
        <f>+'MISO Cover'!K4</f>
        <v>For  the 12 Months Ended 12/31/2014</v>
      </c>
      <c r="B3" s="1700"/>
      <c r="C3" s="1700"/>
      <c r="D3" s="1700"/>
      <c r="E3" s="1700"/>
      <c r="F3" s="1700"/>
      <c r="G3" s="1700"/>
      <c r="H3" s="1700"/>
      <c r="I3" s="1700"/>
      <c r="J3" s="1700"/>
      <c r="K3" s="1700"/>
    </row>
    <row r="4" spans="1:18">
      <c r="B4" s="855"/>
      <c r="C4" s="855"/>
      <c r="D4" s="855"/>
      <c r="E4" s="848"/>
      <c r="F4" s="848"/>
      <c r="G4" s="848"/>
      <c r="I4" s="848"/>
      <c r="J4" s="848"/>
      <c r="K4" s="848"/>
      <c r="L4" s="854"/>
    </row>
    <row r="5" spans="1:18">
      <c r="A5" s="1701" t="s">
        <v>1290</v>
      </c>
      <c r="B5" s="1701"/>
      <c r="C5" s="1701"/>
      <c r="D5" s="1701"/>
      <c r="E5" s="1701"/>
      <c r="F5" s="1701"/>
      <c r="G5" s="1701"/>
      <c r="H5" s="1701"/>
      <c r="I5" s="1701"/>
      <c r="J5" s="1701"/>
      <c r="K5" s="1701"/>
    </row>
    <row r="6" spans="1:18">
      <c r="A6" s="1152"/>
      <c r="B6" s="1152"/>
      <c r="C6" s="1152"/>
      <c r="D6" s="1152"/>
      <c r="E6" s="1152"/>
      <c r="F6" s="1152"/>
      <c r="G6" s="1152"/>
      <c r="H6" s="1152"/>
      <c r="I6" s="1152"/>
      <c r="J6" s="1152"/>
      <c r="K6" s="1152"/>
    </row>
    <row r="7" spans="1:18" s="980" customFormat="1">
      <c r="A7" s="977"/>
      <c r="B7" s="1152"/>
      <c r="C7" s="1305"/>
      <c r="D7" s="1305"/>
      <c r="E7" s="1305" t="str">
        <f>+C8&amp;" + "&amp;D8</f>
        <v>B + C</v>
      </c>
      <c r="G7" s="228" t="str">
        <f>+"- ("&amp;E8&amp;"+"&amp;F8&amp;")"</f>
        <v>- (D+E)</v>
      </c>
      <c r="H7" s="977" t="str">
        <f>+G8&amp;" * "&amp;D8&amp;"/"&amp;E8</f>
        <v>F * C/D</v>
      </c>
      <c r="K7" s="977" t="str">
        <f>+G8&amp;" - "&amp;I8&amp;" - "&amp;J8</f>
        <v>F - H - I</v>
      </c>
      <c r="L7" s="1001"/>
    </row>
    <row r="8" spans="1:18" s="980" customFormat="1" ht="13.15" customHeight="1">
      <c r="A8" s="977" t="s">
        <v>525</v>
      </c>
      <c r="B8" s="839" t="s">
        <v>167</v>
      </c>
      <c r="C8" s="839" t="s">
        <v>215</v>
      </c>
      <c r="D8" s="839" t="s">
        <v>155</v>
      </c>
      <c r="E8" s="840" t="s">
        <v>168</v>
      </c>
      <c r="F8" s="840" t="s">
        <v>166</v>
      </c>
      <c r="G8" s="840" t="s">
        <v>257</v>
      </c>
      <c r="H8" s="840" t="s">
        <v>169</v>
      </c>
      <c r="I8" s="840" t="s">
        <v>270</v>
      </c>
      <c r="J8" s="840" t="s">
        <v>159</v>
      </c>
      <c r="K8" s="840" t="s">
        <v>160</v>
      </c>
      <c r="M8" s="1164"/>
      <c r="N8" s="1164"/>
      <c r="O8" s="1164"/>
      <c r="P8" s="1164"/>
      <c r="Q8" s="1164"/>
      <c r="R8" s="1162"/>
    </row>
    <row r="9" spans="1:18" s="980" customFormat="1" ht="15">
      <c r="A9" s="977"/>
      <c r="B9" s="839"/>
      <c r="C9" s="1731" t="s">
        <v>1140</v>
      </c>
      <c r="D9" s="1731"/>
      <c r="E9" s="1731"/>
      <c r="F9" s="1266" t="s">
        <v>1121</v>
      </c>
      <c r="G9" s="1731" t="s">
        <v>1143</v>
      </c>
      <c r="H9" s="1731"/>
      <c r="I9" s="1731" t="s">
        <v>1138</v>
      </c>
      <c r="J9" s="1731"/>
      <c r="K9" s="1266" t="s">
        <v>1143</v>
      </c>
      <c r="M9" s="1164"/>
      <c r="N9" s="1164"/>
      <c r="O9" s="1164"/>
      <c r="P9" s="1164"/>
      <c r="Q9" s="1164"/>
      <c r="R9" s="1162"/>
    </row>
    <row r="10" spans="1:18" s="977" customFormat="1" ht="15" customHeight="1">
      <c r="A10" s="978">
        <v>1</v>
      </c>
      <c r="B10" s="856" t="s">
        <v>276</v>
      </c>
      <c r="C10" s="1353" t="s">
        <v>1258</v>
      </c>
      <c r="D10" s="1163" t="s">
        <v>1141</v>
      </c>
      <c r="E10" s="1163" t="s">
        <v>214</v>
      </c>
      <c r="F10" s="1163" t="s">
        <v>1142</v>
      </c>
      <c r="G10" s="1163" t="s">
        <v>1145</v>
      </c>
      <c r="H10" s="1354" t="s">
        <v>1144</v>
      </c>
      <c r="I10" s="1163" t="s">
        <v>1137</v>
      </c>
      <c r="J10" s="1163" t="s">
        <v>1139</v>
      </c>
      <c r="K10" s="1163" t="s">
        <v>214</v>
      </c>
      <c r="M10" s="1164"/>
      <c r="N10" s="1164"/>
      <c r="O10" s="1164"/>
      <c r="P10" s="1164"/>
      <c r="Q10" s="1164"/>
      <c r="R10" s="1162"/>
    </row>
    <row r="11" spans="1:18">
      <c r="A11" s="979">
        <f>+A10+0.01</f>
        <v>1.01</v>
      </c>
      <c r="B11" s="579" t="s">
        <v>557</v>
      </c>
      <c r="C11" s="209">
        <v>0</v>
      </c>
      <c r="D11" s="209">
        <v>0</v>
      </c>
      <c r="E11" s="79">
        <f t="shared" ref="E11:E33" si="0">+C11+D11</f>
        <v>0</v>
      </c>
      <c r="F11" s="209">
        <v>0</v>
      </c>
      <c r="G11" s="79">
        <f>-(E11+F11)</f>
        <v>0</v>
      </c>
      <c r="H11" s="503">
        <f t="shared" ref="H11:H50" si="1">G11*IF($E11=0,0,+ABS($D11)/(ABS($C11)+ABS($D11)))</f>
        <v>0</v>
      </c>
      <c r="I11" s="209">
        <v>0</v>
      </c>
      <c r="J11" s="209">
        <v>0</v>
      </c>
      <c r="K11" s="857">
        <f>+G11-I11-J11</f>
        <v>0</v>
      </c>
      <c r="L11" s="1077"/>
      <c r="M11" s="1164"/>
      <c r="N11" s="1164"/>
      <c r="O11" s="1164"/>
      <c r="P11" s="1164"/>
      <c r="Q11" s="1164"/>
    </row>
    <row r="12" spans="1:18">
      <c r="A12" s="979">
        <f t="shared" ref="A12:A52" si="2">+A11+0.01</f>
        <v>1.02</v>
      </c>
      <c r="B12" s="579" t="s">
        <v>558</v>
      </c>
      <c r="C12" s="209">
        <v>0</v>
      </c>
      <c r="D12" s="209">
        <v>0</v>
      </c>
      <c r="E12" s="79">
        <f t="shared" si="0"/>
        <v>0</v>
      </c>
      <c r="F12" s="209">
        <v>0</v>
      </c>
      <c r="G12" s="79">
        <f t="shared" ref="G12:G50" si="3">-E12-F12</f>
        <v>0</v>
      </c>
      <c r="H12" s="503">
        <f t="shared" si="1"/>
        <v>0</v>
      </c>
      <c r="I12" s="209">
        <v>0</v>
      </c>
      <c r="J12" s="209">
        <v>0</v>
      </c>
      <c r="K12" s="857">
        <f t="shared" ref="K12:K51" si="4">+G12-I12-J12</f>
        <v>0</v>
      </c>
      <c r="L12" s="1077"/>
      <c r="M12" s="1164"/>
      <c r="N12" s="1164"/>
      <c r="O12" s="1164"/>
      <c r="P12" s="1164"/>
      <c r="Q12" s="1164"/>
    </row>
    <row r="13" spans="1:18">
      <c r="A13" s="979">
        <f t="shared" si="2"/>
        <v>1.03</v>
      </c>
      <c r="B13" s="579" t="s">
        <v>559</v>
      </c>
      <c r="C13" s="209">
        <v>0</v>
      </c>
      <c r="D13" s="209">
        <v>0</v>
      </c>
      <c r="E13" s="79">
        <f t="shared" si="0"/>
        <v>0</v>
      </c>
      <c r="F13" s="209">
        <v>0</v>
      </c>
      <c r="G13" s="79">
        <f t="shared" si="3"/>
        <v>0</v>
      </c>
      <c r="H13" s="503">
        <f t="shared" si="1"/>
        <v>0</v>
      </c>
      <c r="I13" s="209">
        <v>0</v>
      </c>
      <c r="J13" s="209">
        <v>0</v>
      </c>
      <c r="K13" s="857">
        <f t="shared" si="4"/>
        <v>0</v>
      </c>
      <c r="L13" s="1077"/>
      <c r="M13" s="1164"/>
      <c r="N13" s="1164"/>
      <c r="O13" s="1164"/>
      <c r="P13" s="1164"/>
      <c r="Q13" s="1164"/>
    </row>
    <row r="14" spans="1:18">
      <c r="A14" s="979">
        <f t="shared" si="2"/>
        <v>1.04</v>
      </c>
      <c r="B14" s="579" t="s">
        <v>560</v>
      </c>
      <c r="C14" s="209">
        <v>0</v>
      </c>
      <c r="D14" s="209">
        <v>0</v>
      </c>
      <c r="E14" s="79">
        <f t="shared" si="0"/>
        <v>0</v>
      </c>
      <c r="F14" s="209">
        <v>0</v>
      </c>
      <c r="G14" s="79">
        <f t="shared" si="3"/>
        <v>0</v>
      </c>
      <c r="H14" s="503">
        <f t="shared" si="1"/>
        <v>0</v>
      </c>
      <c r="I14" s="209">
        <v>0</v>
      </c>
      <c r="J14" s="209">
        <v>0</v>
      </c>
      <c r="K14" s="857">
        <f t="shared" si="4"/>
        <v>0</v>
      </c>
      <c r="L14" s="1077"/>
      <c r="M14" s="1164"/>
      <c r="N14" s="1164"/>
      <c r="O14" s="1164"/>
      <c r="P14" s="1164"/>
      <c r="Q14" s="1164"/>
    </row>
    <row r="15" spans="1:18">
      <c r="A15" s="979">
        <f t="shared" si="2"/>
        <v>1.05</v>
      </c>
      <c r="B15" s="579" t="s">
        <v>277</v>
      </c>
      <c r="C15" s="209">
        <v>1286.46</v>
      </c>
      <c r="D15" s="209">
        <v>0</v>
      </c>
      <c r="E15" s="79">
        <f t="shared" si="0"/>
        <v>1286.46</v>
      </c>
      <c r="F15" s="209">
        <v>-1286.04</v>
      </c>
      <c r="G15" s="79">
        <f t="shared" si="3"/>
        <v>-0.42000000000007276</v>
      </c>
      <c r="H15" s="503">
        <f t="shared" si="1"/>
        <v>0</v>
      </c>
      <c r="I15" s="209">
        <v>335.78999999999996</v>
      </c>
      <c r="J15" s="209">
        <v>0</v>
      </c>
      <c r="K15" s="857">
        <f t="shared" si="4"/>
        <v>-336.21000000000004</v>
      </c>
      <c r="L15" s="1077"/>
      <c r="M15" s="1164"/>
      <c r="N15" s="1164"/>
    </row>
    <row r="16" spans="1:18">
      <c r="A16" s="979">
        <f t="shared" si="2"/>
        <v>1.06</v>
      </c>
      <c r="B16" s="579" t="s">
        <v>561</v>
      </c>
      <c r="C16" s="209">
        <v>-286.33999999999963</v>
      </c>
      <c r="D16" s="209">
        <v>0</v>
      </c>
      <c r="E16" s="79">
        <f t="shared" si="0"/>
        <v>-286.33999999999963</v>
      </c>
      <c r="F16" s="209">
        <v>289.21999999999997</v>
      </c>
      <c r="G16" s="79">
        <f t="shared" si="3"/>
        <v>-2.8800000000003365</v>
      </c>
      <c r="H16" s="503">
        <f t="shared" si="1"/>
        <v>0</v>
      </c>
      <c r="I16" s="209">
        <v>219.10000000000002</v>
      </c>
      <c r="J16" s="209">
        <v>0</v>
      </c>
      <c r="K16" s="857">
        <f t="shared" si="4"/>
        <v>-221.98000000000036</v>
      </c>
      <c r="L16" s="1077"/>
      <c r="M16" s="1164"/>
      <c r="N16" s="1164"/>
    </row>
    <row r="17" spans="1:14">
      <c r="A17" s="979">
        <f t="shared" si="2"/>
        <v>1.07</v>
      </c>
      <c r="B17" s="579" t="s">
        <v>562</v>
      </c>
      <c r="C17" s="209">
        <v>52.259999999999678</v>
      </c>
      <c r="D17" s="209">
        <v>205.4300000000006</v>
      </c>
      <c r="E17" s="79">
        <f t="shared" si="0"/>
        <v>257.69000000000028</v>
      </c>
      <c r="F17" s="209">
        <v>-315.60999999999967</v>
      </c>
      <c r="G17" s="79">
        <f t="shared" si="3"/>
        <v>57.919999999999391</v>
      </c>
      <c r="H17" s="503">
        <f t="shared" si="1"/>
        <v>46.173718809421771</v>
      </c>
      <c r="I17" s="209">
        <v>0</v>
      </c>
      <c r="J17" s="209">
        <v>0</v>
      </c>
      <c r="K17" s="857">
        <f t="shared" si="4"/>
        <v>57.919999999999391</v>
      </c>
      <c r="L17" s="1077"/>
      <c r="M17" s="1164"/>
      <c r="N17" s="1164"/>
    </row>
    <row r="18" spans="1:14">
      <c r="A18" s="979">
        <f t="shared" si="2"/>
        <v>1.08</v>
      </c>
      <c r="B18" s="579" t="s">
        <v>563</v>
      </c>
      <c r="C18" s="209">
        <v>0</v>
      </c>
      <c r="D18" s="209">
        <v>0</v>
      </c>
      <c r="E18" s="79">
        <f t="shared" si="0"/>
        <v>0</v>
      </c>
      <c r="F18" s="209">
        <v>-22.54</v>
      </c>
      <c r="G18" s="79">
        <f t="shared" si="3"/>
        <v>22.54</v>
      </c>
      <c r="H18" s="503">
        <f t="shared" si="1"/>
        <v>0</v>
      </c>
      <c r="I18" s="209">
        <v>0</v>
      </c>
      <c r="J18" s="209">
        <v>0</v>
      </c>
      <c r="K18" s="857">
        <f t="shared" si="4"/>
        <v>22.54</v>
      </c>
      <c r="L18" s="1077"/>
      <c r="M18" s="1164"/>
      <c r="N18" s="1164"/>
    </row>
    <row r="19" spans="1:14">
      <c r="A19" s="979">
        <f t="shared" si="2"/>
        <v>1.0900000000000001</v>
      </c>
      <c r="B19" s="579" t="s">
        <v>564</v>
      </c>
      <c r="C19" s="209">
        <v>0</v>
      </c>
      <c r="D19" s="209">
        <v>0</v>
      </c>
      <c r="E19" s="79">
        <f t="shared" si="0"/>
        <v>0</v>
      </c>
      <c r="F19" s="209">
        <v>0</v>
      </c>
      <c r="G19" s="79">
        <f t="shared" si="3"/>
        <v>0</v>
      </c>
      <c r="H19" s="503">
        <f t="shared" si="1"/>
        <v>0</v>
      </c>
      <c r="I19" s="209">
        <v>0</v>
      </c>
      <c r="J19" s="209">
        <v>0</v>
      </c>
      <c r="K19" s="857">
        <f t="shared" si="4"/>
        <v>0</v>
      </c>
      <c r="L19" s="1077"/>
      <c r="M19" s="1164"/>
      <c r="N19" s="1164"/>
    </row>
    <row r="20" spans="1:14">
      <c r="A20" s="979">
        <f t="shared" si="2"/>
        <v>1.1000000000000001</v>
      </c>
      <c r="B20" s="579" t="s">
        <v>565</v>
      </c>
      <c r="C20" s="209">
        <v>0</v>
      </c>
      <c r="D20" s="209">
        <v>0</v>
      </c>
      <c r="E20" s="79">
        <f t="shared" si="0"/>
        <v>0</v>
      </c>
      <c r="F20" s="209">
        <v>0</v>
      </c>
      <c r="G20" s="79">
        <f t="shared" si="3"/>
        <v>0</v>
      </c>
      <c r="H20" s="503">
        <f t="shared" si="1"/>
        <v>0</v>
      </c>
      <c r="I20" s="209">
        <v>0</v>
      </c>
      <c r="J20" s="209">
        <v>0</v>
      </c>
      <c r="K20" s="857">
        <f t="shared" si="4"/>
        <v>0</v>
      </c>
      <c r="L20" s="1077"/>
      <c r="M20" s="1164"/>
      <c r="N20" s="1164"/>
    </row>
    <row r="21" spans="1:14">
      <c r="A21" s="979">
        <f t="shared" si="2"/>
        <v>1.1100000000000001</v>
      </c>
      <c r="B21" s="579" t="s">
        <v>566</v>
      </c>
      <c r="C21" s="209">
        <v>1.200000000000006</v>
      </c>
      <c r="D21" s="209">
        <v>-3.5527136788005009E-15</v>
      </c>
      <c r="E21" s="79">
        <f t="shared" si="0"/>
        <v>1.2000000000000024</v>
      </c>
      <c r="F21" s="209">
        <v>19.939999999999998</v>
      </c>
      <c r="G21" s="79">
        <f t="shared" si="3"/>
        <v>-21.14</v>
      </c>
      <c r="H21" s="503">
        <f t="shared" si="1"/>
        <v>-6.2586972641535001E-14</v>
      </c>
      <c r="I21" s="209">
        <v>0</v>
      </c>
      <c r="J21" s="209">
        <v>0</v>
      </c>
      <c r="K21" s="857">
        <f t="shared" si="4"/>
        <v>-21.14</v>
      </c>
      <c r="L21" s="1077"/>
      <c r="M21" s="1164"/>
      <c r="N21" s="1164"/>
    </row>
    <row r="22" spans="1:14">
      <c r="A22" s="979">
        <f t="shared" si="2"/>
        <v>1.1200000000000001</v>
      </c>
      <c r="B22" s="579" t="s">
        <v>567</v>
      </c>
      <c r="C22" s="209">
        <v>0</v>
      </c>
      <c r="D22" s="209">
        <v>1.7500000000000009</v>
      </c>
      <c r="E22" s="79">
        <f t="shared" si="0"/>
        <v>1.7500000000000009</v>
      </c>
      <c r="F22" s="209">
        <v>0.60000000000000142</v>
      </c>
      <c r="G22" s="79">
        <f t="shared" si="3"/>
        <v>-2.3500000000000023</v>
      </c>
      <c r="H22" s="503">
        <f t="shared" si="1"/>
        <v>-2.3500000000000023</v>
      </c>
      <c r="I22" s="209">
        <v>0</v>
      </c>
      <c r="J22" s="209">
        <v>0</v>
      </c>
      <c r="K22" s="857">
        <f t="shared" si="4"/>
        <v>-2.3500000000000023</v>
      </c>
      <c r="L22" s="1077"/>
      <c r="M22" s="1164"/>
      <c r="N22" s="1164"/>
    </row>
    <row r="23" spans="1:14">
      <c r="A23" s="979">
        <f t="shared" si="2"/>
        <v>1.1300000000000001</v>
      </c>
      <c r="B23" s="579" t="s">
        <v>568</v>
      </c>
      <c r="C23" s="209">
        <v>3472.3600000000006</v>
      </c>
      <c r="D23" s="209">
        <v>329.18</v>
      </c>
      <c r="E23" s="79">
        <f t="shared" si="0"/>
        <v>3801.5400000000004</v>
      </c>
      <c r="F23" s="209">
        <v>-3801.5400000000009</v>
      </c>
      <c r="G23" s="79">
        <f t="shared" si="3"/>
        <v>0</v>
      </c>
      <c r="H23" s="503">
        <f t="shared" si="1"/>
        <v>0</v>
      </c>
      <c r="I23" s="209">
        <v>8468.9500000000007</v>
      </c>
      <c r="J23" s="209">
        <v>0</v>
      </c>
      <c r="K23" s="857">
        <f t="shared" si="4"/>
        <v>-8468.9500000000007</v>
      </c>
      <c r="L23" s="1077"/>
      <c r="M23" s="1164"/>
      <c r="N23" s="1164"/>
    </row>
    <row r="24" spans="1:14">
      <c r="A24" s="979">
        <f t="shared" si="2"/>
        <v>1.1400000000000001</v>
      </c>
      <c r="B24" s="579">
        <v>561100</v>
      </c>
      <c r="C24" s="209">
        <v>0</v>
      </c>
      <c r="D24" s="209">
        <v>0</v>
      </c>
      <c r="E24" s="79">
        <f t="shared" si="0"/>
        <v>0</v>
      </c>
      <c r="F24" s="209">
        <v>0</v>
      </c>
      <c r="G24" s="857">
        <f t="shared" si="3"/>
        <v>0</v>
      </c>
      <c r="H24" s="503">
        <f t="shared" si="1"/>
        <v>0</v>
      </c>
      <c r="I24" s="209">
        <v>1.1200000000000001</v>
      </c>
      <c r="J24" s="209">
        <v>0</v>
      </c>
      <c r="K24" s="857">
        <f t="shared" si="4"/>
        <v>-1.1200000000000001</v>
      </c>
      <c r="L24" s="1077"/>
      <c r="M24" s="1164"/>
      <c r="N24" s="1164"/>
    </row>
    <row r="25" spans="1:14">
      <c r="A25" s="979">
        <f t="shared" si="2"/>
        <v>1.1500000000000001</v>
      </c>
      <c r="B25" s="579">
        <v>561200</v>
      </c>
      <c r="C25" s="209">
        <v>0</v>
      </c>
      <c r="D25" s="209">
        <v>0</v>
      </c>
      <c r="E25" s="79">
        <f t="shared" si="0"/>
        <v>0</v>
      </c>
      <c r="F25" s="209">
        <v>0</v>
      </c>
      <c r="G25" s="857">
        <f t="shared" ref="G25" si="5">-E25-F25</f>
        <v>0</v>
      </c>
      <c r="H25" s="503">
        <f t="shared" ref="H25" si="6">G25*IF($E25=0,0,+ABS($D25)/(ABS($C25)+ABS($D25)))</f>
        <v>0</v>
      </c>
      <c r="I25" s="209">
        <v>91.279999999999973</v>
      </c>
      <c r="J25" s="209">
        <v>0</v>
      </c>
      <c r="K25" s="857">
        <f t="shared" si="4"/>
        <v>-91.279999999999973</v>
      </c>
      <c r="L25" s="1077"/>
      <c r="M25" s="1164"/>
      <c r="N25" s="1164"/>
    </row>
    <row r="26" spans="1:14">
      <c r="A26" s="979">
        <f t="shared" si="2"/>
        <v>1.1600000000000001</v>
      </c>
      <c r="B26" s="579" t="s">
        <v>1188</v>
      </c>
      <c r="C26" s="209">
        <v>1441.87</v>
      </c>
      <c r="D26" s="209">
        <v>0</v>
      </c>
      <c r="E26" s="79">
        <f t="shared" ref="E26" si="7">+C26+D26</f>
        <v>1441.87</v>
      </c>
      <c r="F26" s="209">
        <v>0</v>
      </c>
      <c r="G26" s="857">
        <f t="shared" ref="G26" si="8">-E26-F26</f>
        <v>-1441.87</v>
      </c>
      <c r="H26" s="503">
        <f t="shared" ref="H26" si="9">G26*IF($E26=0,0,+ABS($D26)/(ABS($C26)+ABS($D26)))</f>
        <v>0</v>
      </c>
      <c r="I26" s="209">
        <v>0</v>
      </c>
      <c r="J26" s="209">
        <v>0</v>
      </c>
      <c r="K26" s="857">
        <f t="shared" ref="K26" si="10">+G26-I26-J26</f>
        <v>-1441.87</v>
      </c>
      <c r="L26" s="1077"/>
      <c r="M26" s="1164"/>
      <c r="N26" s="1164"/>
    </row>
    <row r="27" spans="1:14">
      <c r="A27" s="979">
        <f t="shared" si="2"/>
        <v>1.1700000000000002</v>
      </c>
      <c r="B27" s="579" t="s">
        <v>569</v>
      </c>
      <c r="C27" s="209">
        <v>0</v>
      </c>
      <c r="D27" s="209">
        <v>0</v>
      </c>
      <c r="E27" s="79">
        <f t="shared" si="0"/>
        <v>0</v>
      </c>
      <c r="F27" s="209">
        <v>0</v>
      </c>
      <c r="G27" s="857">
        <f t="shared" si="3"/>
        <v>0</v>
      </c>
      <c r="H27" s="503">
        <f t="shared" si="1"/>
        <v>0</v>
      </c>
      <c r="I27" s="209">
        <v>65.240000000000009</v>
      </c>
      <c r="J27" s="209">
        <v>0</v>
      </c>
      <c r="K27" s="857">
        <f t="shared" si="4"/>
        <v>-65.240000000000009</v>
      </c>
      <c r="L27" s="1077"/>
      <c r="M27" s="1164"/>
      <c r="N27" s="1164"/>
    </row>
    <row r="28" spans="1:14">
      <c r="A28" s="979">
        <f t="shared" si="2"/>
        <v>1.1800000000000002</v>
      </c>
      <c r="B28" s="579" t="s">
        <v>570</v>
      </c>
      <c r="C28" s="209">
        <v>0</v>
      </c>
      <c r="D28" s="209">
        <v>0</v>
      </c>
      <c r="E28" s="79">
        <f t="shared" si="0"/>
        <v>0</v>
      </c>
      <c r="F28" s="209">
        <v>0</v>
      </c>
      <c r="G28" s="79">
        <f t="shared" si="3"/>
        <v>0</v>
      </c>
      <c r="H28" s="503">
        <f t="shared" si="1"/>
        <v>0</v>
      </c>
      <c r="I28" s="209">
        <v>3.0100000000000002</v>
      </c>
      <c r="J28" s="209">
        <v>0</v>
      </c>
      <c r="K28" s="857">
        <f t="shared" si="4"/>
        <v>-3.0100000000000002</v>
      </c>
      <c r="L28" s="1077"/>
      <c r="M28" s="1164"/>
      <c r="N28" s="1164"/>
    </row>
    <row r="29" spans="1:14">
      <c r="A29" s="979">
        <f t="shared" si="2"/>
        <v>1.1900000000000002</v>
      </c>
      <c r="B29" s="579">
        <v>562000</v>
      </c>
      <c r="C29" s="209">
        <v>0</v>
      </c>
      <c r="D29" s="209">
        <v>0</v>
      </c>
      <c r="E29" s="79">
        <f t="shared" ref="E29" si="11">+C29+D29</f>
        <v>0</v>
      </c>
      <c r="F29" s="209">
        <v>0</v>
      </c>
      <c r="G29" s="79">
        <f t="shared" ref="G29" si="12">-E29-F29</f>
        <v>0</v>
      </c>
      <c r="H29" s="503">
        <f t="shared" ref="H29" si="13">G29*IF($E29=0,0,+ABS($D29)/(ABS($C29)+ABS($D29)))</f>
        <v>0</v>
      </c>
      <c r="I29" s="209">
        <v>0</v>
      </c>
      <c r="J29" s="209">
        <v>0</v>
      </c>
      <c r="K29" s="857">
        <f t="shared" ref="K29" si="14">+G29-I29-J29</f>
        <v>0</v>
      </c>
      <c r="L29" s="1077"/>
      <c r="M29" s="1164"/>
      <c r="N29" s="1164"/>
    </row>
    <row r="30" spans="1:14">
      <c r="A30" s="979">
        <f t="shared" si="2"/>
        <v>1.2000000000000002</v>
      </c>
      <c r="B30" s="579" t="s">
        <v>571</v>
      </c>
      <c r="C30" s="209">
        <v>1808.1899999999996</v>
      </c>
      <c r="D30" s="209">
        <v>71.440000000000012</v>
      </c>
      <c r="E30" s="79">
        <f t="shared" si="0"/>
        <v>1879.6299999999997</v>
      </c>
      <c r="F30" s="209">
        <v>-1879.63</v>
      </c>
      <c r="G30" s="79">
        <f t="shared" si="3"/>
        <v>0</v>
      </c>
      <c r="H30" s="503">
        <f t="shared" si="1"/>
        <v>0</v>
      </c>
      <c r="I30" s="209">
        <v>717.5</v>
      </c>
      <c r="J30" s="209">
        <v>0</v>
      </c>
      <c r="K30" s="857">
        <f t="shared" si="4"/>
        <v>-717.5</v>
      </c>
      <c r="L30" s="1077"/>
      <c r="M30" s="1164"/>
      <c r="N30" s="1164"/>
    </row>
    <row r="31" spans="1:14">
      <c r="A31" s="979">
        <f t="shared" si="2"/>
        <v>1.2100000000000002</v>
      </c>
      <c r="B31" s="579">
        <v>567000</v>
      </c>
      <c r="C31" s="209">
        <v>0</v>
      </c>
      <c r="D31" s="209">
        <v>0</v>
      </c>
      <c r="E31" s="79">
        <f t="shared" si="0"/>
        <v>0</v>
      </c>
      <c r="F31" s="209">
        <v>0</v>
      </c>
      <c r="G31" s="79">
        <f t="shared" ref="G31:G32" si="15">-E31-F31</f>
        <v>0</v>
      </c>
      <c r="H31" s="503">
        <f t="shared" ref="H31:H32" si="16">G31*IF($E31=0,0,+ABS($D31)/(ABS($C31)+ABS($D31)))</f>
        <v>0</v>
      </c>
      <c r="I31" s="209">
        <v>0</v>
      </c>
      <c r="J31" s="209">
        <v>0</v>
      </c>
      <c r="K31" s="857">
        <f t="shared" ref="K31:K32" si="17">+G31-I31-J31</f>
        <v>0</v>
      </c>
      <c r="L31" s="1077"/>
      <c r="M31" s="1164"/>
      <c r="N31" s="1164"/>
    </row>
    <row r="32" spans="1:14">
      <c r="A32" s="979">
        <f t="shared" si="2"/>
        <v>1.2200000000000002</v>
      </c>
      <c r="B32" s="579">
        <v>568000</v>
      </c>
      <c r="C32" s="209">
        <v>0</v>
      </c>
      <c r="D32" s="209">
        <v>0</v>
      </c>
      <c r="E32" s="79">
        <f t="shared" si="0"/>
        <v>0</v>
      </c>
      <c r="F32" s="209">
        <v>0</v>
      </c>
      <c r="G32" s="79">
        <f t="shared" si="15"/>
        <v>0</v>
      </c>
      <c r="H32" s="503">
        <f t="shared" si="16"/>
        <v>0</v>
      </c>
      <c r="I32" s="209">
        <v>11.55</v>
      </c>
      <c r="J32" s="209">
        <v>0</v>
      </c>
      <c r="K32" s="857">
        <f t="shared" si="17"/>
        <v>-11.55</v>
      </c>
      <c r="L32" s="1077"/>
      <c r="M32" s="1164"/>
      <c r="N32" s="1164"/>
    </row>
    <row r="33" spans="1:14">
      <c r="A33" s="979">
        <f t="shared" si="2"/>
        <v>1.2300000000000002</v>
      </c>
      <c r="B33" s="579">
        <v>569000</v>
      </c>
      <c r="C33" s="209">
        <v>0</v>
      </c>
      <c r="D33" s="209">
        <v>0</v>
      </c>
      <c r="E33" s="79">
        <f t="shared" si="0"/>
        <v>0</v>
      </c>
      <c r="F33" s="209">
        <v>0</v>
      </c>
      <c r="G33" s="79">
        <f t="shared" si="3"/>
        <v>0</v>
      </c>
      <c r="H33" s="503">
        <f t="shared" si="1"/>
        <v>0</v>
      </c>
      <c r="I33" s="209">
        <v>0</v>
      </c>
      <c r="J33" s="209">
        <v>0</v>
      </c>
      <c r="K33" s="857">
        <f t="shared" si="4"/>
        <v>0</v>
      </c>
      <c r="L33" s="1077"/>
      <c r="M33" s="1164"/>
      <c r="N33" s="1164"/>
    </row>
    <row r="34" spans="1:14">
      <c r="A34" s="979">
        <f t="shared" si="2"/>
        <v>1.2400000000000002</v>
      </c>
      <c r="B34" s="579" t="s">
        <v>572</v>
      </c>
      <c r="C34" s="209">
        <v>0</v>
      </c>
      <c r="D34" s="209">
        <v>0</v>
      </c>
      <c r="E34" s="79">
        <f t="shared" ref="E34:E35" si="18">+C34+D34</f>
        <v>0</v>
      </c>
      <c r="F34" s="209">
        <v>0</v>
      </c>
      <c r="G34" s="79">
        <f t="shared" ref="G34:G35" si="19">-E34-F34</f>
        <v>0</v>
      </c>
      <c r="H34" s="503">
        <f t="shared" ref="H34:H35" si="20">G34*IF($E34=0,0,+ABS($D34)/(ABS($C34)+ABS($D34)))</f>
        <v>0</v>
      </c>
      <c r="I34" s="209">
        <v>21.49</v>
      </c>
      <c r="J34" s="209">
        <v>0</v>
      </c>
      <c r="K34" s="857">
        <f t="shared" ref="K34:K35" si="21">+G34-I34-J34</f>
        <v>-21.49</v>
      </c>
      <c r="L34" s="1077"/>
      <c r="M34" s="1164"/>
      <c r="N34" s="1164"/>
    </row>
    <row r="35" spans="1:14">
      <c r="A35" s="979">
        <f t="shared" si="2"/>
        <v>1.2500000000000002</v>
      </c>
      <c r="B35" s="579">
        <v>573000</v>
      </c>
      <c r="C35" s="209">
        <v>0</v>
      </c>
      <c r="D35" s="209">
        <v>0</v>
      </c>
      <c r="E35" s="79">
        <f t="shared" si="18"/>
        <v>0</v>
      </c>
      <c r="F35" s="209">
        <v>0</v>
      </c>
      <c r="G35" s="79">
        <f t="shared" si="19"/>
        <v>0</v>
      </c>
      <c r="H35" s="503">
        <f t="shared" si="20"/>
        <v>0</v>
      </c>
      <c r="I35" s="209">
        <v>0</v>
      </c>
      <c r="J35" s="209">
        <v>0</v>
      </c>
      <c r="K35" s="857">
        <f t="shared" si="21"/>
        <v>0</v>
      </c>
      <c r="L35" s="1077"/>
      <c r="M35" s="1164"/>
      <c r="N35" s="1164"/>
    </row>
    <row r="36" spans="1:14">
      <c r="A36" s="979">
        <f t="shared" si="2"/>
        <v>1.2600000000000002</v>
      </c>
      <c r="B36" s="579">
        <v>575100</v>
      </c>
      <c r="C36" s="209">
        <v>0</v>
      </c>
      <c r="D36" s="209">
        <v>0</v>
      </c>
      <c r="E36" s="79">
        <f t="shared" ref="E36:E44" si="22">+C36+D36</f>
        <v>0</v>
      </c>
      <c r="F36" s="209">
        <v>0</v>
      </c>
      <c r="G36" s="79">
        <f t="shared" si="3"/>
        <v>0</v>
      </c>
      <c r="H36" s="503">
        <f t="shared" si="1"/>
        <v>0</v>
      </c>
      <c r="I36" s="209">
        <v>0</v>
      </c>
      <c r="J36" s="209">
        <v>0</v>
      </c>
      <c r="K36" s="857">
        <f t="shared" si="4"/>
        <v>0</v>
      </c>
      <c r="L36" s="1077"/>
      <c r="M36" s="1164"/>
      <c r="N36" s="1164"/>
    </row>
    <row r="37" spans="1:14">
      <c r="A37" s="979">
        <f t="shared" si="2"/>
        <v>1.2700000000000002</v>
      </c>
      <c r="B37" s="579" t="s">
        <v>573</v>
      </c>
      <c r="C37" s="209">
        <v>0</v>
      </c>
      <c r="D37" s="209">
        <v>0</v>
      </c>
      <c r="E37" s="79">
        <f t="shared" si="22"/>
        <v>0</v>
      </c>
      <c r="F37" s="209">
        <v>0</v>
      </c>
      <c r="G37" s="79">
        <f t="shared" si="3"/>
        <v>0</v>
      </c>
      <c r="H37" s="503">
        <f t="shared" si="1"/>
        <v>0</v>
      </c>
      <c r="I37" s="209">
        <v>0</v>
      </c>
      <c r="J37" s="209">
        <v>0</v>
      </c>
      <c r="K37" s="857">
        <f t="shared" si="4"/>
        <v>0</v>
      </c>
      <c r="L37" s="1077"/>
      <c r="M37" s="1164"/>
      <c r="N37" s="1164"/>
    </row>
    <row r="38" spans="1:14">
      <c r="A38" s="979">
        <f t="shared" si="2"/>
        <v>1.2800000000000002</v>
      </c>
      <c r="B38" s="579" t="s">
        <v>574</v>
      </c>
      <c r="C38" s="209">
        <v>0</v>
      </c>
      <c r="D38" s="209">
        <v>0</v>
      </c>
      <c r="E38" s="79">
        <f t="shared" si="22"/>
        <v>0</v>
      </c>
      <c r="F38" s="209">
        <v>0</v>
      </c>
      <c r="G38" s="79">
        <f t="shared" si="3"/>
        <v>0</v>
      </c>
      <c r="H38" s="503">
        <f t="shared" si="1"/>
        <v>0</v>
      </c>
      <c r="I38" s="209">
        <v>0</v>
      </c>
      <c r="J38" s="209">
        <v>0</v>
      </c>
      <c r="K38" s="857">
        <f t="shared" si="4"/>
        <v>0</v>
      </c>
      <c r="L38" s="1077"/>
      <c r="M38" s="1164"/>
      <c r="N38" s="1164"/>
    </row>
    <row r="39" spans="1:14">
      <c r="A39" s="979">
        <f t="shared" si="2"/>
        <v>1.2900000000000003</v>
      </c>
      <c r="B39" s="579" t="s">
        <v>575</v>
      </c>
      <c r="C39" s="209">
        <v>0</v>
      </c>
      <c r="D39" s="209">
        <v>0</v>
      </c>
      <c r="E39" s="79">
        <f t="shared" ref="E39" si="23">+C39+D39</f>
        <v>0</v>
      </c>
      <c r="F39" s="209">
        <v>0</v>
      </c>
      <c r="G39" s="79">
        <f t="shared" ref="G39" si="24">-E39-F39</f>
        <v>0</v>
      </c>
      <c r="H39" s="503">
        <f t="shared" ref="H39" si="25">G39*IF($E39=0,0,+ABS($D39)/(ABS($C39)+ABS($D39)))</f>
        <v>0</v>
      </c>
      <c r="I39" s="209">
        <v>0</v>
      </c>
      <c r="J39" s="209">
        <v>0</v>
      </c>
      <c r="K39" s="857">
        <f t="shared" ref="K39" si="26">+G39-I39-J39</f>
        <v>0</v>
      </c>
      <c r="L39" s="1077"/>
      <c r="M39" s="1164"/>
      <c r="N39" s="1164"/>
    </row>
    <row r="40" spans="1:14">
      <c r="A40" s="979">
        <f t="shared" si="2"/>
        <v>1.3000000000000003</v>
      </c>
      <c r="B40" s="579">
        <v>912000</v>
      </c>
      <c r="C40" s="209">
        <v>0</v>
      </c>
      <c r="D40" s="209">
        <v>0</v>
      </c>
      <c r="E40" s="79">
        <f t="shared" si="22"/>
        <v>0</v>
      </c>
      <c r="F40" s="209">
        <v>0</v>
      </c>
      <c r="G40" s="79">
        <f t="shared" si="3"/>
        <v>0</v>
      </c>
      <c r="H40" s="503">
        <f t="shared" si="1"/>
        <v>0</v>
      </c>
      <c r="I40" s="209">
        <v>0</v>
      </c>
      <c r="J40" s="209">
        <v>0</v>
      </c>
      <c r="K40" s="857">
        <f t="shared" si="4"/>
        <v>0</v>
      </c>
      <c r="L40" s="1077"/>
      <c r="M40" s="1164"/>
      <c r="N40" s="1164"/>
    </row>
    <row r="41" spans="1:14">
      <c r="A41" s="979">
        <f t="shared" si="2"/>
        <v>1.3100000000000003</v>
      </c>
      <c r="B41" s="579" t="s">
        <v>576</v>
      </c>
      <c r="C41" s="209">
        <v>2048.8100000000077</v>
      </c>
      <c r="D41" s="209">
        <v>3960.0799999999945</v>
      </c>
      <c r="E41" s="79">
        <f t="shared" si="22"/>
        <v>6008.8900000000021</v>
      </c>
      <c r="F41" s="209">
        <v>-5950.59</v>
      </c>
      <c r="G41" s="79">
        <f t="shared" si="3"/>
        <v>-58.300000000002001</v>
      </c>
      <c r="H41" s="503">
        <f t="shared" si="1"/>
        <v>-38.421848960458178</v>
      </c>
      <c r="I41" s="209">
        <v>2671.8999999999996</v>
      </c>
      <c r="J41" s="209">
        <v>0</v>
      </c>
      <c r="K41" s="857">
        <f t="shared" si="4"/>
        <v>-2730.2000000000016</v>
      </c>
      <c r="L41" s="1211"/>
      <c r="M41" s="1164"/>
      <c r="N41" s="1164"/>
    </row>
    <row r="42" spans="1:14">
      <c r="A42" s="979">
        <f t="shared" si="2"/>
        <v>1.3200000000000003</v>
      </c>
      <c r="B42" s="579" t="s">
        <v>577</v>
      </c>
      <c r="C42" s="209">
        <v>2257.48</v>
      </c>
      <c r="D42" s="209">
        <v>0</v>
      </c>
      <c r="E42" s="79">
        <f t="shared" si="22"/>
        <v>2257.48</v>
      </c>
      <c r="F42" s="209">
        <v>-2281.3700000000003</v>
      </c>
      <c r="G42" s="79">
        <f t="shared" si="3"/>
        <v>23.890000000000327</v>
      </c>
      <c r="H42" s="503">
        <f t="shared" si="1"/>
        <v>0</v>
      </c>
      <c r="I42" s="209">
        <v>364.55999999999995</v>
      </c>
      <c r="J42" s="209">
        <v>0</v>
      </c>
      <c r="K42" s="857">
        <f t="shared" si="4"/>
        <v>-340.66999999999962</v>
      </c>
      <c r="L42" s="1077"/>
      <c r="M42" s="1164"/>
      <c r="N42" s="1164"/>
    </row>
    <row r="43" spans="1:14">
      <c r="A43" s="979">
        <f t="shared" si="2"/>
        <v>1.3300000000000003</v>
      </c>
      <c r="B43" s="579" t="s">
        <v>578</v>
      </c>
      <c r="C43" s="209">
        <v>-11846.760000000002</v>
      </c>
      <c r="D43" s="209">
        <v>0</v>
      </c>
      <c r="E43" s="79">
        <f t="shared" si="22"/>
        <v>-11846.760000000002</v>
      </c>
      <c r="F43" s="209">
        <v>10404.89</v>
      </c>
      <c r="G43" s="79">
        <f t="shared" si="3"/>
        <v>1441.8700000000026</v>
      </c>
      <c r="H43" s="503">
        <f t="shared" si="1"/>
        <v>0</v>
      </c>
      <c r="I43" s="209">
        <v>7434.35</v>
      </c>
      <c r="J43" s="209">
        <v>0</v>
      </c>
      <c r="K43" s="857">
        <f t="shared" si="4"/>
        <v>-5992.4799999999977</v>
      </c>
      <c r="L43" s="1077"/>
      <c r="M43" s="1164"/>
      <c r="N43" s="1164"/>
    </row>
    <row r="44" spans="1:14">
      <c r="A44" s="979">
        <f t="shared" si="2"/>
        <v>1.3400000000000003</v>
      </c>
      <c r="B44" s="579">
        <v>924000</v>
      </c>
      <c r="C44" s="209">
        <v>0</v>
      </c>
      <c r="D44" s="209">
        <v>0</v>
      </c>
      <c r="E44" s="79">
        <f t="shared" si="22"/>
        <v>0</v>
      </c>
      <c r="F44" s="209">
        <v>0</v>
      </c>
      <c r="G44" s="79">
        <f t="shared" si="3"/>
        <v>0</v>
      </c>
      <c r="H44" s="503">
        <f t="shared" si="1"/>
        <v>0</v>
      </c>
      <c r="I44" s="209">
        <v>0.77</v>
      </c>
      <c r="J44" s="209">
        <v>0</v>
      </c>
      <c r="K44" s="857">
        <f t="shared" si="4"/>
        <v>-0.77</v>
      </c>
      <c r="L44" s="1077"/>
      <c r="M44" s="1164"/>
      <c r="N44" s="1164"/>
    </row>
    <row r="45" spans="1:14" ht="14.25" customHeight="1">
      <c r="A45" s="979">
        <f t="shared" si="2"/>
        <v>1.3500000000000003</v>
      </c>
      <c r="B45" s="579" t="s">
        <v>579</v>
      </c>
      <c r="C45" s="209">
        <v>0</v>
      </c>
      <c r="D45" s="209">
        <v>0</v>
      </c>
      <c r="E45" s="79">
        <f t="shared" ref="E45:E51" si="27">+C45+D45</f>
        <v>0</v>
      </c>
      <c r="F45" s="209">
        <v>0</v>
      </c>
      <c r="G45" s="79">
        <f t="shared" si="3"/>
        <v>0</v>
      </c>
      <c r="H45" s="503">
        <f t="shared" si="1"/>
        <v>0</v>
      </c>
      <c r="I45" s="209">
        <v>0</v>
      </c>
      <c r="J45" s="209">
        <v>0</v>
      </c>
      <c r="K45" s="857">
        <f t="shared" si="4"/>
        <v>0</v>
      </c>
      <c r="L45" s="1077"/>
      <c r="M45" s="1164"/>
      <c r="N45" s="1164"/>
    </row>
    <row r="46" spans="1:14" ht="14.25" customHeight="1">
      <c r="A46" s="979">
        <f t="shared" si="2"/>
        <v>1.3600000000000003</v>
      </c>
      <c r="B46" s="579" t="s">
        <v>580</v>
      </c>
      <c r="C46" s="209">
        <v>3049.3400000000006</v>
      </c>
      <c r="D46" s="209">
        <v>0</v>
      </c>
      <c r="E46" s="79">
        <f t="shared" si="27"/>
        <v>3049.3400000000006</v>
      </c>
      <c r="F46" s="209">
        <v>-3086.9700000000003</v>
      </c>
      <c r="G46" s="79">
        <f t="shared" si="3"/>
        <v>37.629999999999654</v>
      </c>
      <c r="H46" s="503">
        <f t="shared" si="1"/>
        <v>0</v>
      </c>
      <c r="I46" s="209">
        <v>1519.56</v>
      </c>
      <c r="J46" s="209">
        <v>0</v>
      </c>
      <c r="K46" s="857">
        <f t="shared" si="4"/>
        <v>-1481.9300000000003</v>
      </c>
      <c r="L46" s="1077"/>
      <c r="M46" s="1164"/>
      <c r="N46" s="1164"/>
    </row>
    <row r="47" spans="1:14" ht="14.25" customHeight="1">
      <c r="A47" s="979">
        <f t="shared" si="2"/>
        <v>1.3700000000000003</v>
      </c>
      <c r="B47" s="579" t="s">
        <v>487</v>
      </c>
      <c r="C47" s="209">
        <v>1199.8399999999992</v>
      </c>
      <c r="D47" s="209">
        <v>3552.0200000000004</v>
      </c>
      <c r="E47" s="79">
        <f t="shared" si="27"/>
        <v>4751.8599999999997</v>
      </c>
      <c r="F47" s="209">
        <v>-4751.8599999999997</v>
      </c>
      <c r="G47" s="857">
        <f t="shared" si="3"/>
        <v>0</v>
      </c>
      <c r="H47" s="503">
        <f t="shared" si="1"/>
        <v>0</v>
      </c>
      <c r="I47" s="209">
        <v>737.38000000000011</v>
      </c>
      <c r="J47" s="209">
        <v>0</v>
      </c>
      <c r="K47" s="857">
        <f t="shared" si="4"/>
        <v>-737.38000000000011</v>
      </c>
      <c r="L47" s="1077"/>
      <c r="M47" s="1164"/>
      <c r="N47" s="1164"/>
    </row>
    <row r="48" spans="1:14" ht="14.25" customHeight="1">
      <c r="A48" s="979">
        <f t="shared" si="2"/>
        <v>1.3800000000000003</v>
      </c>
      <c r="B48" s="579" t="s">
        <v>488</v>
      </c>
      <c r="C48" s="209">
        <v>0</v>
      </c>
      <c r="D48" s="209">
        <v>0</v>
      </c>
      <c r="E48" s="79">
        <f t="shared" si="27"/>
        <v>0</v>
      </c>
      <c r="F48" s="209">
        <v>0</v>
      </c>
      <c r="G48" s="857">
        <f t="shared" si="3"/>
        <v>0</v>
      </c>
      <c r="H48" s="503">
        <f t="shared" si="1"/>
        <v>0</v>
      </c>
      <c r="I48" s="209">
        <v>86.240000000000009</v>
      </c>
      <c r="J48" s="209">
        <v>0</v>
      </c>
      <c r="K48" s="857">
        <f t="shared" si="4"/>
        <v>-86.240000000000009</v>
      </c>
      <c r="L48" s="1077"/>
      <c r="M48" s="1164"/>
      <c r="N48" s="1164"/>
    </row>
    <row r="49" spans="1:14">
      <c r="A49" s="979">
        <f t="shared" si="2"/>
        <v>1.3900000000000003</v>
      </c>
      <c r="B49" s="579" t="s">
        <v>581</v>
      </c>
      <c r="C49" s="209">
        <v>0</v>
      </c>
      <c r="D49" s="209">
        <v>0</v>
      </c>
      <c r="E49" s="79">
        <f t="shared" si="27"/>
        <v>0</v>
      </c>
      <c r="F49" s="209">
        <v>0</v>
      </c>
      <c r="G49" s="79">
        <f t="shared" si="3"/>
        <v>0</v>
      </c>
      <c r="H49" s="503">
        <f t="shared" si="1"/>
        <v>0</v>
      </c>
      <c r="I49" s="209">
        <v>157.43</v>
      </c>
      <c r="J49" s="209">
        <v>0</v>
      </c>
      <c r="K49" s="857">
        <f t="shared" si="4"/>
        <v>-157.43</v>
      </c>
      <c r="L49" s="1077"/>
      <c r="N49" s="1164"/>
    </row>
    <row r="50" spans="1:14">
      <c r="A50" s="979">
        <f t="shared" si="2"/>
        <v>1.4000000000000004</v>
      </c>
      <c r="B50" s="579" t="s">
        <v>582</v>
      </c>
      <c r="C50" s="209">
        <v>0</v>
      </c>
      <c r="D50" s="209">
        <v>0</v>
      </c>
      <c r="E50" s="79">
        <f t="shared" si="27"/>
        <v>0</v>
      </c>
      <c r="F50" s="209">
        <v>0</v>
      </c>
      <c r="G50" s="79">
        <f t="shared" si="3"/>
        <v>0</v>
      </c>
      <c r="H50" s="503">
        <f t="shared" si="1"/>
        <v>0</v>
      </c>
      <c r="I50" s="209">
        <v>0.84</v>
      </c>
      <c r="J50" s="209">
        <v>0</v>
      </c>
      <c r="K50" s="857">
        <f t="shared" si="4"/>
        <v>-0.84</v>
      </c>
      <c r="N50" s="1164"/>
    </row>
    <row r="51" spans="1:14">
      <c r="A51" s="979">
        <f t="shared" si="2"/>
        <v>1.4100000000000004</v>
      </c>
      <c r="B51" s="579">
        <v>935000</v>
      </c>
      <c r="C51" s="209">
        <v>0</v>
      </c>
      <c r="D51" s="209">
        <v>0</v>
      </c>
      <c r="E51" s="79">
        <f t="shared" si="27"/>
        <v>0</v>
      </c>
      <c r="F51" s="209">
        <v>0</v>
      </c>
      <c r="G51" s="79">
        <f t="shared" ref="G51" si="28">-E51-F51</f>
        <v>0</v>
      </c>
      <c r="H51" s="503">
        <f t="shared" ref="H51" si="29">G51*IF($E51=0,0,+ABS($D51)/(ABS($C51)+ABS($D51)))</f>
        <v>0</v>
      </c>
      <c r="I51" s="209">
        <v>0.77</v>
      </c>
      <c r="J51" s="209">
        <v>0</v>
      </c>
      <c r="K51" s="857">
        <f t="shared" si="4"/>
        <v>-0.77</v>
      </c>
      <c r="N51" s="1164"/>
    </row>
    <row r="52" spans="1:14">
      <c r="A52" s="979">
        <f t="shared" si="2"/>
        <v>1.4200000000000004</v>
      </c>
      <c r="B52" s="1318" t="s">
        <v>1272</v>
      </c>
      <c r="C52" s="209">
        <v>0</v>
      </c>
      <c r="D52" s="209">
        <v>0</v>
      </c>
      <c r="E52" s="209">
        <f t="shared" ref="E52:E54" si="30">+C52+D52</f>
        <v>0</v>
      </c>
      <c r="F52" s="209">
        <v>0</v>
      </c>
      <c r="G52" s="209">
        <f t="shared" ref="G52" si="31">-E52-F52</f>
        <v>0</v>
      </c>
      <c r="H52" s="1357">
        <f t="shared" ref="H52" si="32">G52*IF($E52=0,0,+ABS($D52)/(ABS($C52)+ABS($D52)))</f>
        <v>0</v>
      </c>
      <c r="I52" s="209">
        <v>0</v>
      </c>
      <c r="J52" s="209">
        <v>0</v>
      </c>
      <c r="K52" s="1355">
        <f t="shared" ref="K52:K54" si="33">+G52-I52-J52</f>
        <v>0</v>
      </c>
      <c r="N52" s="1164"/>
    </row>
    <row r="53" spans="1:14">
      <c r="A53" s="1356" t="s">
        <v>1266</v>
      </c>
      <c r="B53" s="1318" t="s">
        <v>1272</v>
      </c>
      <c r="C53" s="209">
        <v>0</v>
      </c>
      <c r="D53" s="209">
        <v>0</v>
      </c>
      <c r="E53" s="209">
        <f t="shared" si="30"/>
        <v>0</v>
      </c>
      <c r="F53" s="209">
        <v>0</v>
      </c>
      <c r="G53" s="209">
        <f t="shared" ref="G53:G54" si="34">-E53-F53</f>
        <v>0</v>
      </c>
      <c r="H53" s="1357">
        <f t="shared" ref="H53:H54" si="35">G53*IF($E53=0,0,+ABS($D53)/(ABS($C53)+ABS($D53)))</f>
        <v>0</v>
      </c>
      <c r="I53" s="209">
        <v>0</v>
      </c>
      <c r="J53" s="209">
        <v>0</v>
      </c>
      <c r="K53" s="1355">
        <f t="shared" si="33"/>
        <v>0</v>
      </c>
      <c r="N53" s="1164"/>
    </row>
    <row r="54" spans="1:14">
      <c r="A54" s="1356" t="s">
        <v>1270</v>
      </c>
      <c r="B54" s="1318" t="s">
        <v>1272</v>
      </c>
      <c r="C54" s="209">
        <v>0</v>
      </c>
      <c r="D54" s="209">
        <v>0</v>
      </c>
      <c r="E54" s="209">
        <f t="shared" si="30"/>
        <v>0</v>
      </c>
      <c r="F54" s="209">
        <v>0</v>
      </c>
      <c r="G54" s="209">
        <f t="shared" si="34"/>
        <v>0</v>
      </c>
      <c r="H54" s="1357">
        <f t="shared" si="35"/>
        <v>0</v>
      </c>
      <c r="I54" s="209">
        <v>0</v>
      </c>
      <c r="J54" s="209">
        <v>0</v>
      </c>
      <c r="K54" s="1355">
        <f t="shared" si="33"/>
        <v>0</v>
      </c>
      <c r="N54" s="1164"/>
    </row>
    <row r="55" spans="1:14" ht="13.5" thickBot="1">
      <c r="A55" s="978">
        <f>+A10+1</f>
        <v>2</v>
      </c>
      <c r="B55" s="841" t="str">
        <f>+"Total  Sum (Ln "&amp;A10&amp;" Subparts"&amp;")"</f>
        <v>Total  Sum (Ln 1 Subparts)</v>
      </c>
      <c r="C55" s="858">
        <f>SUM(C11:C54)</f>
        <v>4484.7100000000064</v>
      </c>
      <c r="D55" s="858">
        <f>SUM(D11:D54)</f>
        <v>8119.899999999996</v>
      </c>
      <c r="E55" s="858">
        <f>SUM(E11:E54)</f>
        <v>12604.61</v>
      </c>
      <c r="F55" s="858">
        <f>SUM(F11:F54)</f>
        <v>-12661.500000000002</v>
      </c>
      <c r="G55" s="858">
        <f>SUM(G11:G54)</f>
        <v>56.889999999999645</v>
      </c>
      <c r="H55" s="858">
        <f t="shared" ref="H55:K55" si="36">SUM(H11:H54)</f>
        <v>5.4018698489635284</v>
      </c>
      <c r="I55" s="858">
        <f t="shared" si="36"/>
        <v>22908.830000000005</v>
      </c>
      <c r="J55" s="858">
        <f t="shared" si="36"/>
        <v>0</v>
      </c>
      <c r="K55" s="858">
        <f t="shared" si="36"/>
        <v>-22851.940000000006</v>
      </c>
    </row>
    <row r="56" spans="1:14" ht="13.5" thickTop="1">
      <c r="A56" s="978">
        <f t="shared" ref="A56:A77" si="37">+A55+1</f>
        <v>3</v>
      </c>
      <c r="B56" s="841"/>
      <c r="C56" s="859"/>
      <c r="D56" s="859"/>
      <c r="E56" s="859"/>
      <c r="F56" s="859"/>
      <c r="G56" s="859"/>
      <c r="H56" s="859"/>
      <c r="I56" s="859"/>
      <c r="J56" s="859"/>
      <c r="K56" s="859"/>
      <c r="L56" s="879"/>
    </row>
    <row r="57" spans="1:14">
      <c r="A57" s="978">
        <f t="shared" si="37"/>
        <v>4</v>
      </c>
      <c r="B57" s="841" t="s">
        <v>870</v>
      </c>
      <c r="C57" s="841"/>
      <c r="D57" s="841"/>
      <c r="E57" s="842"/>
      <c r="F57" s="842"/>
      <c r="G57" s="842"/>
      <c r="I57" s="842"/>
      <c r="J57" s="842"/>
      <c r="K57" s="842"/>
      <c r="L57" s="879"/>
    </row>
    <row r="58" spans="1:14">
      <c r="A58" s="978">
        <f t="shared" si="37"/>
        <v>5</v>
      </c>
      <c r="B58" s="843" t="s">
        <v>958</v>
      </c>
      <c r="C58" s="857">
        <f>+SUM(C24:C27)</f>
        <v>1441.87</v>
      </c>
      <c r="D58" s="857">
        <f>+SUM(D24:D27)</f>
        <v>0</v>
      </c>
      <c r="E58" s="857">
        <f>+C58+D58</f>
        <v>1441.87</v>
      </c>
      <c r="F58" s="857">
        <f>+SUM(F24:F27)</f>
        <v>0</v>
      </c>
      <c r="G58" s="79">
        <f t="shared" ref="G58:G61" si="38">-E58-F58</f>
        <v>-1441.87</v>
      </c>
      <c r="H58" s="1403">
        <f>IF(E58=0, 0,+G58*D58/E58)</f>
        <v>0</v>
      </c>
      <c r="I58" s="857">
        <f>+SUM(I24:I27)</f>
        <v>157.63999999999999</v>
      </c>
      <c r="J58" s="857">
        <f t="shared" ref="J58" si="39">+SUM(J24:J27)</f>
        <v>0</v>
      </c>
      <c r="K58" s="857">
        <f>+SUM(K24:K27)</f>
        <v>-1599.51</v>
      </c>
      <c r="L58" s="879"/>
    </row>
    <row r="59" spans="1:14" ht="15">
      <c r="A59" s="978">
        <f t="shared" si="37"/>
        <v>6</v>
      </c>
      <c r="B59" s="843" t="s">
        <v>803</v>
      </c>
      <c r="C59" s="686">
        <f>+C28</f>
        <v>0</v>
      </c>
      <c r="D59" s="686">
        <f>+D28</f>
        <v>0</v>
      </c>
      <c r="E59" s="686">
        <f t="shared" ref="E59:E61" si="40">+C59+D59</f>
        <v>0</v>
      </c>
      <c r="F59" s="686">
        <f>+F28</f>
        <v>0</v>
      </c>
      <c r="G59" s="484">
        <f t="shared" si="38"/>
        <v>0</v>
      </c>
      <c r="H59" s="686">
        <f>+H28</f>
        <v>0</v>
      </c>
      <c r="I59" s="686">
        <f t="shared" ref="I59:J59" si="41">+I28</f>
        <v>3.0100000000000002</v>
      </c>
      <c r="J59" s="686">
        <f t="shared" si="41"/>
        <v>0</v>
      </c>
      <c r="K59" s="686">
        <f>+K28</f>
        <v>-3.0100000000000002</v>
      </c>
      <c r="L59" s="879"/>
    </row>
    <row r="60" spans="1:14">
      <c r="A60" s="978">
        <f t="shared" si="37"/>
        <v>7</v>
      </c>
      <c r="B60" s="1044" t="str">
        <f>+"Total Lines "&amp;A58&amp;" + "&amp;A59</f>
        <v>Total Lines 5 + 6</v>
      </c>
      <c r="C60" s="857">
        <f t="shared" ref="C60:G60" si="42">SUM(C58:C59)</f>
        <v>1441.87</v>
      </c>
      <c r="D60" s="857">
        <f t="shared" si="42"/>
        <v>0</v>
      </c>
      <c r="E60" s="857">
        <f t="shared" si="42"/>
        <v>1441.87</v>
      </c>
      <c r="F60" s="857">
        <f t="shared" si="42"/>
        <v>0</v>
      </c>
      <c r="G60" s="857">
        <f t="shared" si="42"/>
        <v>-1441.87</v>
      </c>
      <c r="H60" s="857">
        <f t="shared" ref="H60:K60" si="43">SUM(H58:H59)</f>
        <v>0</v>
      </c>
      <c r="I60" s="857">
        <f t="shared" si="43"/>
        <v>160.64999999999998</v>
      </c>
      <c r="J60" s="857">
        <f t="shared" si="43"/>
        <v>0</v>
      </c>
      <c r="K60" s="857">
        <f t="shared" si="43"/>
        <v>-1602.52</v>
      </c>
      <c r="L60" s="879"/>
    </row>
    <row r="61" spans="1:14" ht="15">
      <c r="A61" s="978">
        <f t="shared" si="37"/>
        <v>8</v>
      </c>
      <c r="B61" s="1161" t="s">
        <v>1117</v>
      </c>
      <c r="C61" s="686">
        <f>+SUM(C23:C35)-SUM(C24:C28)</f>
        <v>5280.55</v>
      </c>
      <c r="D61" s="686">
        <f>+SUM(D23:D35)-SUM(D24:D28)</f>
        <v>400.62</v>
      </c>
      <c r="E61" s="686">
        <f t="shared" si="40"/>
        <v>5681.17</v>
      </c>
      <c r="F61" s="686">
        <f>+SUM(F23:F35)-SUM(F24:F28)</f>
        <v>-5681.170000000001</v>
      </c>
      <c r="G61" s="484">
        <f t="shared" si="38"/>
        <v>0</v>
      </c>
      <c r="H61" s="686">
        <f>+SUM(H23:H35)-SUM(H24:H28)</f>
        <v>0</v>
      </c>
      <c r="I61" s="686">
        <f>+SUM(I23:I35)-SUM(I24:I28)</f>
        <v>9219.4900000000016</v>
      </c>
      <c r="J61" s="686">
        <f>+SUM(J23:J36)-SUM(J24:J28)</f>
        <v>0</v>
      </c>
      <c r="K61" s="686">
        <f>+SUM(K23:K35)-SUM(K24:K28)</f>
        <v>-9219.49</v>
      </c>
    </row>
    <row r="62" spans="1:14">
      <c r="A62" s="978">
        <f t="shared" si="37"/>
        <v>9</v>
      </c>
      <c r="B62" s="841" t="s">
        <v>1445</v>
      </c>
      <c r="C62" s="857">
        <f t="shared" ref="C62:J62" si="44">+C60+C61</f>
        <v>6722.42</v>
      </c>
      <c r="D62" s="857">
        <f t="shared" si="44"/>
        <v>400.62</v>
      </c>
      <c r="E62" s="857">
        <f t="shared" si="44"/>
        <v>7123.04</v>
      </c>
      <c r="F62" s="857">
        <f t="shared" si="44"/>
        <v>-5681.170000000001</v>
      </c>
      <c r="G62" s="857">
        <f t="shared" si="44"/>
        <v>-1441.87</v>
      </c>
      <c r="H62" s="857">
        <f t="shared" si="44"/>
        <v>0</v>
      </c>
      <c r="I62" s="857">
        <f t="shared" si="44"/>
        <v>9380.1400000000012</v>
      </c>
      <c r="J62" s="857">
        <f t="shared" si="44"/>
        <v>0</v>
      </c>
      <c r="K62" s="857">
        <f>+K60+K61</f>
        <v>-10822.01</v>
      </c>
    </row>
    <row r="63" spans="1:14">
      <c r="A63" s="978">
        <f t="shared" si="37"/>
        <v>10</v>
      </c>
      <c r="B63" s="841"/>
      <c r="C63" s="857"/>
      <c r="D63" s="857"/>
      <c r="E63" s="857"/>
      <c r="F63" s="857"/>
      <c r="G63" s="857"/>
      <c r="I63" s="857"/>
      <c r="J63" s="857"/>
      <c r="K63" s="857"/>
    </row>
    <row r="64" spans="1:14">
      <c r="A64" s="978">
        <f t="shared" si="37"/>
        <v>11</v>
      </c>
      <c r="B64" s="841" t="s">
        <v>151</v>
      </c>
      <c r="C64" s="857"/>
      <c r="D64" s="857"/>
      <c r="E64" s="857"/>
      <c r="F64" s="857"/>
      <c r="G64" s="857"/>
      <c r="I64" s="857"/>
      <c r="J64" s="857"/>
      <c r="K64" s="857"/>
    </row>
    <row r="65" spans="1:12">
      <c r="A65" s="978">
        <f t="shared" si="37"/>
        <v>12</v>
      </c>
      <c r="B65" s="843" t="s">
        <v>982</v>
      </c>
      <c r="C65" s="844">
        <f>+SUM(C11:C14)</f>
        <v>0</v>
      </c>
      <c r="D65" s="844">
        <f t="shared" ref="D65:K65" si="45">+SUM(D11:D14)</f>
        <v>0</v>
      </c>
      <c r="E65" s="844">
        <f t="shared" si="45"/>
        <v>0</v>
      </c>
      <c r="F65" s="844">
        <f t="shared" si="45"/>
        <v>0</v>
      </c>
      <c r="G65" s="844">
        <f t="shared" si="45"/>
        <v>0</v>
      </c>
      <c r="H65" s="844">
        <f t="shared" si="45"/>
        <v>0</v>
      </c>
      <c r="I65" s="844">
        <f t="shared" si="45"/>
        <v>0</v>
      </c>
      <c r="J65" s="844">
        <f t="shared" si="45"/>
        <v>0</v>
      </c>
      <c r="K65" s="844">
        <f t="shared" si="45"/>
        <v>0</v>
      </c>
    </row>
    <row r="66" spans="1:12">
      <c r="A66" s="978">
        <f t="shared" si="37"/>
        <v>13</v>
      </c>
      <c r="B66" s="843" t="s">
        <v>981</v>
      </c>
      <c r="C66" s="845">
        <f>+C15</f>
        <v>1286.46</v>
      </c>
      <c r="D66" s="845">
        <f t="shared" ref="D66:K66" si="46">+D15</f>
        <v>0</v>
      </c>
      <c r="E66" s="845">
        <f t="shared" si="46"/>
        <v>1286.46</v>
      </c>
      <c r="F66" s="845">
        <f t="shared" si="46"/>
        <v>-1286.04</v>
      </c>
      <c r="G66" s="845">
        <f t="shared" si="46"/>
        <v>-0.42000000000007276</v>
      </c>
      <c r="H66" s="845">
        <f t="shared" si="46"/>
        <v>0</v>
      </c>
      <c r="I66" s="845">
        <f t="shared" si="46"/>
        <v>335.78999999999996</v>
      </c>
      <c r="J66" s="845">
        <f t="shared" si="46"/>
        <v>0</v>
      </c>
      <c r="K66" s="845">
        <f t="shared" si="46"/>
        <v>-336.21000000000004</v>
      </c>
    </row>
    <row r="67" spans="1:12">
      <c r="A67" s="978">
        <f t="shared" si="37"/>
        <v>14</v>
      </c>
      <c r="B67" s="843" t="s">
        <v>980</v>
      </c>
      <c r="C67" s="845">
        <f>+C16</f>
        <v>-286.33999999999963</v>
      </c>
      <c r="D67" s="845">
        <f t="shared" ref="D67:K67" si="47">+D16</f>
        <v>0</v>
      </c>
      <c r="E67" s="845">
        <f t="shared" si="47"/>
        <v>-286.33999999999963</v>
      </c>
      <c r="F67" s="845">
        <f t="shared" si="47"/>
        <v>289.21999999999997</v>
      </c>
      <c r="G67" s="845">
        <f t="shared" si="47"/>
        <v>-2.8800000000003365</v>
      </c>
      <c r="H67" s="845">
        <f t="shared" si="47"/>
        <v>0</v>
      </c>
      <c r="I67" s="845">
        <f t="shared" si="47"/>
        <v>219.10000000000002</v>
      </c>
      <c r="J67" s="845">
        <f t="shared" si="47"/>
        <v>0</v>
      </c>
      <c r="K67" s="845">
        <f t="shared" si="47"/>
        <v>-221.98000000000036</v>
      </c>
    </row>
    <row r="68" spans="1:12">
      <c r="A68" s="978">
        <f t="shared" si="37"/>
        <v>15</v>
      </c>
      <c r="B68" s="843" t="s">
        <v>974</v>
      </c>
      <c r="C68" s="844">
        <f>+SUM(C17:C22)</f>
        <v>53.459999999999681</v>
      </c>
      <c r="D68" s="844">
        <f t="shared" ref="D68:K68" si="48">+SUM(D17:D22)</f>
        <v>207.1800000000006</v>
      </c>
      <c r="E68" s="844">
        <f t="shared" si="48"/>
        <v>260.64000000000027</v>
      </c>
      <c r="F68" s="844">
        <f t="shared" si="48"/>
        <v>-317.60999999999967</v>
      </c>
      <c r="G68" s="844">
        <f t="shared" si="48"/>
        <v>56.969999999999381</v>
      </c>
      <c r="H68" s="844">
        <f t="shared" si="48"/>
        <v>43.823718809421706</v>
      </c>
      <c r="I68" s="844">
        <f t="shared" si="48"/>
        <v>0</v>
      </c>
      <c r="J68" s="844">
        <f t="shared" si="48"/>
        <v>0</v>
      </c>
      <c r="K68" s="844">
        <f t="shared" si="48"/>
        <v>56.969999999999381</v>
      </c>
    </row>
    <row r="69" spans="1:12">
      <c r="A69" s="978">
        <f t="shared" si="37"/>
        <v>16</v>
      </c>
      <c r="B69" s="843" t="s">
        <v>973</v>
      </c>
      <c r="C69" s="844">
        <f>+SUM(C23:C35)</f>
        <v>6722.42</v>
      </c>
      <c r="D69" s="844">
        <f t="shared" ref="D69:J69" si="49">+SUM(D23:D35)</f>
        <v>400.62</v>
      </c>
      <c r="E69" s="844">
        <f t="shared" si="49"/>
        <v>7123.0399999999991</v>
      </c>
      <c r="F69" s="844">
        <f t="shared" si="49"/>
        <v>-5681.170000000001</v>
      </c>
      <c r="G69" s="844">
        <f t="shared" si="49"/>
        <v>-1441.87</v>
      </c>
      <c r="H69" s="844">
        <f t="shared" si="49"/>
        <v>0</v>
      </c>
      <c r="I69" s="844">
        <f t="shared" si="49"/>
        <v>9380.1400000000012</v>
      </c>
      <c r="J69" s="844">
        <f t="shared" si="49"/>
        <v>0</v>
      </c>
      <c r="K69" s="844">
        <f>+SUM(K23:K35)</f>
        <v>-10822.01</v>
      </c>
    </row>
    <row r="70" spans="1:12">
      <c r="A70" s="978">
        <f t="shared" si="37"/>
        <v>17</v>
      </c>
      <c r="B70" s="843" t="s">
        <v>975</v>
      </c>
      <c r="C70" s="844">
        <f>+C36</f>
        <v>0</v>
      </c>
      <c r="D70" s="844">
        <f t="shared" ref="D70:K70" si="50">+D36</f>
        <v>0</v>
      </c>
      <c r="E70" s="844">
        <f t="shared" si="50"/>
        <v>0</v>
      </c>
      <c r="F70" s="844">
        <f t="shared" si="50"/>
        <v>0</v>
      </c>
      <c r="G70" s="844">
        <f t="shared" si="50"/>
        <v>0</v>
      </c>
      <c r="H70" s="844">
        <f t="shared" si="50"/>
        <v>0</v>
      </c>
      <c r="I70" s="844">
        <f t="shared" si="50"/>
        <v>0</v>
      </c>
      <c r="J70" s="844">
        <f t="shared" si="50"/>
        <v>0</v>
      </c>
      <c r="K70" s="844">
        <f t="shared" si="50"/>
        <v>0</v>
      </c>
    </row>
    <row r="71" spans="1:12">
      <c r="A71" s="978">
        <f t="shared" si="37"/>
        <v>18</v>
      </c>
      <c r="B71" s="843" t="s">
        <v>976</v>
      </c>
      <c r="C71" s="844"/>
      <c r="D71" s="844"/>
      <c r="E71" s="844"/>
      <c r="F71" s="844"/>
      <c r="G71" s="844"/>
      <c r="H71" s="844"/>
      <c r="I71" s="844"/>
      <c r="J71" s="844"/>
      <c r="K71" s="844"/>
    </row>
    <row r="72" spans="1:12">
      <c r="A72" s="978">
        <f t="shared" si="37"/>
        <v>19</v>
      </c>
      <c r="B72" s="843" t="s">
        <v>977</v>
      </c>
      <c r="C72" s="844">
        <f>SUM(C37:C38)</f>
        <v>0</v>
      </c>
      <c r="D72" s="844">
        <f t="shared" ref="D72:K72" si="51">SUM(D37:D38)</f>
        <v>0</v>
      </c>
      <c r="E72" s="844">
        <f t="shared" si="51"/>
        <v>0</v>
      </c>
      <c r="F72" s="844">
        <f t="shared" si="51"/>
        <v>0</v>
      </c>
      <c r="G72" s="844">
        <f t="shared" si="51"/>
        <v>0</v>
      </c>
      <c r="H72" s="844">
        <f t="shared" si="51"/>
        <v>0</v>
      </c>
      <c r="I72" s="844">
        <f t="shared" si="51"/>
        <v>0</v>
      </c>
      <c r="J72" s="844">
        <f t="shared" si="51"/>
        <v>0</v>
      </c>
      <c r="K72" s="844">
        <f t="shared" si="51"/>
        <v>0</v>
      </c>
    </row>
    <row r="73" spans="1:12">
      <c r="A73" s="978">
        <f t="shared" si="37"/>
        <v>20</v>
      </c>
      <c r="B73" s="843" t="s">
        <v>978</v>
      </c>
      <c r="C73" s="844">
        <f>+SUM(C39:C40)</f>
        <v>0</v>
      </c>
      <c r="D73" s="844">
        <f t="shared" ref="D73:K73" si="52">+SUM(D39:D40)</f>
        <v>0</v>
      </c>
      <c r="E73" s="844">
        <f t="shared" si="52"/>
        <v>0</v>
      </c>
      <c r="F73" s="844">
        <f t="shared" si="52"/>
        <v>0</v>
      </c>
      <c r="G73" s="844">
        <f t="shared" si="52"/>
        <v>0</v>
      </c>
      <c r="H73" s="844">
        <f t="shared" si="52"/>
        <v>0</v>
      </c>
      <c r="I73" s="844">
        <f t="shared" si="52"/>
        <v>0</v>
      </c>
      <c r="J73" s="844">
        <f t="shared" si="52"/>
        <v>0</v>
      </c>
      <c r="K73" s="844">
        <f t="shared" si="52"/>
        <v>0</v>
      </c>
    </row>
    <row r="74" spans="1:12" s="1007" customFormat="1">
      <c r="A74" s="978">
        <f t="shared" si="37"/>
        <v>21</v>
      </c>
      <c r="B74" s="843" t="s">
        <v>979</v>
      </c>
      <c r="C74" s="846">
        <f>SUM(C41:C54)</f>
        <v>-3291.2899999999945</v>
      </c>
      <c r="D74" s="846">
        <f t="shared" ref="D74:K74" si="53">SUM(D41:D54)</f>
        <v>7512.0999999999949</v>
      </c>
      <c r="E74" s="846">
        <f t="shared" si="53"/>
        <v>4220.8100000000013</v>
      </c>
      <c r="F74" s="846">
        <f t="shared" si="53"/>
        <v>-5665.9000000000015</v>
      </c>
      <c r="G74" s="846">
        <f t="shared" si="53"/>
        <v>1445.0900000000006</v>
      </c>
      <c r="H74" s="846">
        <f t="shared" si="53"/>
        <v>-38.421848960458178</v>
      </c>
      <c r="I74" s="846">
        <f t="shared" si="53"/>
        <v>12973.800000000001</v>
      </c>
      <c r="J74" s="846">
        <f t="shared" si="53"/>
        <v>0</v>
      </c>
      <c r="K74" s="846">
        <f t="shared" si="53"/>
        <v>-11528.710000000001</v>
      </c>
      <c r="L74" s="618"/>
    </row>
    <row r="75" spans="1:12" ht="13.5" thickBot="1">
      <c r="A75" s="935">
        <f>+A74+1</f>
        <v>22</v>
      </c>
      <c r="B75" s="841" t="str">
        <f>+"Total  Sum (Ln "&amp;A65&amp;" to Ln "&amp;A74&amp;")"</f>
        <v>Total  Sum (Ln 12 to Ln 21)</v>
      </c>
      <c r="C75" s="847">
        <f t="shared" ref="C75" si="54">SUM(C65:C74)</f>
        <v>4484.7100000000055</v>
      </c>
      <c r="D75" s="847">
        <f t="shared" ref="D75:K75" si="55">SUM(D65:D74)</f>
        <v>8119.899999999996</v>
      </c>
      <c r="E75" s="847">
        <f t="shared" si="55"/>
        <v>12604.61</v>
      </c>
      <c r="F75" s="847">
        <f t="shared" si="55"/>
        <v>-12661.500000000002</v>
      </c>
      <c r="G75" s="847">
        <f t="shared" si="55"/>
        <v>56.889999999999645</v>
      </c>
      <c r="H75" s="847">
        <f t="shared" si="55"/>
        <v>5.4018698489635284</v>
      </c>
      <c r="I75" s="847">
        <f t="shared" si="55"/>
        <v>22908.83</v>
      </c>
      <c r="J75" s="847">
        <f t="shared" si="55"/>
        <v>0</v>
      </c>
      <c r="K75" s="847">
        <f t="shared" si="55"/>
        <v>-22851.940000000002</v>
      </c>
    </row>
    <row r="76" spans="1:12" ht="13.5" thickTop="1">
      <c r="A76" s="978">
        <f t="shared" si="37"/>
        <v>23</v>
      </c>
      <c r="B76" s="841"/>
      <c r="C76" s="841"/>
      <c r="D76" s="841"/>
      <c r="E76" s="848"/>
      <c r="F76" s="842"/>
      <c r="G76" s="848"/>
      <c r="I76" s="842"/>
      <c r="J76" s="842"/>
      <c r="K76" s="842"/>
    </row>
    <row r="77" spans="1:12">
      <c r="A77" s="978">
        <f t="shared" si="37"/>
        <v>24</v>
      </c>
      <c r="B77" s="841" t="str">
        <f>+"Payroll O&amp;M Excl A&amp;G  Sum (Ln "&amp;A65&amp;" To Ln "&amp;A73&amp;")"</f>
        <v>Payroll O&amp;M Excl A&amp;G  Sum (Ln 12 To Ln 20)</v>
      </c>
      <c r="C77" s="844"/>
      <c r="D77" s="844"/>
      <c r="E77" s="844"/>
      <c r="F77" s="844"/>
      <c r="G77" s="844"/>
      <c r="H77" s="844">
        <f>+SUM(H65:H73)</f>
        <v>43.823718809421706</v>
      </c>
      <c r="I77" s="844"/>
      <c r="J77" s="844"/>
      <c r="K77" s="844"/>
    </row>
    <row r="78" spans="1:12">
      <c r="A78" s="977"/>
      <c r="B78" s="841"/>
      <c r="C78" s="841"/>
      <c r="D78" s="844"/>
      <c r="E78" s="842"/>
      <c r="F78" s="842"/>
      <c r="G78" s="842"/>
      <c r="I78" s="842"/>
      <c r="J78" s="842"/>
      <c r="K78" s="842"/>
      <c r="L78" s="1007"/>
    </row>
    <row r="79" spans="1:12">
      <c r="A79" s="977" t="s">
        <v>956</v>
      </c>
      <c r="B79" s="841"/>
      <c r="C79" s="841"/>
      <c r="D79" s="841"/>
      <c r="E79" s="848"/>
      <c r="F79" s="848"/>
      <c r="G79" s="848"/>
      <c r="I79" s="848"/>
      <c r="J79" s="848"/>
      <c r="K79" s="848"/>
    </row>
    <row r="80" spans="1:12" ht="39.6" customHeight="1">
      <c r="A80" s="1048" t="s">
        <v>271</v>
      </c>
      <c r="B80" s="1729" t="s">
        <v>1173</v>
      </c>
      <c r="C80" s="1729"/>
      <c r="D80" s="1729"/>
      <c r="E80" s="1729"/>
      <c r="F80" s="1729"/>
      <c r="G80" s="1729"/>
      <c r="H80" s="1729"/>
      <c r="I80" s="1729"/>
      <c r="J80" s="1729"/>
      <c r="K80" s="1729"/>
    </row>
    <row r="81" spans="1:11">
      <c r="A81" s="1047" t="s">
        <v>615</v>
      </c>
      <c r="B81" s="841" t="s">
        <v>957</v>
      </c>
      <c r="C81" s="841"/>
      <c r="D81" s="841"/>
      <c r="E81" s="848"/>
      <c r="F81" s="848"/>
      <c r="G81" s="848"/>
      <c r="I81" s="848"/>
      <c r="J81" s="848"/>
      <c r="K81" s="848"/>
    </row>
    <row r="82" spans="1:11">
      <c r="A82" s="1048" t="s">
        <v>616</v>
      </c>
      <c r="B82" s="1654" t="s">
        <v>1108</v>
      </c>
      <c r="C82" s="1654"/>
      <c r="D82" s="1654"/>
      <c r="E82" s="1654"/>
      <c r="F82" s="1654"/>
      <c r="G82" s="1654"/>
      <c r="H82" s="1654"/>
      <c r="I82" s="1654"/>
      <c r="J82" s="1654"/>
      <c r="K82" s="1654"/>
    </row>
    <row r="83" spans="1:11">
      <c r="A83" s="1160" t="s">
        <v>617</v>
      </c>
      <c r="B83" s="1730" t="s">
        <v>1170</v>
      </c>
      <c r="C83" s="1730"/>
      <c r="D83" s="1730"/>
      <c r="E83" s="1730"/>
      <c r="F83" s="1730"/>
      <c r="G83" s="1730"/>
      <c r="H83" s="1730"/>
      <c r="I83" s="1730"/>
      <c r="J83" s="1730"/>
      <c r="K83" s="1730"/>
    </row>
    <row r="84" spans="1:11">
      <c r="A84" s="1159"/>
      <c r="B84" s="841"/>
      <c r="C84" s="841"/>
      <c r="D84" s="841"/>
      <c r="E84" s="841"/>
      <c r="F84" s="841"/>
      <c r="G84" s="841"/>
      <c r="I84" s="841"/>
      <c r="J84" s="841"/>
      <c r="K84" s="841"/>
    </row>
    <row r="85" spans="1:11">
      <c r="B85" s="841"/>
      <c r="C85" s="841"/>
      <c r="D85" s="841"/>
      <c r="E85" s="841"/>
      <c r="F85" s="841"/>
      <c r="G85" s="841"/>
      <c r="I85" s="841"/>
      <c r="J85" s="841"/>
      <c r="K85" s="841"/>
    </row>
  </sheetData>
  <mergeCells count="10">
    <mergeCell ref="B80:K80"/>
    <mergeCell ref="B82:K82"/>
    <mergeCell ref="B83:K83"/>
    <mergeCell ref="A1:K1"/>
    <mergeCell ref="A2:K2"/>
    <mergeCell ref="I9:J9"/>
    <mergeCell ref="C9:E9"/>
    <mergeCell ref="G9:H9"/>
    <mergeCell ref="A3:K3"/>
    <mergeCell ref="A5:K5"/>
  </mergeCells>
  <phoneticPr fontId="97" type="noConversion"/>
  <printOptions horizontalCentered="1"/>
  <pageMargins left="0.7" right="0.7" top="0.7" bottom="0.7" header="0.3" footer="0.5"/>
  <pageSetup scale="60" orientation="portrait" r:id="rId1"/>
  <headerFooter>
    <oddFooter>&amp;CPage &amp;P of &amp;N&amp;R&amp;A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sqref="A1:F68"/>
    </sheetView>
  </sheetViews>
  <sheetFormatPr defaultColWidth="8.85546875" defaultRowHeight="12.75"/>
  <cols>
    <col min="1" max="1" width="5.28515625" style="630" customWidth="1"/>
    <col min="2" max="2" width="44.7109375" style="170" customWidth="1"/>
    <col min="3" max="3" width="13.42578125" style="170" bestFit="1" customWidth="1"/>
    <col min="4" max="4" width="16.140625" style="170" bestFit="1" customWidth="1"/>
    <col min="5" max="5" width="14.28515625" style="170" customWidth="1"/>
    <col min="6" max="6" width="15.5703125" style="170" bestFit="1" customWidth="1"/>
    <col min="7" max="8" width="8.85546875" style="170"/>
    <col min="9" max="9" width="10.85546875" style="170" bestFit="1" customWidth="1"/>
    <col min="10" max="16384" width="8.85546875" style="170"/>
  </cols>
  <sheetData>
    <row r="1" spans="1:10">
      <c r="A1" s="1700" t="str">
        <f>'MISO Cover'!C6</f>
        <v>Entergy New Orleans, Inc.</v>
      </c>
      <c r="B1" s="1700"/>
      <c r="C1" s="1700"/>
      <c r="D1" s="1700"/>
      <c r="E1" s="1700"/>
      <c r="F1" s="1700"/>
      <c r="G1" s="849"/>
      <c r="I1" s="850"/>
    </row>
    <row r="2" spans="1:10">
      <c r="A2" s="1701" t="s">
        <v>1171</v>
      </c>
      <c r="B2" s="1701"/>
      <c r="C2" s="1701"/>
      <c r="D2" s="1701"/>
      <c r="E2" s="1701"/>
      <c r="F2" s="1701"/>
      <c r="G2" s="1001"/>
    </row>
    <row r="3" spans="1:10">
      <c r="A3" s="1700" t="str">
        <f>'MISO Cover'!K4</f>
        <v>For  the 12 Months Ended 12/31/2014</v>
      </c>
      <c r="B3" s="1700"/>
      <c r="C3" s="1700"/>
      <c r="D3" s="1700"/>
      <c r="E3" s="1700"/>
      <c r="F3" s="1700"/>
      <c r="G3" s="851"/>
    </row>
    <row r="4" spans="1:10">
      <c r="A4" s="620"/>
      <c r="B4" s="620"/>
      <c r="C4" s="620"/>
      <c r="D4" s="620"/>
      <c r="E4" s="620"/>
      <c r="F4" s="620"/>
      <c r="G4" s="620"/>
    </row>
    <row r="5" spans="1:10">
      <c r="A5" s="1066"/>
      <c r="B5" s="852"/>
      <c r="C5" s="778"/>
      <c r="D5" s="1306"/>
      <c r="E5" s="1306"/>
      <c r="F5" s="1306" t="s">
        <v>959</v>
      </c>
    </row>
    <row r="6" spans="1:10">
      <c r="A6" s="619" t="s">
        <v>525</v>
      </c>
      <c r="B6" s="1067" t="s">
        <v>167</v>
      </c>
      <c r="C6" s="172"/>
      <c r="D6" s="1067" t="s">
        <v>215</v>
      </c>
      <c r="E6" s="1067" t="s">
        <v>155</v>
      </c>
      <c r="F6" s="1360" t="s">
        <v>168</v>
      </c>
    </row>
    <row r="7" spans="1:10">
      <c r="A7" s="935">
        <v>1</v>
      </c>
      <c r="B7" s="1502" t="s">
        <v>276</v>
      </c>
      <c r="C7" s="1509"/>
      <c r="D7" s="1502" t="s">
        <v>1259</v>
      </c>
      <c r="E7" s="1502" t="s">
        <v>772</v>
      </c>
      <c r="F7" s="1502" t="s">
        <v>812</v>
      </c>
      <c r="H7" s="171"/>
      <c r="I7" s="171"/>
    </row>
    <row r="8" spans="1:10">
      <c r="A8" s="979">
        <f>A7+0.01</f>
        <v>1.01</v>
      </c>
      <c r="B8" s="1309" t="s">
        <v>1148</v>
      </c>
      <c r="C8" s="622"/>
      <c r="D8" s="1361">
        <v>0</v>
      </c>
      <c r="E8" s="1361">
        <v>0</v>
      </c>
      <c r="F8" s="623">
        <f>SUM(D8:E8)</f>
        <v>0</v>
      </c>
      <c r="G8" s="172"/>
      <c r="H8" s="171"/>
      <c r="I8" s="171"/>
      <c r="J8" s="172"/>
    </row>
    <row r="9" spans="1:10" s="172" customFormat="1">
      <c r="A9" s="979">
        <f t="shared" ref="A9:A40" si="0">A8+0.01</f>
        <v>1.02</v>
      </c>
      <c r="B9" s="1309" t="s">
        <v>1149</v>
      </c>
      <c r="C9" s="622"/>
      <c r="D9" s="1361">
        <v>0</v>
      </c>
      <c r="E9" s="1361">
        <v>0</v>
      </c>
      <c r="F9" s="623">
        <f t="shared" ref="F9:F40" si="1">SUM(D9:E9)</f>
        <v>0</v>
      </c>
      <c r="G9" s="622"/>
      <c r="H9" s="171"/>
      <c r="I9" s="171"/>
      <c r="J9" s="171"/>
    </row>
    <row r="10" spans="1:10" s="171" customFormat="1">
      <c r="A10" s="979">
        <f t="shared" si="0"/>
        <v>1.03</v>
      </c>
      <c r="B10" s="621" t="s">
        <v>278</v>
      </c>
      <c r="C10" s="622"/>
      <c r="D10" s="1361">
        <v>640.85</v>
      </c>
      <c r="E10" s="1361">
        <v>0</v>
      </c>
      <c r="F10" s="623">
        <f t="shared" si="1"/>
        <v>640.85</v>
      </c>
      <c r="G10" s="622"/>
    </row>
    <row r="11" spans="1:10" s="171" customFormat="1">
      <c r="A11" s="979">
        <f t="shared" si="0"/>
        <v>1.04</v>
      </c>
      <c r="B11" s="621" t="s">
        <v>279</v>
      </c>
      <c r="C11" s="622"/>
      <c r="D11" s="1361">
        <v>-403.5299999999998</v>
      </c>
      <c r="E11" s="1361">
        <v>0</v>
      </c>
      <c r="F11" s="623">
        <f t="shared" si="1"/>
        <v>-403.5299999999998</v>
      </c>
      <c r="G11" s="622"/>
    </row>
    <row r="12" spans="1:10" s="171" customFormat="1">
      <c r="A12" s="979">
        <f t="shared" si="0"/>
        <v>1.05</v>
      </c>
      <c r="B12" s="1310" t="s">
        <v>1125</v>
      </c>
      <c r="C12" s="622"/>
      <c r="D12" s="1361">
        <v>0</v>
      </c>
      <c r="E12" s="1361">
        <v>-10.33</v>
      </c>
      <c r="F12" s="623">
        <f t="shared" si="1"/>
        <v>-10.33</v>
      </c>
      <c r="G12" s="622"/>
    </row>
    <row r="13" spans="1:10" s="171" customFormat="1">
      <c r="A13" s="979">
        <f t="shared" si="0"/>
        <v>1.06</v>
      </c>
      <c r="B13" s="1310" t="s">
        <v>1126</v>
      </c>
      <c r="C13" s="622"/>
      <c r="D13" s="1361">
        <v>0</v>
      </c>
      <c r="E13" s="1361">
        <v>0</v>
      </c>
      <c r="F13" s="623">
        <f t="shared" si="1"/>
        <v>0</v>
      </c>
      <c r="G13" s="622"/>
    </row>
    <row r="14" spans="1:10" s="171" customFormat="1">
      <c r="A14" s="979">
        <f t="shared" si="0"/>
        <v>1.07</v>
      </c>
      <c r="B14" s="1310" t="s">
        <v>1127</v>
      </c>
      <c r="C14" s="622"/>
      <c r="D14" s="1361">
        <v>0</v>
      </c>
      <c r="E14" s="1361">
        <v>0</v>
      </c>
      <c r="F14" s="623">
        <f t="shared" si="1"/>
        <v>0</v>
      </c>
      <c r="G14" s="622"/>
    </row>
    <row r="15" spans="1:10" s="171" customFormat="1">
      <c r="A15" s="979">
        <f t="shared" si="0"/>
        <v>1.08</v>
      </c>
      <c r="B15" s="1310" t="s">
        <v>1128</v>
      </c>
      <c r="C15" s="622"/>
      <c r="D15" s="1361">
        <v>0</v>
      </c>
      <c r="E15" s="1361">
        <v>20.659999999999997</v>
      </c>
      <c r="F15" s="623">
        <f t="shared" si="1"/>
        <v>20.659999999999997</v>
      </c>
      <c r="G15" s="622"/>
    </row>
    <row r="16" spans="1:10" s="171" customFormat="1">
      <c r="A16" s="979">
        <f t="shared" si="0"/>
        <v>1.0900000000000001</v>
      </c>
      <c r="B16" s="1310" t="s">
        <v>1129</v>
      </c>
      <c r="C16" s="622"/>
      <c r="D16" s="1361">
        <v>0</v>
      </c>
      <c r="E16" s="1361">
        <v>0</v>
      </c>
      <c r="F16" s="623">
        <f t="shared" si="1"/>
        <v>0</v>
      </c>
      <c r="G16" s="622"/>
    </row>
    <row r="17" spans="1:7" s="171" customFormat="1">
      <c r="A17" s="979">
        <f t="shared" si="0"/>
        <v>1.1000000000000001</v>
      </c>
      <c r="B17" s="1310" t="s">
        <v>1130</v>
      </c>
      <c r="C17" s="622"/>
      <c r="D17" s="1361">
        <v>0</v>
      </c>
      <c r="E17" s="1361">
        <v>0</v>
      </c>
      <c r="F17" s="623">
        <f t="shared" si="1"/>
        <v>0</v>
      </c>
      <c r="G17" s="622"/>
    </row>
    <row r="18" spans="1:7" s="171" customFormat="1">
      <c r="A18" s="979">
        <f t="shared" si="0"/>
        <v>1.1100000000000001</v>
      </c>
      <c r="B18" s="1310" t="s">
        <v>1132</v>
      </c>
      <c r="C18" s="622"/>
      <c r="D18" s="1361">
        <v>0</v>
      </c>
      <c r="E18" s="1361">
        <v>0</v>
      </c>
      <c r="F18" s="623">
        <f t="shared" si="1"/>
        <v>0</v>
      </c>
      <c r="G18" s="622"/>
    </row>
    <row r="19" spans="1:7" s="171" customFormat="1">
      <c r="A19" s="979">
        <f t="shared" si="0"/>
        <v>1.1200000000000001</v>
      </c>
      <c r="B19" s="1310" t="s">
        <v>1131</v>
      </c>
      <c r="C19" s="622"/>
      <c r="D19" s="1361">
        <v>0</v>
      </c>
      <c r="E19" s="1361">
        <v>0</v>
      </c>
      <c r="F19" s="623">
        <f t="shared" si="1"/>
        <v>0</v>
      </c>
      <c r="G19" s="622"/>
    </row>
    <row r="20" spans="1:7" s="171" customFormat="1">
      <c r="A20" s="979">
        <f t="shared" si="0"/>
        <v>1.1300000000000001</v>
      </c>
      <c r="B20" s="1310" t="s">
        <v>1123</v>
      </c>
      <c r="C20" s="622"/>
      <c r="D20" s="1361">
        <v>560.62</v>
      </c>
      <c r="E20" s="1361">
        <v>516.44999999999993</v>
      </c>
      <c r="F20" s="623">
        <f t="shared" si="1"/>
        <v>1077.07</v>
      </c>
      <c r="G20" s="622"/>
    </row>
    <row r="21" spans="1:7" s="171" customFormat="1">
      <c r="A21" s="979">
        <f t="shared" si="0"/>
        <v>1.1400000000000001</v>
      </c>
      <c r="B21" s="1310" t="s">
        <v>1133</v>
      </c>
      <c r="C21" s="622"/>
      <c r="D21" s="1361">
        <v>0</v>
      </c>
      <c r="E21" s="1361">
        <v>0</v>
      </c>
      <c r="F21" s="623">
        <f t="shared" si="1"/>
        <v>0</v>
      </c>
      <c r="G21" s="622"/>
    </row>
    <row r="22" spans="1:7" s="171" customFormat="1">
      <c r="A22" s="979">
        <f t="shared" si="0"/>
        <v>1.1500000000000001</v>
      </c>
      <c r="B22" s="1310" t="s">
        <v>1122</v>
      </c>
      <c r="C22" s="622"/>
      <c r="D22" s="1361">
        <v>652.58000000000004</v>
      </c>
      <c r="E22" s="1361">
        <v>36.33</v>
      </c>
      <c r="F22" s="623">
        <f t="shared" si="1"/>
        <v>688.91000000000008</v>
      </c>
      <c r="G22" s="622"/>
    </row>
    <row r="23" spans="1:7" s="171" customFormat="1">
      <c r="A23" s="979">
        <f t="shared" si="0"/>
        <v>1.1600000000000001</v>
      </c>
      <c r="B23" s="1310" t="s">
        <v>1134</v>
      </c>
      <c r="C23" s="622"/>
      <c r="D23" s="1361">
        <v>1.51</v>
      </c>
      <c r="E23" s="1361">
        <v>5.23</v>
      </c>
      <c r="F23" s="623">
        <f t="shared" si="1"/>
        <v>6.74</v>
      </c>
      <c r="G23" s="622"/>
    </row>
    <row r="24" spans="1:7" s="171" customFormat="1">
      <c r="A24" s="979">
        <f t="shared" si="0"/>
        <v>1.1700000000000002</v>
      </c>
      <c r="B24" s="1310" t="s">
        <v>1135</v>
      </c>
      <c r="C24" s="622"/>
      <c r="D24" s="1361">
        <v>0</v>
      </c>
      <c r="E24" s="1361">
        <v>0</v>
      </c>
      <c r="F24" s="623">
        <f t="shared" si="1"/>
        <v>0</v>
      </c>
      <c r="G24" s="622"/>
    </row>
    <row r="25" spans="1:7" s="171" customFormat="1">
      <c r="A25" s="979">
        <f t="shared" si="0"/>
        <v>1.1800000000000002</v>
      </c>
      <c r="B25" s="1310" t="s">
        <v>1136</v>
      </c>
      <c r="C25" s="622"/>
      <c r="D25" s="1361">
        <v>0</v>
      </c>
      <c r="E25" s="1361">
        <v>0</v>
      </c>
      <c r="F25" s="623">
        <f t="shared" si="1"/>
        <v>0</v>
      </c>
      <c r="G25" s="622"/>
    </row>
    <row r="26" spans="1:7" s="171" customFormat="1">
      <c r="A26" s="979">
        <f t="shared" si="0"/>
        <v>1.1900000000000002</v>
      </c>
      <c r="B26" s="1311" t="s">
        <v>1093</v>
      </c>
      <c r="C26" s="622"/>
      <c r="D26" s="1361">
        <v>0</v>
      </c>
      <c r="E26" s="1361">
        <v>0</v>
      </c>
      <c r="F26" s="623">
        <f t="shared" si="1"/>
        <v>0</v>
      </c>
      <c r="G26" s="1006"/>
    </row>
    <row r="27" spans="1:7" s="171" customFormat="1">
      <c r="A27" s="979">
        <f t="shared" si="0"/>
        <v>1.2000000000000002</v>
      </c>
      <c r="B27" s="1311" t="s">
        <v>1150</v>
      </c>
      <c r="C27" s="622"/>
      <c r="D27" s="1361">
        <v>20.28</v>
      </c>
      <c r="E27" s="1361">
        <v>185.5</v>
      </c>
      <c r="F27" s="623">
        <f t="shared" si="1"/>
        <v>205.78</v>
      </c>
      <c r="G27" s="1006"/>
    </row>
    <row r="28" spans="1:7" s="171" customFormat="1">
      <c r="A28" s="979">
        <f t="shared" si="0"/>
        <v>1.2100000000000002</v>
      </c>
      <c r="B28" s="1311" t="s">
        <v>283</v>
      </c>
      <c r="C28" s="622"/>
      <c r="D28" s="1361">
        <v>0</v>
      </c>
      <c r="E28" s="1361">
        <v>0</v>
      </c>
      <c r="F28" s="623">
        <f t="shared" si="1"/>
        <v>0</v>
      </c>
      <c r="G28" s="622"/>
    </row>
    <row r="29" spans="1:7" s="171" customFormat="1">
      <c r="A29" s="979">
        <f t="shared" si="0"/>
        <v>1.2200000000000002</v>
      </c>
      <c r="B29" s="1311" t="s">
        <v>1172</v>
      </c>
      <c r="C29" s="622"/>
      <c r="D29" s="1361">
        <v>0</v>
      </c>
      <c r="E29" s="1361">
        <v>0</v>
      </c>
      <c r="F29" s="623">
        <f t="shared" si="1"/>
        <v>0</v>
      </c>
      <c r="G29" s="622"/>
    </row>
    <row r="30" spans="1:7" s="171" customFormat="1">
      <c r="A30" s="979">
        <f t="shared" si="0"/>
        <v>1.2300000000000002</v>
      </c>
      <c r="B30" s="621" t="s">
        <v>284</v>
      </c>
      <c r="C30" s="622"/>
      <c r="D30" s="1361">
        <v>1128.51</v>
      </c>
      <c r="E30" s="1361">
        <v>4223.25</v>
      </c>
      <c r="F30" s="623">
        <f t="shared" si="1"/>
        <v>5351.76</v>
      </c>
      <c r="G30" s="622"/>
    </row>
    <row r="31" spans="1:7" s="171" customFormat="1">
      <c r="A31" s="979">
        <f t="shared" si="0"/>
        <v>1.2400000000000002</v>
      </c>
      <c r="B31" s="621" t="s">
        <v>285</v>
      </c>
      <c r="C31" s="622"/>
      <c r="D31" s="1361">
        <v>848.7700000000001</v>
      </c>
      <c r="E31" s="1361">
        <v>0</v>
      </c>
      <c r="F31" s="623">
        <f t="shared" si="1"/>
        <v>848.7700000000001</v>
      </c>
      <c r="G31" s="622"/>
    </row>
    <row r="32" spans="1:7" s="171" customFormat="1">
      <c r="A32" s="979">
        <f t="shared" si="0"/>
        <v>1.2500000000000002</v>
      </c>
      <c r="B32" s="621" t="s">
        <v>286</v>
      </c>
      <c r="C32" s="622"/>
      <c r="D32" s="1361">
        <v>3385.7800000000025</v>
      </c>
      <c r="E32" s="1361">
        <v>0</v>
      </c>
      <c r="F32" s="623">
        <f t="shared" si="1"/>
        <v>3385.7800000000025</v>
      </c>
      <c r="G32" s="622"/>
    </row>
    <row r="33" spans="1:10" s="171" customFormat="1">
      <c r="A33" s="979">
        <f t="shared" si="0"/>
        <v>1.2600000000000002</v>
      </c>
      <c r="B33" s="621" t="s">
        <v>287</v>
      </c>
      <c r="C33" s="622"/>
      <c r="D33" s="1361">
        <v>0</v>
      </c>
      <c r="E33" s="1361">
        <v>1.52</v>
      </c>
      <c r="F33" s="623">
        <f t="shared" si="1"/>
        <v>1.52</v>
      </c>
      <c r="G33" s="622"/>
    </row>
    <row r="34" spans="1:10" s="171" customFormat="1">
      <c r="A34" s="979">
        <f t="shared" si="0"/>
        <v>1.2700000000000002</v>
      </c>
      <c r="B34" s="621" t="s">
        <v>288</v>
      </c>
      <c r="C34" s="622"/>
      <c r="D34" s="1361">
        <v>290.17</v>
      </c>
      <c r="E34" s="1361">
        <v>2223.0300000000002</v>
      </c>
      <c r="F34" s="623">
        <f t="shared" si="1"/>
        <v>2513.2000000000003</v>
      </c>
      <c r="G34" s="622"/>
    </row>
    <row r="35" spans="1:10" s="171" customFormat="1">
      <c r="A35" s="979">
        <f t="shared" si="0"/>
        <v>1.2800000000000002</v>
      </c>
      <c r="B35" s="621" t="s">
        <v>289</v>
      </c>
      <c r="C35" s="622"/>
      <c r="D35" s="1361">
        <v>7200</v>
      </c>
      <c r="E35" s="1361">
        <v>0</v>
      </c>
      <c r="F35" s="623">
        <f t="shared" si="1"/>
        <v>7200</v>
      </c>
      <c r="G35" s="622"/>
    </row>
    <row r="36" spans="1:10" s="171" customFormat="1">
      <c r="A36" s="979">
        <f t="shared" si="0"/>
        <v>1.2900000000000003</v>
      </c>
      <c r="B36" s="621" t="s">
        <v>290</v>
      </c>
      <c r="C36" s="622"/>
      <c r="D36" s="1361">
        <v>0</v>
      </c>
      <c r="E36" s="1361">
        <v>0</v>
      </c>
      <c r="F36" s="623">
        <f t="shared" si="1"/>
        <v>0</v>
      </c>
      <c r="G36" s="622"/>
    </row>
    <row r="37" spans="1:10" s="171" customFormat="1">
      <c r="A37" s="979">
        <f t="shared" si="0"/>
        <v>1.3000000000000003</v>
      </c>
      <c r="B37" s="621" t="s">
        <v>583</v>
      </c>
      <c r="C37" s="622"/>
      <c r="D37" s="1361">
        <v>0.56999999999999995</v>
      </c>
      <c r="E37" s="1361">
        <v>0</v>
      </c>
      <c r="F37" s="623">
        <f t="shared" si="1"/>
        <v>0.56999999999999995</v>
      </c>
      <c r="G37" s="622"/>
    </row>
    <row r="38" spans="1:10" s="171" customFormat="1">
      <c r="A38" s="979">
        <f t="shared" si="0"/>
        <v>1.3100000000000003</v>
      </c>
      <c r="B38" s="621" t="s">
        <v>291</v>
      </c>
      <c r="C38" s="622"/>
      <c r="D38" s="1361">
        <v>0</v>
      </c>
      <c r="E38" s="1361">
        <v>20.32</v>
      </c>
      <c r="F38" s="623">
        <f t="shared" si="1"/>
        <v>20.32</v>
      </c>
      <c r="G38" s="622"/>
    </row>
    <row r="39" spans="1:10" s="171" customFormat="1">
      <c r="A39" s="979">
        <f t="shared" si="0"/>
        <v>1.3200000000000003</v>
      </c>
      <c r="B39" s="621" t="s">
        <v>584</v>
      </c>
      <c r="C39" s="622"/>
      <c r="D39" s="1361">
        <v>31.77</v>
      </c>
      <c r="E39" s="1361">
        <v>0</v>
      </c>
      <c r="F39" s="623">
        <f t="shared" si="1"/>
        <v>31.77</v>
      </c>
      <c r="G39" s="622"/>
    </row>
    <row r="40" spans="1:10" s="171" customFormat="1">
      <c r="A40" s="979">
        <f t="shared" si="0"/>
        <v>1.3300000000000003</v>
      </c>
      <c r="B40" s="621" t="s">
        <v>292</v>
      </c>
      <c r="C40" s="622"/>
      <c r="D40" s="1361">
        <v>0</v>
      </c>
      <c r="E40" s="1361">
        <v>1.51</v>
      </c>
      <c r="F40" s="623">
        <f t="shared" si="1"/>
        <v>1.51</v>
      </c>
      <c r="G40" s="622"/>
    </row>
    <row r="41" spans="1:10" s="171" customFormat="1" ht="13.5" thickBot="1">
      <c r="A41" s="935">
        <f>A7+1</f>
        <v>2</v>
      </c>
      <c r="B41" s="653" t="s">
        <v>1124</v>
      </c>
      <c r="C41" s="622"/>
      <c r="D41" s="654">
        <f>SUM(D8:D40)</f>
        <v>14357.880000000003</v>
      </c>
      <c r="E41" s="654">
        <f>SUM(E8:E40)</f>
        <v>7223.4700000000012</v>
      </c>
      <c r="F41" s="654">
        <f>SUM(F8:F40)</f>
        <v>21581.350000000002</v>
      </c>
      <c r="G41" s="622"/>
    </row>
    <row r="42" spans="1:10" s="171" customFormat="1" ht="13.5" thickTop="1">
      <c r="A42" s="935">
        <f>A41+1</f>
        <v>3</v>
      </c>
      <c r="B42" s="1068"/>
      <c r="C42" s="1068"/>
      <c r="D42" s="1068"/>
      <c r="E42" s="1069"/>
      <c r="F42" s="1069"/>
      <c r="G42" s="842"/>
      <c r="H42" s="618"/>
      <c r="I42" s="618"/>
      <c r="J42" s="618"/>
    </row>
    <row r="43" spans="1:10" s="618" customFormat="1">
      <c r="A43" s="935">
        <f t="shared" ref="A43:A48" si="2">A42+1</f>
        <v>4</v>
      </c>
      <c r="B43" s="1068" t="s">
        <v>870</v>
      </c>
      <c r="C43" s="1068"/>
      <c r="D43" s="1068"/>
      <c r="E43" s="1069"/>
      <c r="F43" s="1069"/>
      <c r="G43" s="842"/>
    </row>
    <row r="44" spans="1:10" s="618" customFormat="1">
      <c r="A44" s="935">
        <f t="shared" si="2"/>
        <v>5</v>
      </c>
      <c r="B44" s="1070" t="s">
        <v>958</v>
      </c>
      <c r="C44" s="1071"/>
      <c r="D44" s="1071"/>
      <c r="E44" s="1071"/>
      <c r="F44" s="1071"/>
      <c r="G44" s="857"/>
    </row>
    <row r="45" spans="1:10" s="618" customFormat="1" ht="15">
      <c r="A45" s="935">
        <f t="shared" si="2"/>
        <v>6</v>
      </c>
      <c r="B45" s="1070" t="s">
        <v>803</v>
      </c>
      <c r="C45" s="686"/>
      <c r="D45" s="686">
        <f>D21</f>
        <v>0</v>
      </c>
      <c r="E45" s="686">
        <f>E21</f>
        <v>0</v>
      </c>
      <c r="F45" s="686">
        <f>F21</f>
        <v>0</v>
      </c>
      <c r="G45" s="686"/>
    </row>
    <row r="46" spans="1:10" s="618" customFormat="1">
      <c r="A46" s="935">
        <f t="shared" si="2"/>
        <v>7</v>
      </c>
      <c r="B46" s="1072" t="s">
        <v>1094</v>
      </c>
      <c r="C46" s="1071"/>
      <c r="D46" s="1071">
        <f>SUM(D44:D45)</f>
        <v>0</v>
      </c>
      <c r="E46" s="1071">
        <f>SUM(E44:E45)</f>
        <v>0</v>
      </c>
      <c r="F46" s="1071">
        <f>SUM(F44:F45)</f>
        <v>0</v>
      </c>
      <c r="G46" s="857"/>
    </row>
    <row r="47" spans="1:10" s="618" customFormat="1" ht="15">
      <c r="A47" s="935">
        <f t="shared" si="2"/>
        <v>8</v>
      </c>
      <c r="B47" s="1068" t="s">
        <v>1151</v>
      </c>
      <c r="C47" s="686"/>
      <c r="D47" s="686">
        <f>SUM(D20:D25)-D21</f>
        <v>1214.71</v>
      </c>
      <c r="E47" s="686">
        <f t="shared" ref="E47:F47" si="3">SUM(E20:E25)-E21</f>
        <v>558.01</v>
      </c>
      <c r="F47" s="686">
        <f t="shared" si="3"/>
        <v>1772.72</v>
      </c>
      <c r="G47" s="879"/>
    </row>
    <row r="48" spans="1:10" s="618" customFormat="1">
      <c r="A48" s="935">
        <f t="shared" si="2"/>
        <v>9</v>
      </c>
      <c r="B48" s="1068" t="s">
        <v>1054</v>
      </c>
      <c r="C48" s="1071"/>
      <c r="D48" s="1071">
        <f>+D46+D47</f>
        <v>1214.71</v>
      </c>
      <c r="E48" s="1071">
        <f>+E46+E47</f>
        <v>558.01</v>
      </c>
      <c r="F48" s="1071">
        <f>+F46+F47</f>
        <v>1772.72</v>
      </c>
      <c r="G48" s="857"/>
    </row>
    <row r="49" spans="1:10" s="618" customFormat="1">
      <c r="A49" s="935">
        <f t="shared" ref="A49:A60" si="4">+A48+1</f>
        <v>10</v>
      </c>
      <c r="B49" s="621"/>
      <c r="C49" s="622"/>
      <c r="D49" s="283"/>
      <c r="E49" s="283"/>
      <c r="F49" s="283"/>
      <c r="G49" s="622"/>
      <c r="H49" s="171"/>
      <c r="I49" s="171"/>
      <c r="J49" s="171"/>
    </row>
    <row r="50" spans="1:10" s="171" customFormat="1">
      <c r="A50" s="935">
        <f t="shared" si="4"/>
        <v>11</v>
      </c>
      <c r="B50" s="1068" t="s">
        <v>151</v>
      </c>
      <c r="C50" s="1068"/>
      <c r="D50" s="1068"/>
      <c r="E50" s="1069"/>
      <c r="F50" s="1069"/>
      <c r="G50" s="837"/>
    </row>
    <row r="51" spans="1:10" s="171" customFormat="1">
      <c r="A51" s="935">
        <f t="shared" si="4"/>
        <v>12</v>
      </c>
      <c r="B51" s="1070" t="s">
        <v>982</v>
      </c>
      <c r="D51" s="1073">
        <f>D8+D9</f>
        <v>0</v>
      </c>
      <c r="E51" s="1073">
        <f>E8+E9</f>
        <v>0</v>
      </c>
      <c r="F51" s="1073">
        <f>F8+F9</f>
        <v>0</v>
      </c>
    </row>
    <row r="52" spans="1:10" s="171" customFormat="1">
      <c r="A52" s="935">
        <f t="shared" si="4"/>
        <v>13</v>
      </c>
      <c r="B52" s="1070" t="s">
        <v>981</v>
      </c>
      <c r="D52" s="1074">
        <f t="shared" ref="D52:F53" si="5">D10</f>
        <v>640.85</v>
      </c>
      <c r="E52" s="1074">
        <f t="shared" si="5"/>
        <v>0</v>
      </c>
      <c r="F52" s="1074">
        <f t="shared" si="5"/>
        <v>640.85</v>
      </c>
    </row>
    <row r="53" spans="1:10" s="171" customFormat="1">
      <c r="A53" s="935">
        <f t="shared" si="4"/>
        <v>14</v>
      </c>
      <c r="B53" s="1070" t="s">
        <v>980</v>
      </c>
      <c r="D53" s="1074">
        <f t="shared" si="5"/>
        <v>-403.5299999999998</v>
      </c>
      <c r="E53" s="1074">
        <f t="shared" si="5"/>
        <v>0</v>
      </c>
      <c r="F53" s="1074">
        <f t="shared" si="5"/>
        <v>-403.5299999999998</v>
      </c>
    </row>
    <row r="54" spans="1:10" s="171" customFormat="1">
      <c r="A54" s="935">
        <f t="shared" si="4"/>
        <v>15</v>
      </c>
      <c r="B54" s="1070" t="s">
        <v>974</v>
      </c>
      <c r="D54" s="1073">
        <f>SUM(D12:D19)</f>
        <v>0</v>
      </c>
      <c r="E54" s="1073">
        <f>SUM(E12:E19)</f>
        <v>10.329999999999997</v>
      </c>
      <c r="F54" s="1073">
        <f>SUM(F12:F19)</f>
        <v>10.329999999999997</v>
      </c>
    </row>
    <row r="55" spans="1:10" s="171" customFormat="1">
      <c r="A55" s="935">
        <f t="shared" si="4"/>
        <v>16</v>
      </c>
      <c r="B55" s="1070" t="s">
        <v>973</v>
      </c>
      <c r="D55" s="1073">
        <f>SUM(D20:D25)</f>
        <v>1214.71</v>
      </c>
      <c r="E55" s="1073">
        <f>SUM(E20:E25)</f>
        <v>558.01</v>
      </c>
      <c r="F55" s="1073">
        <f>SUM(F20:F25)</f>
        <v>1772.72</v>
      </c>
    </row>
    <row r="56" spans="1:10" s="171" customFormat="1">
      <c r="A56" s="935">
        <f t="shared" si="4"/>
        <v>17</v>
      </c>
      <c r="B56" s="1070" t="s">
        <v>975</v>
      </c>
      <c r="D56" s="1073">
        <f t="shared" ref="D56:F57" si="6">D26</f>
        <v>0</v>
      </c>
      <c r="E56" s="1073">
        <f t="shared" si="6"/>
        <v>0</v>
      </c>
      <c r="F56" s="1073">
        <f t="shared" si="6"/>
        <v>0</v>
      </c>
    </row>
    <row r="57" spans="1:10" s="171" customFormat="1">
      <c r="A57" s="935">
        <f t="shared" si="4"/>
        <v>18</v>
      </c>
      <c r="B57" s="1070" t="s">
        <v>976</v>
      </c>
      <c r="D57" s="1073">
        <f t="shared" si="6"/>
        <v>20.28</v>
      </c>
      <c r="E57" s="1073">
        <f t="shared" si="6"/>
        <v>185.5</v>
      </c>
      <c r="F57" s="1073">
        <f t="shared" si="6"/>
        <v>205.78</v>
      </c>
    </row>
    <row r="58" spans="1:10" s="171" customFormat="1">
      <c r="A58" s="935">
        <f t="shared" si="4"/>
        <v>19</v>
      </c>
      <c r="B58" s="1070" t="s">
        <v>977</v>
      </c>
      <c r="D58" s="1073">
        <f>D29</f>
        <v>0</v>
      </c>
      <c r="E58" s="1073">
        <f t="shared" ref="E58:F58" si="7">E29</f>
        <v>0</v>
      </c>
      <c r="F58" s="1073">
        <f t="shared" si="7"/>
        <v>0</v>
      </c>
    </row>
    <row r="59" spans="1:10" s="171" customFormat="1">
      <c r="A59" s="935">
        <f t="shared" si="4"/>
        <v>20</v>
      </c>
      <c r="B59" s="1070" t="s">
        <v>978</v>
      </c>
      <c r="D59" s="1073">
        <f>D28</f>
        <v>0</v>
      </c>
      <c r="E59" s="1073">
        <f t="shared" ref="E59:F59" si="8">E28</f>
        <v>0</v>
      </c>
      <c r="F59" s="1073">
        <f t="shared" si="8"/>
        <v>0</v>
      </c>
    </row>
    <row r="60" spans="1:10" s="171" customFormat="1">
      <c r="A60" s="935">
        <f t="shared" si="4"/>
        <v>21</v>
      </c>
      <c r="B60" s="1070" t="s">
        <v>979</v>
      </c>
      <c r="D60" s="1074">
        <f>SUM(D30:D40)</f>
        <v>12885.570000000003</v>
      </c>
      <c r="E60" s="1074">
        <f>SUM(E30:E40)</f>
        <v>6469.630000000001</v>
      </c>
      <c r="F60" s="1074">
        <f>SUM(F30:F40)</f>
        <v>19355.200000000004</v>
      </c>
    </row>
    <row r="61" spans="1:10" s="171" customFormat="1" ht="13.5" thickBot="1">
      <c r="A61" s="935">
        <f>A60+1</f>
        <v>22</v>
      </c>
      <c r="B61" s="1068" t="str">
        <f>B41</f>
        <v>Total  Sum Line 1 Subparts</v>
      </c>
      <c r="D61" s="1075">
        <f>SUM(D51:D60)</f>
        <v>14357.880000000003</v>
      </c>
      <c r="E61" s="1075">
        <f>SUM(E51:E60)</f>
        <v>7223.4700000000012</v>
      </c>
      <c r="F61" s="1075">
        <f>SUM(F51:F60)</f>
        <v>21581.350000000006</v>
      </c>
    </row>
    <row r="62" spans="1:10" s="171" customFormat="1" ht="13.5" thickTop="1">
      <c r="A62" s="978">
        <f>A61+1</f>
        <v>23</v>
      </c>
      <c r="B62" s="1068"/>
      <c r="D62" s="1068"/>
      <c r="E62" s="1068"/>
      <c r="F62" s="1076"/>
      <c r="G62" s="844"/>
    </row>
    <row r="63" spans="1:10" s="171" customFormat="1">
      <c r="A63" s="978">
        <f>A62+1</f>
        <v>24</v>
      </c>
      <c r="B63" s="1158" t="s">
        <v>1168</v>
      </c>
      <c r="D63" s="1073"/>
      <c r="E63" s="1073">
        <f>SUM(E51:E59)</f>
        <v>753.84</v>
      </c>
      <c r="F63" s="1073"/>
      <c r="G63" s="170"/>
    </row>
    <row r="64" spans="1:10" s="171" customFormat="1">
      <c r="A64" s="978"/>
      <c r="B64" s="1072"/>
      <c r="D64" s="1073"/>
      <c r="E64" s="1073"/>
      <c r="F64" s="1073"/>
      <c r="G64" s="170"/>
    </row>
    <row r="65" spans="1:11" s="171" customFormat="1">
      <c r="A65" s="171" t="s">
        <v>298</v>
      </c>
      <c r="B65" s="621"/>
      <c r="D65" s="283"/>
      <c r="E65" s="283"/>
      <c r="F65" s="283"/>
      <c r="G65" s="170"/>
      <c r="H65" s="170"/>
      <c r="I65" s="170"/>
      <c r="J65" s="170"/>
    </row>
    <row r="66" spans="1:11">
      <c r="A66" s="1157" t="s">
        <v>271</v>
      </c>
      <c r="B66" s="653" t="s">
        <v>1043</v>
      </c>
      <c r="C66" s="653"/>
      <c r="D66" s="653"/>
      <c r="E66" s="653"/>
      <c r="F66" s="653"/>
    </row>
    <row r="67" spans="1:11" s="618" customFormat="1">
      <c r="A67" s="1160" t="s">
        <v>615</v>
      </c>
      <c r="B67" s="1730" t="s">
        <v>1169</v>
      </c>
      <c r="C67" s="1730"/>
      <c r="D67" s="1730"/>
      <c r="E67" s="1730"/>
      <c r="F67" s="1730"/>
      <c r="G67" s="1049"/>
      <c r="H67" s="1050"/>
      <c r="I67" s="1049"/>
      <c r="J67" s="1049"/>
      <c r="K67" s="1049"/>
    </row>
    <row r="68" spans="1:11" s="618" customFormat="1" ht="26.45" customHeight="1">
      <c r="A68" s="1048" t="s">
        <v>616</v>
      </c>
      <c r="B68" s="1654" t="s">
        <v>1170</v>
      </c>
      <c r="C68" s="1654"/>
      <c r="D68" s="1654"/>
      <c r="E68" s="1654"/>
      <c r="F68" s="1654"/>
      <c r="G68" s="1049"/>
      <c r="H68" s="1050"/>
      <c r="I68" s="1049"/>
      <c r="J68" s="1049"/>
      <c r="K68" s="1049"/>
    </row>
    <row r="69" spans="1:11">
      <c r="A69" s="1051"/>
      <c r="B69" s="653"/>
      <c r="C69" s="653"/>
      <c r="D69" s="653"/>
      <c r="E69" s="653"/>
      <c r="F69" s="653"/>
    </row>
    <row r="70" spans="1:11">
      <c r="A70" s="1051"/>
      <c r="B70" s="653"/>
      <c r="C70" s="653"/>
      <c r="D70" s="653"/>
      <c r="E70" s="653"/>
      <c r="F70" s="653"/>
    </row>
    <row r="71" spans="1:11">
      <c r="A71" s="1051"/>
      <c r="B71" s="653"/>
      <c r="C71" s="653"/>
      <c r="D71" s="653"/>
      <c r="E71" s="653"/>
      <c r="F71" s="653"/>
    </row>
    <row r="72" spans="1:11">
      <c r="A72" s="170"/>
    </row>
  </sheetData>
  <mergeCells count="5">
    <mergeCell ref="B68:F68"/>
    <mergeCell ref="B67:F67"/>
    <mergeCell ref="A3:F3"/>
    <mergeCell ref="A1:F1"/>
    <mergeCell ref="A2:F2"/>
  </mergeCells>
  <phoneticPr fontId="97" type="noConversion"/>
  <printOptions horizontalCentered="1"/>
  <pageMargins left="0.7" right="0.7" top="0.7" bottom="0.7" header="0.3" footer="0.5"/>
  <pageSetup scale="78" orientation="portrait" r:id="rId1"/>
  <headerFooter>
    <oddFooter>&amp;CPage &amp;P of &amp;N&amp;R&amp;A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
  <sheetViews>
    <sheetView zoomScaleNormal="100" workbookViewId="0">
      <selection activeCell="B13" sqref="B13"/>
    </sheetView>
  </sheetViews>
  <sheetFormatPr defaultColWidth="8.85546875" defaultRowHeight="12.75"/>
  <cols>
    <col min="1" max="1" width="4.85546875" style="1061" customWidth="1"/>
    <col min="2" max="2" width="43.140625" style="1058" customWidth="1"/>
    <col min="3" max="3" width="11.7109375" style="1058" bestFit="1" customWidth="1"/>
    <col min="4" max="6" width="11" style="1058" customWidth="1"/>
    <col min="7" max="7" width="14.140625" style="1058" customWidth="1"/>
    <col min="8" max="11" width="12.42578125" style="1058" customWidth="1"/>
    <col min="12" max="12" width="10.42578125" style="1058" customWidth="1"/>
    <col min="13" max="16384" width="8.85546875" style="1058"/>
  </cols>
  <sheetData>
    <row r="1" spans="1:14" s="44" customFormat="1">
      <c r="A1" s="1668" t="str">
        <f>+'MISO Cover'!C6</f>
        <v>Entergy New Orleans, Inc.</v>
      </c>
      <c r="B1" s="1668"/>
      <c r="C1" s="1668"/>
      <c r="D1" s="1668"/>
      <c r="E1" s="1668"/>
      <c r="F1" s="1668"/>
      <c r="G1" s="1668"/>
      <c r="H1" s="850"/>
    </row>
    <row r="2" spans="1:14" s="44" customFormat="1">
      <c r="A2" s="1725" t="s">
        <v>275</v>
      </c>
      <c r="B2" s="1725"/>
      <c r="C2" s="1725"/>
      <c r="D2" s="1725"/>
      <c r="E2" s="1725"/>
      <c r="F2" s="1725"/>
      <c r="G2" s="1725"/>
    </row>
    <row r="3" spans="1:14" s="44" customFormat="1">
      <c r="A3" s="1733" t="s">
        <v>1456</v>
      </c>
      <c r="B3" s="1733"/>
      <c r="C3" s="1733"/>
      <c r="D3" s="1733"/>
      <c r="E3" s="1733"/>
      <c r="F3" s="1733"/>
      <c r="G3" s="1733"/>
    </row>
    <row r="4" spans="1:14" s="44" customFormat="1">
      <c r="A4" s="1732"/>
      <c r="B4" s="1732"/>
      <c r="C4" s="1732"/>
      <c r="D4" s="1732"/>
      <c r="E4" s="1732"/>
      <c r="F4" s="1732"/>
      <c r="G4" s="1732"/>
      <c r="H4" s="820"/>
      <c r="I4" s="820"/>
      <c r="J4" s="820"/>
      <c r="K4" s="820"/>
      <c r="L4" s="820"/>
      <c r="M4" s="820"/>
      <c r="N4" s="820"/>
    </row>
    <row r="5" spans="1:14" s="980" customFormat="1">
      <c r="A5" s="1160"/>
      <c r="B5" s="43"/>
      <c r="C5" s="1049"/>
      <c r="D5" s="1049"/>
      <c r="E5" s="1049"/>
      <c r="F5" s="1049"/>
      <c r="G5" s="1049"/>
      <c r="H5" s="1049"/>
      <c r="I5" s="1049"/>
      <c r="J5" s="1050"/>
      <c r="K5" s="1049"/>
      <c r="L5" s="1049"/>
      <c r="M5" s="1049"/>
    </row>
  </sheetData>
  <mergeCells count="4">
    <mergeCell ref="A4:G4"/>
    <mergeCell ref="A1:G1"/>
    <mergeCell ref="A2:G2"/>
    <mergeCell ref="A3:G3"/>
  </mergeCells>
  <printOptions horizontalCentered="1"/>
  <pageMargins left="0.7" right="0.7" top="0.7" bottom="0.7" header="0.3" footer="0.5"/>
  <pageSetup scale="86" orientation="portrait" r:id="rId1"/>
  <headerFooter>
    <oddFooter>&amp;CPage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B22" sqref="B22"/>
    </sheetView>
  </sheetViews>
  <sheetFormatPr defaultColWidth="8.85546875" defaultRowHeight="12.75"/>
  <cols>
    <col min="1" max="1" width="5.28515625" style="1288" customWidth="1"/>
    <col min="2" max="2" width="58.140625" style="170" customWidth="1"/>
    <col min="3" max="3" width="17.5703125" style="170" customWidth="1"/>
    <col min="4" max="4" width="13.140625" style="170" bestFit="1" customWidth="1"/>
    <col min="5" max="5" width="15.5703125" style="170" bestFit="1" customWidth="1"/>
    <col min="6" max="7" width="8.85546875" style="170"/>
    <col min="8" max="9" width="10.42578125" style="170" bestFit="1" customWidth="1"/>
    <col min="10" max="16384" width="8.85546875" style="170"/>
  </cols>
  <sheetData>
    <row r="1" spans="1:9">
      <c r="A1" s="1700" t="str">
        <f>+'MISO Cover'!C6</f>
        <v>Entergy New Orleans, Inc.</v>
      </c>
      <c r="B1" s="1700"/>
      <c r="C1" s="1700"/>
      <c r="D1" s="1700"/>
      <c r="E1" s="1700"/>
      <c r="F1" s="849"/>
    </row>
    <row r="2" spans="1:9">
      <c r="A2" s="1701" t="s">
        <v>1297</v>
      </c>
      <c r="B2" s="1701"/>
      <c r="C2" s="1701"/>
      <c r="D2" s="1701"/>
      <c r="E2" s="1701"/>
      <c r="F2" s="1268"/>
    </row>
    <row r="3" spans="1:9">
      <c r="A3" s="1700" t="str">
        <f>+'MISO Cover'!K4</f>
        <v>For  the 12 Months Ended 12/31/2014</v>
      </c>
      <c r="B3" s="1700"/>
      <c r="C3" s="1700"/>
      <c r="D3" s="1700"/>
      <c r="E3" s="1700"/>
      <c r="F3" s="851"/>
    </row>
    <row r="4" spans="1:9">
      <c r="A4" s="1437"/>
      <c r="B4" s="1437"/>
      <c r="C4" s="1437"/>
      <c r="D4" s="1437"/>
      <c r="E4" s="1437"/>
      <c r="F4" s="851"/>
    </row>
    <row r="5" spans="1:9">
      <c r="A5" s="1239"/>
      <c r="B5" s="653"/>
      <c r="C5" s="1306"/>
      <c r="D5" s="1306"/>
      <c r="E5" s="1306" t="s">
        <v>959</v>
      </c>
    </row>
    <row r="6" spans="1:9">
      <c r="A6" s="1269" t="s">
        <v>525</v>
      </c>
      <c r="B6" s="1358" t="s">
        <v>167</v>
      </c>
      <c r="C6" s="1358" t="s">
        <v>215</v>
      </c>
      <c r="D6" s="1358" t="s">
        <v>155</v>
      </c>
      <c r="E6" s="1359" t="s">
        <v>168</v>
      </c>
    </row>
    <row r="7" spans="1:9">
      <c r="A7" s="1270">
        <v>1</v>
      </c>
      <c r="B7" s="1502" t="s">
        <v>276</v>
      </c>
      <c r="C7" s="1502" t="s">
        <v>1259</v>
      </c>
      <c r="D7" s="1502" t="s">
        <v>772</v>
      </c>
      <c r="E7" s="1502" t="s">
        <v>812</v>
      </c>
    </row>
    <row r="8" spans="1:9">
      <c r="A8" s="1271">
        <f>A7+0.01</f>
        <v>1.01</v>
      </c>
      <c r="B8" s="1051" t="s">
        <v>1226</v>
      </c>
      <c r="C8" s="1361">
        <v>0</v>
      </c>
      <c r="D8" s="1361">
        <v>0</v>
      </c>
      <c r="E8" s="971">
        <f>SUM(C8:D8)</f>
        <v>0</v>
      </c>
      <c r="F8" s="1240"/>
      <c r="G8" s="1207"/>
      <c r="H8" s="1272"/>
      <c r="I8" s="1273"/>
    </row>
    <row r="9" spans="1:9" s="1240" customFormat="1">
      <c r="A9" s="1271">
        <f t="shared" ref="A9:A35" si="0">A8+0.01</f>
        <v>1.02</v>
      </c>
      <c r="B9" s="1051" t="s">
        <v>1227</v>
      </c>
      <c r="C9" s="1361">
        <v>-32.04</v>
      </c>
      <c r="D9" s="1361">
        <v>0</v>
      </c>
      <c r="E9" s="971">
        <f t="shared" ref="E9:E35" si="1">SUM(C9:D9)</f>
        <v>-32.04</v>
      </c>
      <c r="F9" s="622"/>
      <c r="G9" s="1207"/>
      <c r="H9" s="1272"/>
      <c r="I9" s="1273"/>
    </row>
    <row r="10" spans="1:9" s="171" customFormat="1">
      <c r="A10" s="1271">
        <f t="shared" si="0"/>
        <v>1.03</v>
      </c>
      <c r="B10" s="171" t="s">
        <v>277</v>
      </c>
      <c r="C10" s="1361">
        <v>0</v>
      </c>
      <c r="D10" s="1361">
        <v>0</v>
      </c>
      <c r="E10" s="971">
        <f t="shared" si="1"/>
        <v>0</v>
      </c>
      <c r="F10" s="622"/>
      <c r="G10" s="1207"/>
      <c r="H10" s="1272"/>
      <c r="I10" s="1273"/>
    </row>
    <row r="11" spans="1:9" s="171" customFormat="1">
      <c r="A11" s="1271">
        <f t="shared" si="0"/>
        <v>1.04</v>
      </c>
      <c r="B11" s="171" t="s">
        <v>561</v>
      </c>
      <c r="C11" s="1361">
        <v>2155.1800000000003</v>
      </c>
      <c r="D11" s="1361">
        <v>0</v>
      </c>
      <c r="E11" s="971">
        <f t="shared" si="1"/>
        <v>2155.1800000000003</v>
      </c>
      <c r="F11" s="622"/>
      <c r="G11" s="1207"/>
      <c r="H11" s="1272"/>
      <c r="I11" s="1273"/>
    </row>
    <row r="12" spans="1:9" s="171" customFormat="1">
      <c r="A12" s="1271">
        <f t="shared" si="0"/>
        <v>1.05</v>
      </c>
      <c r="B12" s="1051" t="s">
        <v>1228</v>
      </c>
      <c r="C12" s="1361">
        <v>0</v>
      </c>
      <c r="D12" s="1361">
        <v>0</v>
      </c>
      <c r="E12" s="971">
        <f t="shared" si="1"/>
        <v>0</v>
      </c>
      <c r="F12" s="622"/>
      <c r="G12" s="1207"/>
      <c r="H12" s="1272"/>
      <c r="I12" s="1273"/>
    </row>
    <row r="13" spans="1:9" s="171" customFormat="1">
      <c r="A13" s="1271">
        <f t="shared" si="0"/>
        <v>1.06</v>
      </c>
      <c r="B13" s="1051" t="s">
        <v>562</v>
      </c>
      <c r="C13" s="1361">
        <v>0</v>
      </c>
      <c r="D13" s="1361">
        <v>0</v>
      </c>
      <c r="E13" s="971">
        <f t="shared" si="1"/>
        <v>0</v>
      </c>
      <c r="F13" s="622"/>
      <c r="G13" s="1207"/>
      <c r="H13" s="1272"/>
      <c r="I13" s="1273"/>
    </row>
    <row r="14" spans="1:9" s="171" customFormat="1">
      <c r="A14" s="1271">
        <f t="shared" si="0"/>
        <v>1.07</v>
      </c>
      <c r="B14" s="1051" t="s">
        <v>563</v>
      </c>
      <c r="C14" s="1361">
        <v>0</v>
      </c>
      <c r="D14" s="1361">
        <v>0</v>
      </c>
      <c r="E14" s="971">
        <f t="shared" si="1"/>
        <v>0</v>
      </c>
      <c r="F14" s="622"/>
      <c r="G14" s="1207"/>
      <c r="H14" s="1272"/>
      <c r="I14" s="1273"/>
    </row>
    <row r="15" spans="1:9" s="171" customFormat="1">
      <c r="A15" s="1271">
        <f t="shared" si="0"/>
        <v>1.08</v>
      </c>
      <c r="B15" s="1051" t="s">
        <v>566</v>
      </c>
      <c r="C15" s="1361">
        <v>0</v>
      </c>
      <c r="D15" s="1361">
        <v>0</v>
      </c>
      <c r="E15" s="971">
        <f t="shared" si="1"/>
        <v>0</v>
      </c>
      <c r="F15" s="622"/>
      <c r="G15" s="1207"/>
      <c r="H15" s="1272"/>
      <c r="I15" s="1273"/>
    </row>
    <row r="16" spans="1:9" s="171" customFormat="1">
      <c r="A16" s="1271">
        <f t="shared" si="0"/>
        <v>1.0900000000000001</v>
      </c>
      <c r="B16" s="1051" t="s">
        <v>567</v>
      </c>
      <c r="C16" s="1361">
        <v>0</v>
      </c>
      <c r="D16" s="1361">
        <v>0</v>
      </c>
      <c r="E16" s="971">
        <f t="shared" si="1"/>
        <v>0</v>
      </c>
      <c r="F16" s="622"/>
      <c r="G16" s="1207"/>
      <c r="H16" s="1272"/>
      <c r="I16" s="1273"/>
    </row>
    <row r="17" spans="1:9" s="171" customFormat="1">
      <c r="A17" s="1271">
        <f t="shared" si="0"/>
        <v>1.1000000000000001</v>
      </c>
      <c r="B17" s="1051" t="s">
        <v>568</v>
      </c>
      <c r="C17" s="1361">
        <v>0</v>
      </c>
      <c r="D17" s="1361">
        <v>0</v>
      </c>
      <c r="E17" s="971">
        <f t="shared" si="1"/>
        <v>0</v>
      </c>
      <c r="F17" s="622"/>
      <c r="G17" s="1207"/>
      <c r="H17" s="1272"/>
      <c r="I17" s="1273"/>
    </row>
    <row r="18" spans="1:9" s="171" customFormat="1">
      <c r="A18" s="1271">
        <f t="shared" si="0"/>
        <v>1.1100000000000001</v>
      </c>
      <c r="B18" s="1051" t="s">
        <v>1229</v>
      </c>
      <c r="C18" s="1361">
        <v>0</v>
      </c>
      <c r="D18" s="1361">
        <v>0</v>
      </c>
      <c r="E18" s="971">
        <f t="shared" si="1"/>
        <v>0</v>
      </c>
      <c r="F18" s="622"/>
      <c r="G18" s="1207"/>
      <c r="H18" s="1272"/>
      <c r="I18" s="1273"/>
    </row>
    <row r="19" spans="1:9" s="171" customFormat="1">
      <c r="A19" s="1271">
        <f t="shared" si="0"/>
        <v>1.1200000000000001</v>
      </c>
      <c r="B19" s="1051" t="s">
        <v>570</v>
      </c>
      <c r="C19" s="1361">
        <v>0</v>
      </c>
      <c r="D19" s="1361">
        <v>0</v>
      </c>
      <c r="E19" s="971">
        <f t="shared" si="1"/>
        <v>0</v>
      </c>
      <c r="F19" s="622"/>
      <c r="G19" s="1207"/>
      <c r="H19" s="1272"/>
      <c r="I19" s="1273"/>
    </row>
    <row r="20" spans="1:9" s="171" customFormat="1">
      <c r="A20" s="1271">
        <f t="shared" si="0"/>
        <v>1.1300000000000001</v>
      </c>
      <c r="B20" s="1051" t="s">
        <v>571</v>
      </c>
      <c r="C20" s="1361">
        <v>0</v>
      </c>
      <c r="D20" s="1361">
        <v>0</v>
      </c>
      <c r="E20" s="971">
        <f t="shared" si="1"/>
        <v>0</v>
      </c>
      <c r="F20" s="622"/>
      <c r="G20" s="1207"/>
      <c r="H20" s="1272"/>
      <c r="I20" s="1273"/>
    </row>
    <row r="21" spans="1:9" s="171" customFormat="1">
      <c r="A21" s="1271">
        <f t="shared" si="0"/>
        <v>1.1400000000000001</v>
      </c>
      <c r="B21" s="1051" t="s">
        <v>1230</v>
      </c>
      <c r="C21" s="1361">
        <v>20.5</v>
      </c>
      <c r="D21" s="1361">
        <v>0</v>
      </c>
      <c r="E21" s="971">
        <f t="shared" si="1"/>
        <v>20.5</v>
      </c>
      <c r="F21" s="622"/>
      <c r="G21" s="1207"/>
      <c r="H21" s="1272"/>
      <c r="I21" s="1273"/>
    </row>
    <row r="22" spans="1:9" s="171" customFormat="1">
      <c r="A22" s="1271">
        <f t="shared" si="0"/>
        <v>1.1500000000000001</v>
      </c>
      <c r="B22" s="1051" t="s">
        <v>1231</v>
      </c>
      <c r="C22" s="1361">
        <v>66.899999999999991</v>
      </c>
      <c r="D22" s="1361">
        <v>159.14000000000001</v>
      </c>
      <c r="E22" s="971">
        <f t="shared" si="1"/>
        <v>226.04000000000002</v>
      </c>
      <c r="F22" s="622"/>
      <c r="G22" s="1207"/>
      <c r="H22" s="1272"/>
      <c r="I22" s="1273"/>
    </row>
    <row r="23" spans="1:9" s="171" customFormat="1">
      <c r="A23" s="1271">
        <f t="shared" si="0"/>
        <v>1.1600000000000001</v>
      </c>
      <c r="B23" s="1051" t="s">
        <v>1232</v>
      </c>
      <c r="C23" s="1361">
        <v>0</v>
      </c>
      <c r="D23" s="1361">
        <v>0</v>
      </c>
      <c r="E23" s="971">
        <f t="shared" si="1"/>
        <v>0</v>
      </c>
      <c r="F23" s="622"/>
      <c r="G23" s="1207"/>
      <c r="H23" s="1272"/>
      <c r="I23" s="1273"/>
    </row>
    <row r="24" spans="1:9" s="171" customFormat="1">
      <c r="A24" s="1271">
        <f t="shared" si="0"/>
        <v>1.1700000000000002</v>
      </c>
      <c r="B24" s="1051" t="s">
        <v>1233</v>
      </c>
      <c r="C24" s="1361">
        <v>0</v>
      </c>
      <c r="D24" s="1361">
        <v>0</v>
      </c>
      <c r="E24" s="971">
        <f t="shared" si="1"/>
        <v>0</v>
      </c>
      <c r="F24" s="622"/>
      <c r="G24" s="1207"/>
      <c r="H24" s="1272"/>
      <c r="I24" s="1273"/>
    </row>
    <row r="25" spans="1:9" s="171" customFormat="1">
      <c r="A25" s="1271">
        <f t="shared" si="0"/>
        <v>1.1800000000000002</v>
      </c>
      <c r="B25" s="1051" t="s">
        <v>1234</v>
      </c>
      <c r="C25" s="1361">
        <v>0</v>
      </c>
      <c r="D25" s="1361">
        <v>0</v>
      </c>
      <c r="E25" s="971">
        <f t="shared" si="1"/>
        <v>0</v>
      </c>
      <c r="F25" s="622"/>
      <c r="G25" s="1207"/>
      <c r="H25" s="1272"/>
      <c r="I25" s="1273"/>
    </row>
    <row r="26" spans="1:9" s="171" customFormat="1">
      <c r="A26" s="1271">
        <f t="shared" si="0"/>
        <v>1.1900000000000002</v>
      </c>
      <c r="B26" s="171" t="s">
        <v>1235</v>
      </c>
      <c r="C26" s="1361">
        <v>0</v>
      </c>
      <c r="D26" s="1361">
        <v>0</v>
      </c>
      <c r="E26" s="971">
        <f t="shared" si="1"/>
        <v>0</v>
      </c>
      <c r="F26" s="1006"/>
      <c r="G26" s="1207"/>
      <c r="H26" s="1272"/>
      <c r="I26" s="1273"/>
    </row>
    <row r="27" spans="1:9" s="171" customFormat="1">
      <c r="A27" s="1271">
        <f t="shared" si="0"/>
        <v>1.2000000000000002</v>
      </c>
      <c r="B27" s="171" t="s">
        <v>573</v>
      </c>
      <c r="C27" s="1361">
        <v>0</v>
      </c>
      <c r="D27" s="1361">
        <v>0</v>
      </c>
      <c r="E27" s="971">
        <f t="shared" si="1"/>
        <v>0</v>
      </c>
      <c r="F27" s="622"/>
      <c r="G27" s="1207"/>
      <c r="H27" s="1272"/>
      <c r="I27" s="1273"/>
    </row>
    <row r="28" spans="1:9" s="171" customFormat="1">
      <c r="A28" s="1271">
        <f t="shared" si="0"/>
        <v>1.2100000000000002</v>
      </c>
      <c r="B28" s="171" t="s">
        <v>1236</v>
      </c>
      <c r="C28" s="1361">
        <v>0</v>
      </c>
      <c r="D28" s="1361">
        <v>0</v>
      </c>
      <c r="E28" s="971">
        <f t="shared" si="1"/>
        <v>0</v>
      </c>
      <c r="F28" s="622"/>
      <c r="G28" s="1207"/>
      <c r="H28" s="1272"/>
      <c r="I28" s="1273"/>
    </row>
    <row r="29" spans="1:9" s="171" customFormat="1">
      <c r="A29" s="1271">
        <f t="shared" si="0"/>
        <v>1.2200000000000002</v>
      </c>
      <c r="B29" s="171" t="s">
        <v>575</v>
      </c>
      <c r="C29" s="1361">
        <v>0</v>
      </c>
      <c r="D29" s="1361">
        <v>0</v>
      </c>
      <c r="E29" s="971">
        <f t="shared" si="1"/>
        <v>0</v>
      </c>
      <c r="F29" s="622"/>
      <c r="G29" s="1207"/>
      <c r="H29" s="1272"/>
      <c r="I29" s="1273"/>
    </row>
    <row r="30" spans="1:9" s="171" customFormat="1">
      <c r="A30" s="1271">
        <f t="shared" si="0"/>
        <v>1.2300000000000002</v>
      </c>
      <c r="B30" s="171" t="s">
        <v>576</v>
      </c>
      <c r="C30" s="1361">
        <v>1703.81</v>
      </c>
      <c r="D30" s="1361">
        <v>12080.640000000001</v>
      </c>
      <c r="E30" s="971">
        <f t="shared" si="1"/>
        <v>13784.45</v>
      </c>
      <c r="F30" s="622"/>
      <c r="G30" s="1207"/>
      <c r="H30" s="1272"/>
      <c r="I30" s="1273"/>
    </row>
    <row r="31" spans="1:9" s="171" customFormat="1">
      <c r="A31" s="1271">
        <f t="shared" si="0"/>
        <v>1.2400000000000002</v>
      </c>
      <c r="B31" s="171" t="s">
        <v>577</v>
      </c>
      <c r="C31" s="1361">
        <v>0</v>
      </c>
      <c r="D31" s="1361">
        <v>0</v>
      </c>
      <c r="E31" s="971">
        <f t="shared" si="1"/>
        <v>0</v>
      </c>
      <c r="F31" s="622"/>
      <c r="G31" s="1207"/>
      <c r="H31" s="1272"/>
      <c r="I31" s="1273"/>
    </row>
    <row r="32" spans="1:9" s="171" customFormat="1">
      <c r="A32" s="1271">
        <f t="shared" si="0"/>
        <v>1.2500000000000002</v>
      </c>
      <c r="B32" s="171" t="s">
        <v>578</v>
      </c>
      <c r="C32" s="1361">
        <v>0</v>
      </c>
      <c r="D32" s="1361">
        <v>0</v>
      </c>
      <c r="E32" s="971">
        <f t="shared" si="1"/>
        <v>0</v>
      </c>
      <c r="F32" s="622"/>
      <c r="G32" s="1207"/>
      <c r="H32" s="1272"/>
      <c r="I32" s="1273"/>
    </row>
    <row r="33" spans="1:9" s="171" customFormat="1">
      <c r="A33" s="1271">
        <f t="shared" si="0"/>
        <v>1.2600000000000002</v>
      </c>
      <c r="B33" s="171" t="s">
        <v>580</v>
      </c>
      <c r="C33" s="1361">
        <v>0</v>
      </c>
      <c r="D33" s="1361">
        <v>11880.72</v>
      </c>
      <c r="E33" s="971">
        <f t="shared" si="1"/>
        <v>11880.72</v>
      </c>
      <c r="F33" s="622"/>
      <c r="G33" s="1207"/>
      <c r="H33" s="1272"/>
      <c r="I33" s="1273"/>
    </row>
    <row r="34" spans="1:9" s="171" customFormat="1">
      <c r="A34" s="1271">
        <f t="shared" si="0"/>
        <v>1.2700000000000002</v>
      </c>
      <c r="B34" s="171" t="s">
        <v>487</v>
      </c>
      <c r="C34" s="1361">
        <v>9854.11</v>
      </c>
      <c r="D34" s="1361">
        <v>17063.520000000004</v>
      </c>
      <c r="E34" s="971">
        <f t="shared" si="1"/>
        <v>26917.630000000005</v>
      </c>
      <c r="F34" s="622"/>
      <c r="G34" s="1207"/>
      <c r="H34" s="1272"/>
      <c r="I34" s="1273"/>
    </row>
    <row r="35" spans="1:9" s="171" customFormat="1">
      <c r="A35" s="1271">
        <f t="shared" si="0"/>
        <v>1.2800000000000002</v>
      </c>
      <c r="B35" s="171" t="s">
        <v>581</v>
      </c>
      <c r="C35" s="1361">
        <v>0</v>
      </c>
      <c r="D35" s="1361">
        <v>0</v>
      </c>
      <c r="E35" s="971">
        <f t="shared" si="1"/>
        <v>0</v>
      </c>
      <c r="F35" s="622"/>
      <c r="G35" s="1207"/>
      <c r="H35" s="1272"/>
      <c r="I35" s="1273"/>
    </row>
    <row r="36" spans="1:9" s="171" customFormat="1" ht="13.5" thickBot="1">
      <c r="A36" s="1270">
        <f>A7+1</f>
        <v>2</v>
      </c>
      <c r="B36" s="653" t="s">
        <v>1124</v>
      </c>
      <c r="C36" s="654">
        <f>SUM(C8:C35)</f>
        <v>13768.460000000001</v>
      </c>
      <c r="D36" s="654">
        <f>SUM(D8:D35)</f>
        <v>41184.020000000004</v>
      </c>
      <c r="E36" s="1045">
        <f>SUM(E8:E35)</f>
        <v>54952.480000000003</v>
      </c>
      <c r="F36" s="622"/>
      <c r="H36" s="1272"/>
      <c r="I36" s="1272"/>
    </row>
    <row r="37" spans="1:9" s="171" customFormat="1" ht="13.5" thickTop="1">
      <c r="A37" s="1270">
        <f>A36+1</f>
        <v>3</v>
      </c>
      <c r="B37" s="1274"/>
      <c r="C37" s="1274"/>
      <c r="D37" s="1275"/>
      <c r="E37" s="1275"/>
      <c r="F37" s="1275"/>
    </row>
    <row r="38" spans="1:9" s="1276" customFormat="1">
      <c r="A38" s="1270">
        <f t="shared" ref="A38:A43" si="2">A37+1</f>
        <v>4</v>
      </c>
      <c r="B38" s="1274" t="s">
        <v>870</v>
      </c>
      <c r="C38" s="1274"/>
      <c r="D38" s="1275"/>
      <c r="E38" s="1275"/>
      <c r="F38" s="1275"/>
    </row>
    <row r="39" spans="1:9" s="1276" customFormat="1">
      <c r="A39" s="1270">
        <f t="shared" si="2"/>
        <v>5</v>
      </c>
      <c r="B39" s="1277" t="s">
        <v>958</v>
      </c>
      <c r="C39" s="1278">
        <f>+C18</f>
        <v>0</v>
      </c>
      <c r="D39" s="1278">
        <f>+D18</f>
        <v>0</v>
      </c>
      <c r="E39" s="1278">
        <f t="shared" ref="E39:E43" si="3">SUM(C39:D39)</f>
        <v>0</v>
      </c>
      <c r="F39" s="1278"/>
    </row>
    <row r="40" spans="1:9" s="1276" customFormat="1" ht="15">
      <c r="A40" s="1270">
        <f t="shared" si="2"/>
        <v>6</v>
      </c>
      <c r="B40" s="1277" t="s">
        <v>803</v>
      </c>
      <c r="C40" s="686">
        <f>+C19</f>
        <v>0</v>
      </c>
      <c r="D40" s="686">
        <f>+D19</f>
        <v>0</v>
      </c>
      <c r="E40" s="686">
        <f t="shared" si="3"/>
        <v>0</v>
      </c>
      <c r="F40" s="686"/>
    </row>
    <row r="41" spans="1:9" s="1276" customFormat="1">
      <c r="A41" s="1270">
        <f t="shared" si="2"/>
        <v>7</v>
      </c>
      <c r="B41" s="1279" t="s">
        <v>1094</v>
      </c>
      <c r="C41" s="1278">
        <f>SUM(C39:C40)</f>
        <v>0</v>
      </c>
      <c r="D41" s="1278">
        <f>SUM(D39:D40)</f>
        <v>0</v>
      </c>
      <c r="E41" s="1278">
        <f t="shared" si="3"/>
        <v>0</v>
      </c>
      <c r="F41" s="1278"/>
    </row>
    <row r="42" spans="1:9" s="1280" customFormat="1" ht="15">
      <c r="A42" s="1270">
        <f t="shared" si="2"/>
        <v>8</v>
      </c>
      <c r="B42" s="1274" t="s">
        <v>1237</v>
      </c>
      <c r="C42" s="686">
        <f>SUM(C17:C21)-C41</f>
        <v>20.5</v>
      </c>
      <c r="D42" s="686">
        <f>SUM(D17:D21)-D41</f>
        <v>0</v>
      </c>
      <c r="E42" s="686">
        <f>SUM(C42:D42)</f>
        <v>20.5</v>
      </c>
      <c r="F42" s="879"/>
    </row>
    <row r="43" spans="1:9" s="1276" customFormat="1">
      <c r="A43" s="1270">
        <f t="shared" si="2"/>
        <v>9</v>
      </c>
      <c r="B43" s="1274" t="s">
        <v>1054</v>
      </c>
      <c r="C43" s="1278">
        <f>+C41+C42</f>
        <v>20.5</v>
      </c>
      <c r="D43" s="1278">
        <f>+D41+D42</f>
        <v>0</v>
      </c>
      <c r="E43" s="1278">
        <f t="shared" si="3"/>
        <v>20.5</v>
      </c>
      <c r="F43" s="1278"/>
    </row>
    <row r="44" spans="1:9" s="1276" customFormat="1">
      <c r="A44" s="1270">
        <f t="shared" ref="A44:A55" si="4">+A43+1</f>
        <v>10</v>
      </c>
      <c r="B44" s="621"/>
      <c r="C44" s="283"/>
      <c r="D44" s="283"/>
      <c r="E44" s="283"/>
      <c r="F44" s="622"/>
    </row>
    <row r="45" spans="1:9" s="171" customFormat="1">
      <c r="A45" s="1270">
        <f t="shared" si="4"/>
        <v>11</v>
      </c>
      <c r="B45" s="1274" t="s">
        <v>151</v>
      </c>
      <c r="C45" s="1274"/>
      <c r="D45" s="1275"/>
      <c r="E45" s="1275"/>
      <c r="F45" s="1281"/>
    </row>
    <row r="46" spans="1:9" s="171" customFormat="1">
      <c r="A46" s="1270">
        <f t="shared" si="4"/>
        <v>12</v>
      </c>
      <c r="B46" s="1277" t="s">
        <v>982</v>
      </c>
      <c r="C46" s="1282">
        <f>+C8+C9+C12</f>
        <v>-32.04</v>
      </c>
      <c r="D46" s="1282">
        <f>+D8+D9+D12</f>
        <v>0</v>
      </c>
      <c r="E46" s="1282">
        <f>SUM(C46:D46)</f>
        <v>-32.04</v>
      </c>
    </row>
    <row r="47" spans="1:9" s="171" customFormat="1">
      <c r="A47" s="1270">
        <f t="shared" si="4"/>
        <v>13</v>
      </c>
      <c r="B47" s="1277" t="s">
        <v>981</v>
      </c>
      <c r="C47" s="1283">
        <f>+C10</f>
        <v>0</v>
      </c>
      <c r="D47" s="1283">
        <f>+D10</f>
        <v>0</v>
      </c>
      <c r="E47" s="1283">
        <f t="shared" ref="E47:E55" si="5">SUM(C47:D47)</f>
        <v>0</v>
      </c>
    </row>
    <row r="48" spans="1:9" s="171" customFormat="1">
      <c r="A48" s="1270">
        <f t="shared" si="4"/>
        <v>14</v>
      </c>
      <c r="B48" s="1277" t="s">
        <v>980</v>
      </c>
      <c r="C48" s="1283">
        <f>+C11</f>
        <v>2155.1800000000003</v>
      </c>
      <c r="D48" s="1283">
        <f>+D11</f>
        <v>0</v>
      </c>
      <c r="E48" s="1283">
        <f t="shared" si="5"/>
        <v>2155.1800000000003</v>
      </c>
    </row>
    <row r="49" spans="1:6" s="171" customFormat="1">
      <c r="A49" s="1270">
        <f t="shared" si="4"/>
        <v>15</v>
      </c>
      <c r="B49" s="1277" t="s">
        <v>1238</v>
      </c>
      <c r="C49" s="1282">
        <f>SUM(C13:C16)</f>
        <v>0</v>
      </c>
      <c r="D49" s="1282">
        <f>SUM(D13:D16)</f>
        <v>0</v>
      </c>
      <c r="E49" s="1282">
        <f t="shared" si="5"/>
        <v>0</v>
      </c>
    </row>
    <row r="50" spans="1:6" s="171" customFormat="1">
      <c r="A50" s="1270">
        <f t="shared" si="4"/>
        <v>16</v>
      </c>
      <c r="B50" s="1277" t="s">
        <v>973</v>
      </c>
      <c r="C50" s="1282">
        <f>SUM(C17:C21)</f>
        <v>20.5</v>
      </c>
      <c r="D50" s="1282">
        <f>SUM(D17:D21)</f>
        <v>0</v>
      </c>
      <c r="E50" s="1282">
        <f t="shared" si="5"/>
        <v>20.5</v>
      </c>
    </row>
    <row r="51" spans="1:6" s="171" customFormat="1">
      <c r="A51" s="1270">
        <f t="shared" si="4"/>
        <v>17</v>
      </c>
      <c r="B51" s="1277" t="s">
        <v>975</v>
      </c>
      <c r="C51" s="1282"/>
      <c r="D51" s="1282"/>
      <c r="E51" s="1282">
        <f t="shared" si="5"/>
        <v>0</v>
      </c>
    </row>
    <row r="52" spans="1:6" s="171" customFormat="1">
      <c r="A52" s="1270">
        <f t="shared" si="4"/>
        <v>18</v>
      </c>
      <c r="B52" s="1277" t="s">
        <v>976</v>
      </c>
      <c r="C52" s="1282">
        <f>+SUM(C22:C25)</f>
        <v>66.899999999999991</v>
      </c>
      <c r="D52" s="1282">
        <f>+SUM(D22:D25)</f>
        <v>159.14000000000001</v>
      </c>
      <c r="E52" s="1282">
        <f t="shared" si="5"/>
        <v>226.04000000000002</v>
      </c>
    </row>
    <row r="53" spans="1:6" s="171" customFormat="1">
      <c r="A53" s="1270">
        <f t="shared" si="4"/>
        <v>19</v>
      </c>
      <c r="B53" s="1277" t="s">
        <v>977</v>
      </c>
      <c r="C53" s="1282">
        <f>+SUM(C26:C27)</f>
        <v>0</v>
      </c>
      <c r="D53" s="1282">
        <f>+SUM(D26:D27)</f>
        <v>0</v>
      </c>
      <c r="E53" s="1282">
        <f t="shared" si="5"/>
        <v>0</v>
      </c>
    </row>
    <row r="54" spans="1:6" s="171" customFormat="1">
      <c r="A54" s="1270">
        <f t="shared" si="4"/>
        <v>20</v>
      </c>
      <c r="B54" s="1277" t="s">
        <v>978</v>
      </c>
      <c r="C54" s="1282">
        <f>+SUM(C28:C29)</f>
        <v>0</v>
      </c>
      <c r="D54" s="1282">
        <f>+SUM(D28:D29)</f>
        <v>0</v>
      </c>
      <c r="E54" s="1282">
        <f t="shared" si="5"/>
        <v>0</v>
      </c>
    </row>
    <row r="55" spans="1:6" s="171" customFormat="1">
      <c r="A55" s="1270">
        <f t="shared" si="4"/>
        <v>21</v>
      </c>
      <c r="B55" s="1277" t="s">
        <v>979</v>
      </c>
      <c r="C55" s="1283">
        <f>SUM(C30:C35)</f>
        <v>11557.92</v>
      </c>
      <c r="D55" s="1283">
        <f>SUM(D30:D35)</f>
        <v>41024.880000000005</v>
      </c>
      <c r="E55" s="1283">
        <f t="shared" si="5"/>
        <v>52582.8</v>
      </c>
    </row>
    <row r="56" spans="1:6" s="171" customFormat="1" ht="13.5" thickBot="1">
      <c r="A56" s="1270">
        <f>A55+1</f>
        <v>22</v>
      </c>
      <c r="B56" s="1274" t="str">
        <f>B36</f>
        <v>Total  Sum Line 1 Subparts</v>
      </c>
      <c r="C56" s="1284">
        <f>SUM(C46:C55)</f>
        <v>13768.460000000001</v>
      </c>
      <c r="D56" s="1284">
        <f>SUM(D46:D55)</f>
        <v>41184.020000000004</v>
      </c>
      <c r="E56" s="1284">
        <f>SUM(E46:E55)</f>
        <v>54952.480000000003</v>
      </c>
    </row>
    <row r="57" spans="1:6" s="171" customFormat="1" ht="13.5" thickTop="1">
      <c r="A57" s="1285">
        <f>A56+1</f>
        <v>23</v>
      </c>
      <c r="B57" s="1274"/>
      <c r="C57" s="1274"/>
      <c r="D57" s="1274"/>
      <c r="E57" s="1286"/>
      <c r="F57" s="1282"/>
    </row>
    <row r="58" spans="1:6" s="171" customFormat="1">
      <c r="A58" s="1285">
        <f>A57+1</f>
        <v>24</v>
      </c>
      <c r="B58" s="1298" t="s">
        <v>1260</v>
      </c>
      <c r="C58" s="1282"/>
      <c r="D58" s="1282">
        <f>SUM(D46:D54)</f>
        <v>159.14000000000001</v>
      </c>
      <c r="E58" s="1282"/>
      <c r="F58" s="170"/>
    </row>
    <row r="59" spans="1:6" s="171" customFormat="1">
      <c r="A59" s="1285"/>
      <c r="B59" s="1279"/>
      <c r="C59" s="1282"/>
      <c r="D59" s="1282"/>
      <c r="E59" s="1282"/>
      <c r="F59" s="170"/>
    </row>
    <row r="60" spans="1:6" s="171" customFormat="1">
      <c r="A60" s="171" t="s">
        <v>298</v>
      </c>
      <c r="B60" s="621"/>
      <c r="C60" s="283"/>
      <c r="D60" s="283"/>
      <c r="E60" s="283"/>
      <c r="F60" s="170"/>
    </row>
    <row r="61" spans="1:6">
      <c r="A61" s="1157" t="s">
        <v>271</v>
      </c>
      <c r="B61" s="653" t="s">
        <v>1239</v>
      </c>
      <c r="C61" s="653"/>
      <c r="D61" s="653"/>
      <c r="E61" s="653"/>
    </row>
    <row r="62" spans="1:6">
      <c r="A62" s="1157" t="s">
        <v>615</v>
      </c>
      <c r="B62" s="170" t="s">
        <v>1261</v>
      </c>
      <c r="C62" s="1287"/>
      <c r="D62" s="1287"/>
      <c r="E62" s="1287"/>
    </row>
    <row r="63" spans="1:6">
      <c r="A63" s="170"/>
    </row>
    <row r="64" spans="1:6">
      <c r="A64" s="170"/>
    </row>
  </sheetData>
  <mergeCells count="3">
    <mergeCell ref="A1:E1"/>
    <mergeCell ref="A2:E2"/>
    <mergeCell ref="A3:E3"/>
  </mergeCells>
  <printOptions horizontalCentered="1"/>
  <pageMargins left="0.7" right="0.7" top="0.7" bottom="0.7" header="0.3" footer="0.5"/>
  <pageSetup scale="80" orientation="portrait" r:id="rId1"/>
  <headerFooter>
    <oddFooter>&amp;CPage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130" zoomScaleNormal="130" workbookViewId="0">
      <selection activeCell="C11" sqref="C11"/>
    </sheetView>
  </sheetViews>
  <sheetFormatPr defaultRowHeight="12.75"/>
  <cols>
    <col min="1" max="1" width="21.85546875" customWidth="1"/>
    <col min="2" max="2" width="2.140625" customWidth="1"/>
    <col min="3" max="3" width="76.140625" customWidth="1"/>
    <col min="4" max="4" width="2.42578125" customWidth="1"/>
  </cols>
  <sheetData>
    <row r="1" spans="1:8">
      <c r="A1" s="1652" t="str">
        <f>'MISO Cover'!C6</f>
        <v>Entergy New Orleans, Inc.</v>
      </c>
      <c r="B1" s="1652"/>
      <c r="C1" s="1652"/>
      <c r="D1" s="1652"/>
    </row>
    <row r="2" spans="1:8">
      <c r="A2" s="1652" t="s">
        <v>1492</v>
      </c>
      <c r="B2" s="1652"/>
      <c r="C2" s="1652"/>
      <c r="D2" s="1652"/>
    </row>
    <row r="3" spans="1:8">
      <c r="A3" s="1653" t="s">
        <v>1493</v>
      </c>
      <c r="B3" s="1653"/>
      <c r="C3" s="1653"/>
      <c r="D3" s="1653"/>
    </row>
    <row r="4" spans="1:8">
      <c r="A4" s="1653" t="str">
        <f>'MISO Cover'!K4</f>
        <v>For  the 12 Months Ended 12/31/2014</v>
      </c>
      <c r="B4" s="1653"/>
      <c r="C4" s="1653"/>
      <c r="D4" s="1653"/>
    </row>
    <row r="5" spans="1:8">
      <c r="C5" s="1049"/>
    </row>
    <row r="7" spans="1:8">
      <c r="A7" s="1625" t="s">
        <v>241</v>
      </c>
      <c r="B7" s="1236"/>
      <c r="C7" s="1625" t="s">
        <v>213</v>
      </c>
      <c r="D7" s="1236"/>
    </row>
    <row r="9" spans="1:8" ht="58.5" customHeight="1">
      <c r="A9" s="691" t="s">
        <v>1494</v>
      </c>
      <c r="C9" s="1626" t="s">
        <v>1495</v>
      </c>
      <c r="E9" s="1627"/>
      <c r="F9" s="1628"/>
      <c r="G9" s="1627"/>
      <c r="H9" s="1627"/>
    </row>
    <row r="10" spans="1:8" ht="15">
      <c r="A10" s="691"/>
      <c r="C10" s="691"/>
      <c r="E10" s="1629"/>
      <c r="F10" s="1628"/>
      <c r="G10" s="1627"/>
      <c r="H10" s="1627"/>
    </row>
    <row r="11" spans="1:8" ht="72" customHeight="1">
      <c r="A11" s="1630" t="s">
        <v>1496</v>
      </c>
      <c r="C11" s="1630" t="s">
        <v>1497</v>
      </c>
      <c r="E11" s="1629"/>
      <c r="F11" s="1628"/>
      <c r="G11" s="1627"/>
      <c r="H11" s="1627"/>
    </row>
    <row r="12" spans="1:8" ht="15">
      <c r="A12" s="691"/>
      <c r="C12" s="691"/>
      <c r="E12" s="1629"/>
      <c r="F12" s="1628"/>
      <c r="G12" s="1627"/>
      <c r="H12" s="1627"/>
    </row>
    <row r="13" spans="1:8" ht="83.25" customHeight="1">
      <c r="A13" s="1630"/>
      <c r="C13" s="748"/>
      <c r="E13" s="1629"/>
      <c r="F13" s="1628"/>
      <c r="G13" s="1627"/>
      <c r="H13" s="1627"/>
    </row>
    <row r="14" spans="1:8" ht="15">
      <c r="C14" s="691"/>
      <c r="E14" s="1629"/>
      <c r="F14" s="1628"/>
      <c r="G14" s="1627"/>
      <c r="H14" s="1627"/>
    </row>
    <row r="15" spans="1:8" ht="15">
      <c r="C15" s="691"/>
      <c r="E15" s="1629"/>
      <c r="F15" s="1628"/>
      <c r="G15" s="1627"/>
      <c r="H15" s="1627"/>
    </row>
    <row r="16" spans="1:8" ht="15">
      <c r="C16" s="691"/>
      <c r="E16" s="1629"/>
      <c r="F16" s="1628"/>
      <c r="G16" s="1627"/>
      <c r="H16" s="1627"/>
    </row>
    <row r="17" spans="5:8" ht="15">
      <c r="E17" s="1629"/>
      <c r="F17" s="1628"/>
      <c r="G17" s="1627"/>
      <c r="H17" s="1627"/>
    </row>
    <row r="18" spans="5:8" ht="15">
      <c r="E18" s="1629"/>
      <c r="F18" s="1628"/>
      <c r="G18" s="1627"/>
      <c r="H18" s="1627"/>
    </row>
    <row r="19" spans="5:8">
      <c r="E19" s="1627"/>
      <c r="F19" s="1627"/>
      <c r="G19" s="1627"/>
      <c r="H19" s="1627"/>
    </row>
  </sheetData>
  <mergeCells count="4">
    <mergeCell ref="A1:D1"/>
    <mergeCell ref="A2:D2"/>
    <mergeCell ref="A3:D3"/>
    <mergeCell ref="A4:D4"/>
  </mergeCells>
  <pageMargins left="0.7" right="0.7" top="0.75" bottom="0.75" header="0.3" footer="0.3"/>
  <pageSetup scale="90" orientation="portrait" r:id="rId1"/>
  <headerFooter>
    <oddFooter>&amp;RExplanatory Statement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activeCell="A4" sqref="A4:I4"/>
    </sheetView>
  </sheetViews>
  <sheetFormatPr defaultColWidth="9.140625" defaultRowHeight="12.75"/>
  <cols>
    <col min="1" max="1" width="6.42578125" style="44" bestFit="1" customWidth="1"/>
    <col min="2" max="2" width="7.7109375" style="44" customWidth="1"/>
    <col min="3" max="3" width="8.7109375" style="43" customWidth="1"/>
    <col min="4" max="5" width="8.7109375" style="44" customWidth="1"/>
    <col min="6" max="6" width="16.7109375" style="44" customWidth="1"/>
    <col min="7" max="7" width="14.7109375" style="44" customWidth="1"/>
    <col min="8" max="9" width="15.7109375" style="44" customWidth="1"/>
    <col min="10" max="10" width="8.85546875" style="44"/>
    <col min="11" max="12" width="11.7109375" style="44" customWidth="1"/>
    <col min="13" max="13" width="12.42578125" style="44" bestFit="1" customWidth="1"/>
    <col min="14" max="16384" width="9.140625" style="66"/>
  </cols>
  <sheetData>
    <row r="1" spans="1:14">
      <c r="A1" s="1652" t="str">
        <f>+'MISO Cover'!C6</f>
        <v>Entergy New Orleans, Inc.</v>
      </c>
      <c r="B1" s="1652"/>
      <c r="C1" s="1652"/>
      <c r="D1" s="1652"/>
      <c r="E1" s="1652"/>
      <c r="F1" s="1652"/>
      <c r="G1" s="1652"/>
      <c r="H1" s="1652"/>
      <c r="I1" s="1652"/>
    </row>
    <row r="2" spans="1:14">
      <c r="A2" s="1653" t="s">
        <v>1291</v>
      </c>
      <c r="B2" s="1653"/>
      <c r="C2" s="1653"/>
      <c r="D2" s="1653"/>
      <c r="E2" s="1653"/>
      <c r="F2" s="1653"/>
      <c r="G2" s="1653"/>
      <c r="H2" s="1653"/>
      <c r="I2" s="1653"/>
    </row>
    <row r="3" spans="1:14" s="80" customFormat="1">
      <c r="A3" s="1653" t="str">
        <f>+'MISO Cover'!K4</f>
        <v>For  the 12 Months Ended 12/31/2014</v>
      </c>
      <c r="B3" s="1653"/>
      <c r="C3" s="1653"/>
      <c r="D3" s="1653"/>
      <c r="E3" s="1653"/>
      <c r="F3" s="1653"/>
      <c r="G3" s="1653"/>
      <c r="H3" s="1653"/>
      <c r="I3" s="1653"/>
      <c r="J3" s="43"/>
      <c r="K3" s="43"/>
      <c r="L3" s="43"/>
      <c r="M3" s="43"/>
    </row>
    <row r="4" spans="1:14">
      <c r="A4" s="1652" t="s">
        <v>720</v>
      </c>
      <c r="B4" s="1652"/>
      <c r="C4" s="1652"/>
      <c r="D4" s="1652"/>
      <c r="E4" s="1652"/>
      <c r="F4" s="1652"/>
      <c r="G4" s="1652"/>
      <c r="H4" s="1652"/>
      <c r="I4" s="1652"/>
    </row>
    <row r="5" spans="1:14">
      <c r="A5" s="768"/>
      <c r="B5" s="768"/>
      <c r="C5" s="768"/>
      <c r="D5" s="768"/>
      <c r="E5" s="768"/>
      <c r="F5" s="768"/>
      <c r="G5" s="768"/>
      <c r="H5" s="768"/>
      <c r="I5" s="768"/>
    </row>
    <row r="6" spans="1:14" s="80" customFormat="1">
      <c r="A6" s="487" t="s">
        <v>619</v>
      </c>
      <c r="B6" s="776" t="s">
        <v>167</v>
      </c>
      <c r="C6" s="776" t="s">
        <v>215</v>
      </c>
      <c r="D6" s="601" t="s">
        <v>155</v>
      </c>
      <c r="E6" s="776" t="s">
        <v>168</v>
      </c>
      <c r="F6" s="602" t="s">
        <v>166</v>
      </c>
      <c r="G6" s="776" t="s">
        <v>257</v>
      </c>
      <c r="H6" s="776" t="s">
        <v>169</v>
      </c>
      <c r="I6" s="603" t="s">
        <v>270</v>
      </c>
      <c r="J6" s="44"/>
      <c r="K6" s="44"/>
      <c r="L6" s="44"/>
      <c r="M6" s="44"/>
      <c r="N6" s="222"/>
    </row>
    <row r="7" spans="1:14" s="80" customFormat="1">
      <c r="A7" s="487"/>
      <c r="B7" s="776"/>
      <c r="C7" s="776"/>
      <c r="D7" s="601"/>
      <c r="E7" s="776"/>
      <c r="F7" s="602"/>
      <c r="G7" s="776"/>
      <c r="H7" s="776"/>
      <c r="I7" s="603"/>
      <c r="J7" s="44"/>
      <c r="K7" s="44"/>
      <c r="L7" s="44"/>
      <c r="M7" s="44"/>
      <c r="N7" s="222"/>
    </row>
    <row r="8" spans="1:14">
      <c r="A8" s="66"/>
      <c r="B8" s="1053" t="s">
        <v>901</v>
      </c>
      <c r="C8" s="997"/>
      <c r="D8" s="997"/>
      <c r="E8" s="997"/>
      <c r="F8" s="768"/>
      <c r="G8" s="768"/>
      <c r="H8" s="768"/>
      <c r="I8" s="768"/>
    </row>
    <row r="9" spans="1:14">
      <c r="A9" s="904">
        <v>1</v>
      </c>
      <c r="B9" s="180" t="s">
        <v>1287</v>
      </c>
      <c r="C9" s="1378"/>
      <c r="D9" s="1378"/>
      <c r="E9" s="1378"/>
      <c r="F9" s="1378"/>
      <c r="G9" s="1178" t="s">
        <v>249</v>
      </c>
      <c r="H9" s="1656" t="s">
        <v>241</v>
      </c>
      <c r="I9" s="1656"/>
      <c r="K9" s="486"/>
    </row>
    <row r="10" spans="1:14" s="268" customFormat="1" ht="15">
      <c r="A10" s="904">
        <f>+A9+1</f>
        <v>2</v>
      </c>
      <c r="B10" s="936" t="s">
        <v>127</v>
      </c>
      <c r="C10" s="1378"/>
      <c r="D10" s="1378"/>
      <c r="E10" s="1378"/>
      <c r="F10" s="1378"/>
      <c r="G10" s="209"/>
      <c r="H10" s="1592" t="s">
        <v>1480</v>
      </c>
      <c r="I10" s="1593"/>
      <c r="J10" s="44"/>
      <c r="K10" s="486"/>
      <c r="L10" s="44"/>
      <c r="M10" s="44"/>
    </row>
    <row r="11" spans="1:14" s="268" customFormat="1" ht="15">
      <c r="A11" s="904">
        <f t="shared" ref="A11:A33" si="0">+A10+1</f>
        <v>3</v>
      </c>
      <c r="B11" s="936" t="s">
        <v>128</v>
      </c>
      <c r="C11" s="1378"/>
      <c r="D11" s="1378"/>
      <c r="E11" s="1378"/>
      <c r="F11" s="1378"/>
      <c r="G11" s="209"/>
      <c r="H11" s="1592" t="s">
        <v>1481</v>
      </c>
      <c r="I11" s="1593"/>
      <c r="J11" s="44"/>
      <c r="K11" s="486"/>
      <c r="L11" s="44"/>
      <c r="M11" s="44"/>
    </row>
    <row r="12" spans="1:14" s="268" customFormat="1" ht="15">
      <c r="A12" s="904">
        <f t="shared" si="0"/>
        <v>4</v>
      </c>
      <c r="B12" s="936" t="s">
        <v>129</v>
      </c>
      <c r="C12" s="1378"/>
      <c r="D12" s="1378"/>
      <c r="E12" s="1378"/>
      <c r="F12" s="1378"/>
      <c r="G12" s="209"/>
      <c r="H12" s="1592" t="s">
        <v>1482</v>
      </c>
      <c r="I12" s="1593"/>
      <c r="J12" s="44"/>
      <c r="K12" s="486"/>
      <c r="L12" s="44"/>
      <c r="M12" s="44"/>
    </row>
    <row r="13" spans="1:14" s="268" customFormat="1" ht="15">
      <c r="A13" s="904">
        <f t="shared" si="0"/>
        <v>5</v>
      </c>
      <c r="B13" s="936" t="s">
        <v>130</v>
      </c>
      <c r="C13" s="1378"/>
      <c r="D13" s="1378"/>
      <c r="E13" s="1378"/>
      <c r="F13" s="1378"/>
      <c r="G13" s="209"/>
      <c r="H13" s="1592" t="s">
        <v>1483</v>
      </c>
      <c r="I13" s="1593"/>
      <c r="J13" s="44"/>
      <c r="K13" s="486"/>
      <c r="L13" s="44"/>
      <c r="M13" s="44"/>
    </row>
    <row r="14" spans="1:14" s="268" customFormat="1" ht="15">
      <c r="A14" s="904">
        <f t="shared" si="0"/>
        <v>6</v>
      </c>
      <c r="B14" s="936" t="s">
        <v>126</v>
      </c>
      <c r="C14" s="1378"/>
      <c r="D14" s="1378"/>
      <c r="E14" s="1378"/>
      <c r="F14" s="1378"/>
      <c r="G14" s="209"/>
      <c r="H14" s="1592" t="s">
        <v>1484</v>
      </c>
      <c r="I14" s="1593"/>
      <c r="J14" s="44"/>
      <c r="K14" s="486"/>
      <c r="L14" s="44"/>
      <c r="M14" s="44"/>
    </row>
    <row r="15" spans="1:14" s="268" customFormat="1" ht="15">
      <c r="A15" s="904">
        <f t="shared" si="0"/>
        <v>7</v>
      </c>
      <c r="B15" s="936" t="s">
        <v>131</v>
      </c>
      <c r="C15" s="1378"/>
      <c r="D15" s="1378"/>
      <c r="E15" s="1378"/>
      <c r="F15" s="1378"/>
      <c r="G15" s="209"/>
      <c r="H15" s="1592" t="s">
        <v>1485</v>
      </c>
      <c r="I15" s="1593"/>
      <c r="J15" s="44"/>
      <c r="K15" s="486"/>
      <c r="L15" s="44"/>
      <c r="M15" s="44"/>
    </row>
    <row r="16" spans="1:14" s="268" customFormat="1" ht="15">
      <c r="A16" s="904">
        <f t="shared" si="0"/>
        <v>8</v>
      </c>
      <c r="B16" s="936" t="s">
        <v>132</v>
      </c>
      <c r="C16" s="1378"/>
      <c r="D16" s="1378"/>
      <c r="E16" s="1378"/>
      <c r="F16" s="1378"/>
      <c r="G16" s="209"/>
      <c r="H16" s="1592" t="s">
        <v>1486</v>
      </c>
      <c r="I16" s="1593"/>
      <c r="J16" s="44"/>
      <c r="K16" s="486"/>
      <c r="L16" s="44"/>
      <c r="M16" s="44"/>
    </row>
    <row r="17" spans="1:13" s="268" customFormat="1" ht="15">
      <c r="A17" s="904">
        <f t="shared" si="0"/>
        <v>9</v>
      </c>
      <c r="B17" s="936" t="s">
        <v>133</v>
      </c>
      <c r="C17" s="1378"/>
      <c r="D17" s="1378"/>
      <c r="E17" s="1378"/>
      <c r="F17" s="1378"/>
      <c r="G17" s="209"/>
      <c r="H17" s="1592" t="s">
        <v>1487</v>
      </c>
      <c r="I17" s="1593"/>
      <c r="J17" s="44"/>
      <c r="K17" s="486"/>
      <c r="L17" s="44"/>
      <c r="M17" s="44"/>
    </row>
    <row r="18" spans="1:13" s="268" customFormat="1" ht="15">
      <c r="A18" s="904">
        <f t="shared" si="0"/>
        <v>10</v>
      </c>
      <c r="B18" s="936" t="s">
        <v>134</v>
      </c>
      <c r="C18" s="1378"/>
      <c r="D18" s="1378"/>
      <c r="E18" s="1378"/>
      <c r="F18" s="1378"/>
      <c r="G18" s="209"/>
      <c r="H18" s="1592" t="s">
        <v>1488</v>
      </c>
      <c r="I18" s="1593"/>
      <c r="J18" s="44"/>
      <c r="K18" s="486"/>
      <c r="L18" s="44"/>
      <c r="M18" s="44"/>
    </row>
    <row r="19" spans="1:13" s="268" customFormat="1" ht="15">
      <c r="A19" s="904">
        <f t="shared" si="0"/>
        <v>11</v>
      </c>
      <c r="B19" s="936" t="s">
        <v>135</v>
      </c>
      <c r="C19" s="1378"/>
      <c r="D19" s="1378"/>
      <c r="E19" s="1378"/>
      <c r="F19" s="1378"/>
      <c r="G19" s="209"/>
      <c r="H19" s="1592" t="s">
        <v>1489</v>
      </c>
      <c r="I19" s="1593"/>
      <c r="J19" s="44"/>
      <c r="K19" s="486"/>
      <c r="L19" s="44"/>
      <c r="M19" s="44"/>
    </row>
    <row r="20" spans="1:13" s="268" customFormat="1" ht="15">
      <c r="A20" s="904">
        <f t="shared" si="0"/>
        <v>12</v>
      </c>
      <c r="B20" s="936" t="s">
        <v>136</v>
      </c>
      <c r="C20" s="1378"/>
      <c r="D20" s="1378"/>
      <c r="E20" s="1378"/>
      <c r="F20" s="1378"/>
      <c r="G20" s="209"/>
      <c r="H20" s="1592" t="s">
        <v>1490</v>
      </c>
      <c r="I20" s="1593"/>
      <c r="J20" s="44"/>
      <c r="K20" s="486"/>
      <c r="L20" s="44"/>
      <c r="M20" s="44"/>
    </row>
    <row r="21" spans="1:13" s="268" customFormat="1" ht="15">
      <c r="A21" s="904">
        <f t="shared" si="0"/>
        <v>13</v>
      </c>
      <c r="B21" s="936" t="s">
        <v>137</v>
      </c>
      <c r="C21" s="1378"/>
      <c r="D21" s="1378"/>
      <c r="E21" s="1378"/>
      <c r="F21" s="1378"/>
      <c r="G21" s="264"/>
      <c r="H21" s="1592" t="s">
        <v>1491</v>
      </c>
      <c r="I21" s="1593"/>
      <c r="J21" s="44"/>
      <c r="K21" s="486"/>
      <c r="L21" s="44"/>
      <c r="M21" s="44"/>
    </row>
    <row r="22" spans="1:13" s="268" customFormat="1">
      <c r="A22" s="904">
        <f t="shared" si="0"/>
        <v>14</v>
      </c>
      <c r="B22" s="180" t="s">
        <v>1288</v>
      </c>
      <c r="D22" s="180"/>
      <c r="E22" s="180"/>
      <c r="G22" s="155">
        <f>SUM(G10:G21)</f>
        <v>0</v>
      </c>
      <c r="H22" s="180" t="str">
        <f>+"Sum (Line "&amp;A10&amp;" to "&amp;A21&amp;")"</f>
        <v>Sum (Line 2 to 13)</v>
      </c>
      <c r="J22" s="44"/>
      <c r="K22" s="486"/>
      <c r="L22" s="44"/>
      <c r="M22" s="44"/>
    </row>
    <row r="23" spans="1:13" s="268" customFormat="1">
      <c r="A23" s="904">
        <f t="shared" si="0"/>
        <v>15</v>
      </c>
      <c r="B23" s="180" t="s">
        <v>846</v>
      </c>
      <c r="D23" s="180"/>
      <c r="E23" s="180"/>
      <c r="G23" s="269">
        <v>0</v>
      </c>
      <c r="H23" s="180" t="str">
        <f>+"WP17 Line "&amp;'WP17 Rev'!A57&amp;" Column "&amp;'WP17 Rev'!E5</f>
        <v>WP17 Line 7 Column D</v>
      </c>
      <c r="J23" s="44"/>
      <c r="K23" s="486"/>
      <c r="L23" s="44"/>
      <c r="M23" s="44"/>
    </row>
    <row r="24" spans="1:13" s="268" customFormat="1" ht="13.15" customHeight="1">
      <c r="A24" s="904">
        <f t="shared" si="0"/>
        <v>16</v>
      </c>
      <c r="B24" s="1658" t="s">
        <v>1425</v>
      </c>
      <c r="C24" s="1658"/>
      <c r="D24" s="1658"/>
      <c r="E24" s="1658"/>
      <c r="F24" s="1658"/>
      <c r="G24" s="264"/>
      <c r="H24" s="1470"/>
      <c r="I24" s="1467"/>
      <c r="J24" s="44"/>
      <c r="K24" s="486"/>
      <c r="L24" s="44"/>
      <c r="M24" s="44"/>
    </row>
    <row r="25" spans="1:13" s="268" customFormat="1">
      <c r="A25" s="904">
        <f t="shared" si="0"/>
        <v>17</v>
      </c>
      <c r="B25" s="268" t="s">
        <v>1426</v>
      </c>
      <c r="D25" s="181"/>
      <c r="E25" s="181"/>
      <c r="F25" s="43"/>
      <c r="G25" s="1471">
        <f>+G22+G23-G24</f>
        <v>0</v>
      </c>
      <c r="H25" s="1468" t="str">
        <f>+"Sum (Line "&amp;A22&amp;" + "&amp;A23&amp;" - "&amp;A24&amp;")"</f>
        <v>Sum (Line 14 + 15 - 16)</v>
      </c>
      <c r="I25" s="1467"/>
      <c r="J25" s="44"/>
      <c r="K25" s="44"/>
      <c r="L25" s="44"/>
      <c r="M25" s="44"/>
    </row>
    <row r="26" spans="1:13" s="268" customFormat="1">
      <c r="A26" s="904">
        <f t="shared" si="0"/>
        <v>18</v>
      </c>
      <c r="B26" s="1052"/>
      <c r="C26" s="1467"/>
      <c r="D26" s="181"/>
      <c r="E26" s="180"/>
      <c r="F26" s="43"/>
      <c r="G26" s="43"/>
      <c r="H26" s="44"/>
      <c r="I26" s="1467"/>
      <c r="J26" s="44"/>
      <c r="K26" s="44"/>
      <c r="L26" s="44"/>
      <c r="M26" s="44"/>
    </row>
    <row r="27" spans="1:13" s="268" customFormat="1">
      <c r="A27" s="904">
        <f t="shared" si="0"/>
        <v>19</v>
      </c>
      <c r="B27" s="43" t="s">
        <v>1427</v>
      </c>
      <c r="D27" s="43"/>
      <c r="E27" s="43"/>
      <c r="F27" s="43"/>
      <c r="G27" s="79">
        <v>0</v>
      </c>
      <c r="H27" s="1468" t="s">
        <v>1441</v>
      </c>
      <c r="I27" s="1467"/>
      <c r="J27" s="44"/>
      <c r="K27" s="44"/>
      <c r="L27" s="44"/>
      <c r="M27" s="44"/>
    </row>
    <row r="28" spans="1:13" s="268" customFormat="1" ht="15">
      <c r="A28" s="904">
        <f t="shared" si="0"/>
        <v>20</v>
      </c>
      <c r="B28" s="43"/>
      <c r="D28" s="1467"/>
      <c r="E28" s="1467"/>
      <c r="F28" s="1467"/>
      <c r="G28" s="488"/>
      <c r="H28" s="1468"/>
      <c r="I28" s="1467"/>
      <c r="J28" s="44"/>
      <c r="K28" s="44"/>
      <c r="L28" s="44"/>
      <c r="M28" s="44"/>
    </row>
    <row r="29" spans="1:13" s="268" customFormat="1">
      <c r="A29" s="904">
        <f t="shared" si="0"/>
        <v>21</v>
      </c>
      <c r="B29" s="43" t="s">
        <v>1263</v>
      </c>
      <c r="D29" s="43"/>
      <c r="E29" s="43"/>
      <c r="F29" s="43"/>
      <c r="G29" s="256">
        <f>+G27-G25</f>
        <v>0</v>
      </c>
      <c r="H29" s="1468" t="str">
        <f>+"Line "&amp;A27&amp;" - Line "&amp;A25</f>
        <v>Line 19 - Line 17</v>
      </c>
      <c r="I29" s="1467"/>
      <c r="J29" s="44"/>
      <c r="K29" s="44"/>
      <c r="L29" s="44"/>
      <c r="M29" s="44"/>
    </row>
    <row r="30" spans="1:13" s="268" customFormat="1">
      <c r="A30" s="1468">
        <f t="shared" si="0"/>
        <v>22</v>
      </c>
      <c r="B30" s="43"/>
      <c r="D30" s="43"/>
      <c r="E30" s="43"/>
      <c r="F30" s="43"/>
      <c r="G30" s="256"/>
      <c r="H30" s="1468"/>
      <c r="I30" s="1467"/>
      <c r="J30" s="44"/>
      <c r="K30" s="44"/>
      <c r="L30" s="44"/>
      <c r="M30" s="44"/>
    </row>
    <row r="31" spans="1:13" s="268" customFormat="1">
      <c r="A31" s="1468">
        <f t="shared" si="0"/>
        <v>23</v>
      </c>
      <c r="B31" s="43" t="s">
        <v>1264</v>
      </c>
      <c r="D31" s="43"/>
      <c r="E31" s="43"/>
      <c r="F31" s="43"/>
      <c r="G31" s="264"/>
      <c r="H31" s="1468" t="s">
        <v>844</v>
      </c>
      <c r="I31" s="1467"/>
      <c r="J31" s="44"/>
      <c r="K31" s="486"/>
      <c r="L31" s="44"/>
      <c r="M31" s="44"/>
    </row>
    <row r="32" spans="1:13" s="268" customFormat="1">
      <c r="A32" s="1468">
        <f t="shared" si="0"/>
        <v>24</v>
      </c>
      <c r="B32" s="43"/>
      <c r="D32" s="43"/>
      <c r="E32" s="43"/>
      <c r="F32" s="43"/>
      <c r="G32" s="79"/>
      <c r="H32" s="1468"/>
      <c r="I32" s="1467"/>
      <c r="J32" s="44"/>
      <c r="K32" s="44"/>
      <c r="L32" s="44"/>
      <c r="M32" s="44"/>
    </row>
    <row r="33" spans="1:13" s="268" customFormat="1">
      <c r="A33" s="1468">
        <f t="shared" si="0"/>
        <v>25</v>
      </c>
      <c r="B33" s="1052" t="s">
        <v>1428</v>
      </c>
      <c r="C33" s="1467"/>
      <c r="D33" s="181"/>
      <c r="E33" s="180"/>
      <c r="F33" s="43"/>
      <c r="G33" s="43"/>
      <c r="H33" s="44"/>
      <c r="I33" s="1467"/>
      <c r="J33" s="44"/>
      <c r="K33" s="44"/>
      <c r="L33" s="44"/>
      <c r="M33" s="44"/>
    </row>
    <row r="34" spans="1:13" s="268" customFormat="1">
      <c r="A34" s="1468"/>
      <c r="B34" s="1052"/>
      <c r="C34" s="1467"/>
      <c r="D34" s="181"/>
      <c r="E34" s="180"/>
      <c r="F34" s="43"/>
      <c r="G34" s="43"/>
      <c r="H34" s="44"/>
      <c r="I34" s="1467"/>
      <c r="J34" s="44"/>
      <c r="K34" s="44"/>
      <c r="L34" s="44"/>
      <c r="M34" s="44"/>
    </row>
    <row r="35" spans="1:13" s="268" customFormat="1" ht="54" customHeight="1">
      <c r="A35" s="1468"/>
      <c r="B35" s="1156" t="s">
        <v>721</v>
      </c>
      <c r="C35" s="629" t="s">
        <v>722</v>
      </c>
      <c r="D35" s="629" t="s">
        <v>530</v>
      </c>
      <c r="E35" s="629" t="s">
        <v>1280</v>
      </c>
      <c r="F35" s="629" t="s">
        <v>1180</v>
      </c>
      <c r="G35" s="629" t="s">
        <v>736</v>
      </c>
      <c r="H35" s="629" t="s">
        <v>723</v>
      </c>
      <c r="I35" s="629" t="s">
        <v>724</v>
      </c>
      <c r="J35" s="44"/>
      <c r="K35" s="44"/>
      <c r="L35" s="44"/>
      <c r="M35" s="44"/>
    </row>
    <row r="36" spans="1:13" s="268" customFormat="1" ht="15" customHeight="1">
      <c r="A36" s="1468">
        <f>+A33+1</f>
        <v>26</v>
      </c>
      <c r="B36" s="1178" t="s">
        <v>167</v>
      </c>
      <c r="C36" s="582" t="s">
        <v>215</v>
      </c>
      <c r="D36" s="582" t="s">
        <v>1165</v>
      </c>
      <c r="E36" s="582" t="s">
        <v>1166</v>
      </c>
      <c r="F36" s="582" t="s">
        <v>1167</v>
      </c>
      <c r="G36" s="1522" t="s">
        <v>1431</v>
      </c>
      <c r="H36" s="1522" t="s">
        <v>1432</v>
      </c>
      <c r="I36" s="582" t="s">
        <v>270</v>
      </c>
      <c r="J36" s="44"/>
      <c r="K36" s="44"/>
      <c r="L36" s="44"/>
      <c r="M36" s="44"/>
    </row>
    <row r="37" spans="1:13" s="268" customFormat="1" ht="15">
      <c r="A37" s="902">
        <f>+A36+0.01</f>
        <v>26.01</v>
      </c>
      <c r="B37" s="43"/>
      <c r="C37" s="1376">
        <v>41640</v>
      </c>
      <c r="D37" s="1377"/>
      <c r="E37" s="490">
        <v>0</v>
      </c>
      <c r="F37" s="491">
        <f t="shared" ref="F37:F64" si="1">H37*E37</f>
        <v>0</v>
      </c>
      <c r="G37" s="492">
        <f>+G$29/12</f>
        <v>0</v>
      </c>
      <c r="H37" s="520">
        <f>IF((B37=1),G37,G37)</f>
        <v>0</v>
      </c>
      <c r="I37" s="491">
        <f>F37+G37</f>
        <v>0</v>
      </c>
      <c r="J37" s="44"/>
      <c r="K37" s="44"/>
      <c r="L37" s="493"/>
      <c r="M37" s="494"/>
    </row>
    <row r="38" spans="1:13" s="268" customFormat="1">
      <c r="A38" s="902">
        <f t="shared" ref="A38:A65" si="2">+A37+0.01</f>
        <v>26.020000000000003</v>
      </c>
      <c r="B38" s="43"/>
      <c r="C38" s="1376">
        <v>41671</v>
      </c>
      <c r="D38" s="1377"/>
      <c r="E38" s="490">
        <v>0</v>
      </c>
      <c r="F38" s="491">
        <f t="shared" si="1"/>
        <v>0</v>
      </c>
      <c r="G38" s="492">
        <f t="shared" ref="G38:G48" si="3">+G$29/12</f>
        <v>0</v>
      </c>
      <c r="H38" s="520">
        <f t="shared" ref="H38:H64" si="4">IF((B38=1),I37+G38,+H37+G38)</f>
        <v>0</v>
      </c>
      <c r="I38" s="491">
        <f>I37+F38+G38</f>
        <v>0</v>
      </c>
      <c r="J38" s="44"/>
    </row>
    <row r="39" spans="1:13" s="268" customFormat="1">
      <c r="A39" s="902">
        <f t="shared" si="2"/>
        <v>26.030000000000005</v>
      </c>
      <c r="B39" s="43"/>
      <c r="C39" s="1376">
        <v>41699</v>
      </c>
      <c r="D39" s="1377"/>
      <c r="E39" s="490">
        <v>0</v>
      </c>
      <c r="F39" s="491">
        <f t="shared" si="1"/>
        <v>0</v>
      </c>
      <c r="G39" s="492">
        <f t="shared" si="3"/>
        <v>0</v>
      </c>
      <c r="H39" s="520">
        <f t="shared" si="4"/>
        <v>0</v>
      </c>
      <c r="I39" s="491">
        <f t="shared" ref="I39:I65" si="5">I38+F39+G39</f>
        <v>0</v>
      </c>
      <c r="J39" s="44"/>
    </row>
    <row r="40" spans="1:13" s="268" customFormat="1">
      <c r="A40" s="902">
        <f t="shared" si="2"/>
        <v>26.040000000000006</v>
      </c>
      <c r="B40" s="43">
        <v>1</v>
      </c>
      <c r="C40" s="1376">
        <v>41730</v>
      </c>
      <c r="D40" s="1377"/>
      <c r="E40" s="490">
        <v>0</v>
      </c>
      <c r="F40" s="491">
        <f t="shared" si="1"/>
        <v>0</v>
      </c>
      <c r="G40" s="492">
        <f t="shared" si="3"/>
        <v>0</v>
      </c>
      <c r="H40" s="520">
        <f t="shared" si="4"/>
        <v>0</v>
      </c>
      <c r="I40" s="491">
        <f t="shared" si="5"/>
        <v>0</v>
      </c>
      <c r="J40" s="44"/>
    </row>
    <row r="41" spans="1:13" s="268" customFormat="1">
      <c r="A41" s="902">
        <f t="shared" si="2"/>
        <v>26.050000000000008</v>
      </c>
      <c r="B41" s="43"/>
      <c r="C41" s="1376">
        <v>41760</v>
      </c>
      <c r="D41" s="1377"/>
      <c r="E41" s="490">
        <v>0</v>
      </c>
      <c r="F41" s="491">
        <f t="shared" si="1"/>
        <v>0</v>
      </c>
      <c r="G41" s="492">
        <f t="shared" si="3"/>
        <v>0</v>
      </c>
      <c r="H41" s="520">
        <f t="shared" si="4"/>
        <v>0</v>
      </c>
      <c r="I41" s="491">
        <f t="shared" si="5"/>
        <v>0</v>
      </c>
      <c r="J41" s="44"/>
      <c r="K41" s="256"/>
      <c r="L41" s="79"/>
      <c r="M41" s="256"/>
    </row>
    <row r="42" spans="1:13" s="268" customFormat="1">
      <c r="A42" s="902">
        <f t="shared" si="2"/>
        <v>26.060000000000009</v>
      </c>
      <c r="B42" s="43"/>
      <c r="C42" s="1376">
        <v>41791</v>
      </c>
      <c r="D42" s="1377"/>
      <c r="E42" s="490">
        <v>0</v>
      </c>
      <c r="F42" s="491">
        <f t="shared" si="1"/>
        <v>0</v>
      </c>
      <c r="G42" s="492">
        <f t="shared" si="3"/>
        <v>0</v>
      </c>
      <c r="H42" s="520">
        <f t="shared" si="4"/>
        <v>0</v>
      </c>
      <c r="I42" s="491">
        <f t="shared" si="5"/>
        <v>0</v>
      </c>
      <c r="J42" s="44"/>
      <c r="K42" s="256"/>
      <c r="L42" s="79"/>
      <c r="M42" s="256"/>
    </row>
    <row r="43" spans="1:13" s="268" customFormat="1">
      <c r="A43" s="902">
        <f t="shared" si="2"/>
        <v>26.070000000000011</v>
      </c>
      <c r="B43" s="43">
        <v>1</v>
      </c>
      <c r="C43" s="1376">
        <v>41821</v>
      </c>
      <c r="D43" s="1377"/>
      <c r="E43" s="490">
        <v>0</v>
      </c>
      <c r="F43" s="491">
        <f t="shared" si="1"/>
        <v>0</v>
      </c>
      <c r="G43" s="492">
        <f t="shared" si="3"/>
        <v>0</v>
      </c>
      <c r="H43" s="520">
        <f t="shared" si="4"/>
        <v>0</v>
      </c>
      <c r="I43" s="491">
        <f t="shared" si="5"/>
        <v>0</v>
      </c>
      <c r="J43" s="44"/>
      <c r="K43" s="256"/>
      <c r="L43" s="79"/>
      <c r="M43" s="256"/>
    </row>
    <row r="44" spans="1:13" s="268" customFormat="1">
      <c r="A44" s="902">
        <f t="shared" si="2"/>
        <v>26.080000000000013</v>
      </c>
      <c r="B44" s="43"/>
      <c r="C44" s="1376">
        <v>41852</v>
      </c>
      <c r="D44" s="1377"/>
      <c r="E44" s="490">
        <v>0</v>
      </c>
      <c r="F44" s="491">
        <f t="shared" si="1"/>
        <v>0</v>
      </c>
      <c r="G44" s="492">
        <f t="shared" si="3"/>
        <v>0</v>
      </c>
      <c r="H44" s="520">
        <f t="shared" si="4"/>
        <v>0</v>
      </c>
      <c r="I44" s="491">
        <f t="shared" si="5"/>
        <v>0</v>
      </c>
      <c r="J44" s="44"/>
      <c r="K44" s="256"/>
      <c r="L44" s="79"/>
      <c r="M44" s="256"/>
    </row>
    <row r="45" spans="1:13" s="268" customFormat="1">
      <c r="A45" s="902">
        <f t="shared" si="2"/>
        <v>26.090000000000014</v>
      </c>
      <c r="B45" s="43"/>
      <c r="C45" s="1376">
        <v>41883</v>
      </c>
      <c r="D45" s="1377"/>
      <c r="E45" s="490">
        <v>0</v>
      </c>
      <c r="F45" s="491">
        <f t="shared" si="1"/>
        <v>0</v>
      </c>
      <c r="G45" s="492">
        <f t="shared" si="3"/>
        <v>0</v>
      </c>
      <c r="H45" s="520">
        <f t="shared" si="4"/>
        <v>0</v>
      </c>
      <c r="I45" s="491">
        <f t="shared" si="5"/>
        <v>0</v>
      </c>
      <c r="J45" s="44"/>
      <c r="K45" s="256"/>
      <c r="L45" s="79"/>
      <c r="M45" s="256"/>
    </row>
    <row r="46" spans="1:13" s="268" customFormat="1">
      <c r="A46" s="902">
        <f t="shared" si="2"/>
        <v>26.100000000000016</v>
      </c>
      <c r="B46" s="43">
        <v>1</v>
      </c>
      <c r="C46" s="1376">
        <v>41913</v>
      </c>
      <c r="D46" s="1377"/>
      <c r="E46" s="490">
        <v>0</v>
      </c>
      <c r="F46" s="491">
        <f t="shared" si="1"/>
        <v>0</v>
      </c>
      <c r="G46" s="492">
        <f t="shared" si="3"/>
        <v>0</v>
      </c>
      <c r="H46" s="520">
        <f t="shared" si="4"/>
        <v>0</v>
      </c>
      <c r="I46" s="491">
        <f t="shared" si="5"/>
        <v>0</v>
      </c>
      <c r="J46" s="44"/>
      <c r="K46" s="256"/>
      <c r="L46" s="79"/>
      <c r="M46" s="256"/>
    </row>
    <row r="47" spans="1:13" s="268" customFormat="1">
      <c r="A47" s="902">
        <f t="shared" si="2"/>
        <v>26.110000000000017</v>
      </c>
      <c r="B47" s="43"/>
      <c r="C47" s="1376">
        <v>41944</v>
      </c>
      <c r="D47" s="1377"/>
      <c r="E47" s="490">
        <v>0</v>
      </c>
      <c r="F47" s="491">
        <f t="shared" si="1"/>
        <v>0</v>
      </c>
      <c r="G47" s="492">
        <f t="shared" si="3"/>
        <v>0</v>
      </c>
      <c r="H47" s="520">
        <f t="shared" si="4"/>
        <v>0</v>
      </c>
      <c r="I47" s="491">
        <f t="shared" si="5"/>
        <v>0</v>
      </c>
      <c r="J47" s="44"/>
      <c r="K47" s="256"/>
      <c r="L47" s="79"/>
      <c r="M47" s="256"/>
    </row>
    <row r="48" spans="1:13" s="268" customFormat="1">
      <c r="A48" s="902">
        <f t="shared" si="2"/>
        <v>26.120000000000019</v>
      </c>
      <c r="B48" s="43"/>
      <c r="C48" s="1376">
        <v>41974</v>
      </c>
      <c r="D48" s="1377"/>
      <c r="E48" s="490">
        <v>0</v>
      </c>
      <c r="F48" s="491">
        <f t="shared" si="1"/>
        <v>0</v>
      </c>
      <c r="G48" s="492">
        <f t="shared" si="3"/>
        <v>0</v>
      </c>
      <c r="H48" s="520">
        <f t="shared" si="4"/>
        <v>0</v>
      </c>
      <c r="I48" s="491">
        <f t="shared" si="5"/>
        <v>0</v>
      </c>
      <c r="J48" s="44"/>
      <c r="K48" s="256"/>
      <c r="L48" s="79"/>
      <c r="M48" s="256"/>
    </row>
    <row r="49" spans="1:13" s="268" customFormat="1" ht="15">
      <c r="A49" s="902">
        <f t="shared" si="2"/>
        <v>26.13000000000002</v>
      </c>
      <c r="B49" s="43">
        <v>1</v>
      </c>
      <c r="C49" s="1376">
        <v>42005</v>
      </c>
      <c r="D49" s="1377"/>
      <c r="E49" s="490">
        <v>0</v>
      </c>
      <c r="F49" s="491">
        <f t="shared" si="1"/>
        <v>0</v>
      </c>
      <c r="G49" s="492"/>
      <c r="H49" s="520">
        <f t="shared" si="4"/>
        <v>0</v>
      </c>
      <c r="I49" s="491">
        <f t="shared" si="5"/>
        <v>0</v>
      </c>
      <c r="J49" s="44"/>
      <c r="K49" s="496"/>
      <c r="L49" s="485"/>
      <c r="M49" s="496"/>
    </row>
    <row r="50" spans="1:13" s="268" customFormat="1">
      <c r="A50" s="902">
        <f t="shared" si="2"/>
        <v>26.140000000000022</v>
      </c>
      <c r="B50" s="85"/>
      <c r="C50" s="1376">
        <v>42036</v>
      </c>
      <c r="D50" s="1377"/>
      <c r="E50" s="490">
        <v>0</v>
      </c>
      <c r="F50" s="491">
        <f t="shared" si="1"/>
        <v>0</v>
      </c>
      <c r="G50" s="492"/>
      <c r="H50" s="520">
        <f t="shared" si="4"/>
        <v>0</v>
      </c>
      <c r="I50" s="491">
        <f t="shared" si="5"/>
        <v>0</v>
      </c>
      <c r="J50" s="44"/>
      <c r="K50" s="256"/>
      <c r="L50" s="256"/>
      <c r="M50" s="44"/>
    </row>
    <row r="51" spans="1:13" s="268" customFormat="1">
      <c r="A51" s="902">
        <f t="shared" si="2"/>
        <v>26.150000000000023</v>
      </c>
      <c r="B51" s="497"/>
      <c r="C51" s="1376">
        <v>42064</v>
      </c>
      <c r="D51" s="1377"/>
      <c r="E51" s="490">
        <v>0</v>
      </c>
      <c r="F51" s="491">
        <f t="shared" si="1"/>
        <v>0</v>
      </c>
      <c r="G51" s="492"/>
      <c r="H51" s="520">
        <f t="shared" si="4"/>
        <v>0</v>
      </c>
      <c r="I51" s="491">
        <f t="shared" si="5"/>
        <v>0</v>
      </c>
      <c r="J51" s="44"/>
      <c r="K51" s="44"/>
      <c r="L51" s="44"/>
      <c r="M51" s="44"/>
    </row>
    <row r="52" spans="1:13" s="268" customFormat="1">
      <c r="A52" s="902">
        <f t="shared" si="2"/>
        <v>26.160000000000025</v>
      </c>
      <c r="B52" s="43">
        <v>1</v>
      </c>
      <c r="C52" s="1376">
        <v>42095</v>
      </c>
      <c r="D52" s="1377"/>
      <c r="E52" s="490">
        <v>0</v>
      </c>
      <c r="F52" s="491">
        <f t="shared" si="1"/>
        <v>0</v>
      </c>
      <c r="G52" s="492"/>
      <c r="H52" s="520">
        <f t="shared" si="4"/>
        <v>0</v>
      </c>
      <c r="I52" s="491">
        <f t="shared" si="5"/>
        <v>0</v>
      </c>
      <c r="J52" s="44"/>
      <c r="K52" s="44"/>
      <c r="L52" s="44"/>
      <c r="M52" s="44"/>
    </row>
    <row r="53" spans="1:13" s="268" customFormat="1">
      <c r="A53" s="902">
        <f t="shared" si="2"/>
        <v>26.170000000000027</v>
      </c>
      <c r="B53" s="497"/>
      <c r="C53" s="1376">
        <v>42125</v>
      </c>
      <c r="D53" s="1377"/>
      <c r="E53" s="490">
        <v>0</v>
      </c>
      <c r="F53" s="491">
        <f t="shared" si="1"/>
        <v>0</v>
      </c>
      <c r="G53" s="492"/>
      <c r="H53" s="520">
        <f t="shared" si="4"/>
        <v>0</v>
      </c>
      <c r="I53" s="491">
        <f t="shared" si="5"/>
        <v>0</v>
      </c>
      <c r="J53" s="44"/>
      <c r="K53" s="43"/>
      <c r="L53" s="43"/>
      <c r="M53" s="43"/>
    </row>
    <row r="54" spans="1:13" s="268" customFormat="1">
      <c r="A54" s="902">
        <f t="shared" si="2"/>
        <v>26.180000000000028</v>
      </c>
      <c r="B54" s="497"/>
      <c r="C54" s="1376">
        <v>42156</v>
      </c>
      <c r="D54" s="1377"/>
      <c r="E54" s="490">
        <v>0</v>
      </c>
      <c r="F54" s="491">
        <f t="shared" si="1"/>
        <v>0</v>
      </c>
      <c r="G54" s="1148">
        <v>0</v>
      </c>
      <c r="H54" s="520">
        <f>IF((B54=1),I53+G54,+H53+G54)</f>
        <v>0</v>
      </c>
      <c r="I54" s="491">
        <f>I53+F54+G54</f>
        <v>0</v>
      </c>
      <c r="J54" s="44"/>
      <c r="K54" s="43"/>
      <c r="L54" s="43"/>
      <c r="M54" s="43"/>
    </row>
    <row r="55" spans="1:13" s="268" customFormat="1">
      <c r="A55" s="902">
        <f t="shared" si="2"/>
        <v>26.19000000000003</v>
      </c>
      <c r="B55" s="43">
        <v>1</v>
      </c>
      <c r="C55" s="1376">
        <v>42186</v>
      </c>
      <c r="D55" s="1377"/>
      <c r="E55" s="490">
        <v>0</v>
      </c>
      <c r="F55" s="491">
        <f t="shared" si="1"/>
        <v>0</v>
      </c>
      <c r="G55" s="492">
        <f>+G54</f>
        <v>0</v>
      </c>
      <c r="H55" s="520">
        <f t="shared" si="4"/>
        <v>0</v>
      </c>
      <c r="I55" s="491">
        <f t="shared" si="5"/>
        <v>0</v>
      </c>
      <c r="J55" s="44"/>
      <c r="K55" s="43"/>
      <c r="L55" s="43"/>
      <c r="M55" s="43"/>
    </row>
    <row r="56" spans="1:13" s="268" customFormat="1">
      <c r="A56" s="902">
        <f t="shared" si="2"/>
        <v>26.200000000000031</v>
      </c>
      <c r="B56" s="44"/>
      <c r="C56" s="1376">
        <v>42217</v>
      </c>
      <c r="D56" s="1377"/>
      <c r="E56" s="490">
        <v>0</v>
      </c>
      <c r="F56" s="491">
        <f t="shared" si="1"/>
        <v>0</v>
      </c>
      <c r="G56" s="492">
        <f>+G55</f>
        <v>0</v>
      </c>
      <c r="H56" s="520">
        <f t="shared" si="4"/>
        <v>0</v>
      </c>
      <c r="I56" s="491">
        <f t="shared" si="5"/>
        <v>0</v>
      </c>
      <c r="J56" s="44"/>
      <c r="K56" s="43"/>
      <c r="L56" s="43"/>
      <c r="M56" s="43"/>
    </row>
    <row r="57" spans="1:13" s="268" customFormat="1">
      <c r="A57" s="902">
        <f t="shared" si="2"/>
        <v>26.210000000000033</v>
      </c>
      <c r="B57" s="44"/>
      <c r="C57" s="1376">
        <v>42248</v>
      </c>
      <c r="D57" s="1377"/>
      <c r="E57" s="490">
        <v>0</v>
      </c>
      <c r="F57" s="491">
        <f t="shared" si="1"/>
        <v>0</v>
      </c>
      <c r="G57" s="492">
        <f t="shared" ref="G57:G65" si="6">+G56</f>
        <v>0</v>
      </c>
      <c r="H57" s="520">
        <f t="shared" si="4"/>
        <v>0</v>
      </c>
      <c r="I57" s="491">
        <f t="shared" si="5"/>
        <v>0</v>
      </c>
      <c r="J57" s="44"/>
      <c r="K57" s="43"/>
      <c r="L57" s="43"/>
      <c r="M57" s="43"/>
    </row>
    <row r="58" spans="1:13" s="268" customFormat="1">
      <c r="A58" s="902">
        <f t="shared" si="2"/>
        <v>26.220000000000034</v>
      </c>
      <c r="B58" s="43">
        <v>1</v>
      </c>
      <c r="C58" s="1376">
        <v>42278</v>
      </c>
      <c r="D58" s="1377"/>
      <c r="E58" s="490">
        <v>0</v>
      </c>
      <c r="F58" s="491">
        <f t="shared" si="1"/>
        <v>0</v>
      </c>
      <c r="G58" s="492">
        <f t="shared" si="6"/>
        <v>0</v>
      </c>
      <c r="H58" s="520">
        <f t="shared" si="4"/>
        <v>0</v>
      </c>
      <c r="I58" s="491">
        <f t="shared" si="5"/>
        <v>0</v>
      </c>
      <c r="J58" s="44"/>
      <c r="K58" s="43" t="s">
        <v>725</v>
      </c>
      <c r="L58" s="43"/>
      <c r="M58" s="43"/>
    </row>
    <row r="59" spans="1:13" s="268" customFormat="1">
      <c r="A59" s="902">
        <f t="shared" si="2"/>
        <v>26.230000000000036</v>
      </c>
      <c r="B59" s="44"/>
      <c r="C59" s="1376">
        <v>42309</v>
      </c>
      <c r="D59" s="1377"/>
      <c r="E59" s="490">
        <v>2.7083333333333334E-3</v>
      </c>
      <c r="F59" s="491">
        <f t="shared" si="1"/>
        <v>0</v>
      </c>
      <c r="G59" s="492">
        <f t="shared" si="6"/>
        <v>0</v>
      </c>
      <c r="H59" s="520">
        <f t="shared" si="4"/>
        <v>0</v>
      </c>
      <c r="I59" s="491">
        <f t="shared" si="5"/>
        <v>0</v>
      </c>
      <c r="J59" s="44"/>
      <c r="K59" s="43" t="s">
        <v>726</v>
      </c>
      <c r="L59" s="43"/>
      <c r="M59" s="43"/>
    </row>
    <row r="60" spans="1:13" s="268" customFormat="1">
      <c r="A60" s="902">
        <f t="shared" si="2"/>
        <v>26.240000000000038</v>
      </c>
      <c r="B60" s="44"/>
      <c r="C60" s="1376">
        <v>42339</v>
      </c>
      <c r="D60" s="1377"/>
      <c r="E60" s="490">
        <v>2.7083333333333334E-3</v>
      </c>
      <c r="F60" s="491">
        <f t="shared" si="1"/>
        <v>0</v>
      </c>
      <c r="G60" s="492">
        <f t="shared" si="6"/>
        <v>0</v>
      </c>
      <c r="H60" s="520">
        <f t="shared" si="4"/>
        <v>0</v>
      </c>
      <c r="I60" s="491">
        <f t="shared" si="5"/>
        <v>0</v>
      </c>
      <c r="J60" s="44"/>
      <c r="K60" s="43"/>
      <c r="L60" s="43"/>
      <c r="M60" s="43"/>
    </row>
    <row r="61" spans="1:13" s="268" customFormat="1">
      <c r="A61" s="902">
        <f t="shared" si="2"/>
        <v>26.250000000000039</v>
      </c>
      <c r="B61" s="43">
        <v>1</v>
      </c>
      <c r="C61" s="1376">
        <v>42370</v>
      </c>
      <c r="D61" s="1377"/>
      <c r="E61" s="490">
        <v>2.7083333333333334E-3</v>
      </c>
      <c r="F61" s="491">
        <f t="shared" si="1"/>
        <v>0</v>
      </c>
      <c r="G61" s="492">
        <f t="shared" si="6"/>
        <v>0</v>
      </c>
      <c r="H61" s="520">
        <f t="shared" si="4"/>
        <v>0</v>
      </c>
      <c r="I61" s="491">
        <f t="shared" si="5"/>
        <v>0</v>
      </c>
      <c r="J61" s="43"/>
      <c r="K61" s="43" t="s">
        <v>727</v>
      </c>
      <c r="L61" s="43"/>
      <c r="M61" s="43"/>
    </row>
    <row r="62" spans="1:13" s="268" customFormat="1">
      <c r="A62" s="902">
        <f t="shared" si="2"/>
        <v>26.260000000000041</v>
      </c>
      <c r="B62" s="85"/>
      <c r="C62" s="1376">
        <v>42401</v>
      </c>
      <c r="D62" s="1377"/>
      <c r="E62" s="490">
        <v>2.7083333333333334E-3</v>
      </c>
      <c r="F62" s="491">
        <f t="shared" si="1"/>
        <v>0</v>
      </c>
      <c r="G62" s="492">
        <f t="shared" si="6"/>
        <v>0</v>
      </c>
      <c r="H62" s="520">
        <f t="shared" si="4"/>
        <v>0</v>
      </c>
      <c r="I62" s="491">
        <f t="shared" si="5"/>
        <v>0</v>
      </c>
      <c r="J62" s="43"/>
      <c r="K62" s="43"/>
      <c r="L62" s="938" t="s">
        <v>728</v>
      </c>
      <c r="M62" s="939" t="str">
        <f ca="1">CELL("address",I65)</f>
        <v>$I$65</v>
      </c>
    </row>
    <row r="63" spans="1:13" s="268" customFormat="1">
      <c r="A63" s="902">
        <f t="shared" si="2"/>
        <v>26.270000000000042</v>
      </c>
      <c r="B63" s="497"/>
      <c r="C63" s="1376">
        <v>42430</v>
      </c>
      <c r="D63" s="1377"/>
      <c r="E63" s="490">
        <v>2.7083333333333334E-3</v>
      </c>
      <c r="F63" s="491">
        <f t="shared" si="1"/>
        <v>0</v>
      </c>
      <c r="G63" s="492">
        <f t="shared" si="6"/>
        <v>0</v>
      </c>
      <c r="H63" s="520">
        <f t="shared" si="4"/>
        <v>0</v>
      </c>
      <c r="I63" s="491">
        <f t="shared" si="5"/>
        <v>0</v>
      </c>
      <c r="J63" s="43"/>
      <c r="K63" s="43"/>
      <c r="L63" s="938" t="s">
        <v>729</v>
      </c>
      <c r="M63" s="938">
        <v>0</v>
      </c>
    </row>
    <row r="64" spans="1:13" s="268" customFormat="1">
      <c r="A64" s="902">
        <f t="shared" si="2"/>
        <v>26.280000000000044</v>
      </c>
      <c r="B64" s="43">
        <v>1</v>
      </c>
      <c r="C64" s="1376">
        <v>42461</v>
      </c>
      <c r="D64" s="1377"/>
      <c r="E64" s="490">
        <v>2.7083333333333334E-3</v>
      </c>
      <c r="F64" s="491">
        <f t="shared" si="1"/>
        <v>0</v>
      </c>
      <c r="G64" s="492">
        <f t="shared" si="6"/>
        <v>0</v>
      </c>
      <c r="H64" s="520">
        <f t="shared" si="4"/>
        <v>0</v>
      </c>
      <c r="I64" s="491">
        <f t="shared" si="5"/>
        <v>0</v>
      </c>
      <c r="J64" s="43"/>
      <c r="K64" s="43"/>
      <c r="L64" s="938" t="s">
        <v>730</v>
      </c>
      <c r="M64" s="939" t="str">
        <f ca="1">CELL("address",G54)</f>
        <v>$G$54</v>
      </c>
    </row>
    <row r="65" spans="1:21" s="268" customFormat="1" ht="15">
      <c r="A65" s="902">
        <f t="shared" si="2"/>
        <v>26.290000000000045</v>
      </c>
      <c r="B65" s="43"/>
      <c r="C65" s="1376">
        <v>42491</v>
      </c>
      <c r="D65" s="1377"/>
      <c r="E65" s="490">
        <v>2.7083333333333334E-3</v>
      </c>
      <c r="F65" s="516">
        <f>H65*E65</f>
        <v>0</v>
      </c>
      <c r="G65" s="492">
        <f t="shared" si="6"/>
        <v>0</v>
      </c>
      <c r="H65" s="520"/>
      <c r="I65" s="940">
        <f t="shared" si="5"/>
        <v>0</v>
      </c>
      <c r="J65" s="43"/>
      <c r="K65" s="43"/>
      <c r="L65" s="43"/>
      <c r="M65" s="43"/>
    </row>
    <row r="66" spans="1:21" s="268" customFormat="1">
      <c r="A66" s="904">
        <f>+A36+1</f>
        <v>27</v>
      </c>
      <c r="B66" s="43" t="s">
        <v>1154</v>
      </c>
      <c r="C66" s="489"/>
      <c r="D66" s="495"/>
      <c r="E66" s="1179"/>
      <c r="F66" s="872">
        <f>SUM(F37:F65)</f>
        <v>0</v>
      </c>
      <c r="G66" s="941"/>
      <c r="H66" s="491" t="str">
        <f>+"Col. "&amp;F6&amp;" Sum of Line "&amp;A36&amp;" Subparts"</f>
        <v>Col. E Sum of Line 26 Subparts</v>
      </c>
      <c r="I66" s="942"/>
      <c r="J66" s="43"/>
      <c r="K66" s="43"/>
      <c r="L66" s="43"/>
      <c r="M66" s="43"/>
    </row>
    <row r="67" spans="1:21" s="268" customFormat="1" ht="13.5" thickBot="1">
      <c r="A67" s="1521">
        <f>A66+1</f>
        <v>28</v>
      </c>
      <c r="B67" s="1523" t="s">
        <v>1433</v>
      </c>
      <c r="C67" s="489"/>
      <c r="D67" s="495"/>
      <c r="E67" s="1179"/>
      <c r="F67" s="1524">
        <f>+G29+G31</f>
        <v>0</v>
      </c>
      <c r="G67" s="499"/>
      <c r="H67" s="1659" t="str">
        <f>+"Col. "&amp;G6&amp;" Line "&amp;A29&amp;" + Line "&amp;A31</f>
        <v>Col. F Line 21 + Line 23</v>
      </c>
      <c r="I67" s="1659"/>
      <c r="J67" s="43"/>
      <c r="K67" s="43"/>
      <c r="L67" s="43"/>
      <c r="M67" s="43"/>
    </row>
    <row r="68" spans="1:21" s="268" customFormat="1" ht="13.5" thickBot="1">
      <c r="A68" s="1521">
        <f>A67+1</f>
        <v>29</v>
      </c>
      <c r="B68" s="43" t="s">
        <v>1434</v>
      </c>
      <c r="C68" s="489"/>
      <c r="D68" s="495"/>
      <c r="E68" s="1179"/>
      <c r="F68" s="1525">
        <f>SUM(F66:F67)</f>
        <v>0</v>
      </c>
      <c r="G68" s="491"/>
      <c r="H68" s="491" t="str">
        <f>+"Col. "&amp;F6&amp;" Line "&amp;A66&amp;" + "&amp;A67</f>
        <v>Col. E Line 27 + 28</v>
      </c>
      <c r="I68" s="491"/>
      <c r="J68" s="43"/>
      <c r="K68" s="43"/>
      <c r="L68" s="43"/>
      <c r="M68" s="43"/>
    </row>
    <row r="69" spans="1:21" s="268" customFormat="1">
      <c r="A69" s="44"/>
      <c r="B69" s="43"/>
      <c r="C69" s="43"/>
      <c r="D69" s="43"/>
      <c r="E69" s="43"/>
      <c r="F69" s="43"/>
      <c r="G69" s="43"/>
      <c r="H69" s="43"/>
      <c r="I69" s="43"/>
      <c r="J69" s="43"/>
      <c r="K69" s="43"/>
      <c r="L69" s="43"/>
      <c r="M69" s="43"/>
    </row>
    <row r="70" spans="1:21" s="44" customFormat="1">
      <c r="B70" s="43"/>
      <c r="C70" s="489"/>
      <c r="D70" s="495"/>
      <c r="E70" s="1179"/>
      <c r="F70" s="491"/>
      <c r="G70" s="492"/>
      <c r="H70" s="498"/>
      <c r="I70" s="491"/>
      <c r="J70" s="43"/>
      <c r="K70" s="43"/>
      <c r="L70" s="43"/>
      <c r="M70" s="43"/>
    </row>
    <row r="71" spans="1:21" s="268" customFormat="1">
      <c r="A71" s="44" t="s">
        <v>592</v>
      </c>
      <c r="B71" s="43"/>
      <c r="C71" s="489"/>
      <c r="D71" s="495"/>
      <c r="E71" s="1179"/>
      <c r="F71" s="491"/>
      <c r="G71" s="492"/>
      <c r="H71" s="498"/>
      <c r="I71" s="491"/>
      <c r="J71" s="44"/>
      <c r="K71" s="44"/>
      <c r="L71" s="44"/>
      <c r="M71" s="44"/>
    </row>
    <row r="72" spans="1:21" s="268" customFormat="1" ht="39.6" customHeight="1">
      <c r="A72" s="711">
        <v>1</v>
      </c>
      <c r="B72" s="1657" t="s">
        <v>1411</v>
      </c>
      <c r="C72" s="1657"/>
      <c r="D72" s="1657"/>
      <c r="E72" s="1657"/>
      <c r="F72" s="1657"/>
      <c r="G72" s="1657"/>
      <c r="H72" s="1657"/>
      <c r="I72" s="1657"/>
      <c r="J72" s="44"/>
      <c r="K72" s="44"/>
      <c r="L72" s="44"/>
      <c r="M72" s="44"/>
    </row>
    <row r="73" spans="1:21" s="268" customFormat="1" ht="27" customHeight="1">
      <c r="A73" s="903">
        <v>2</v>
      </c>
      <c r="B73" s="1654" t="s">
        <v>1429</v>
      </c>
      <c r="C73" s="1654"/>
      <c r="D73" s="1654"/>
      <c r="E73" s="1654"/>
      <c r="F73" s="1654"/>
      <c r="G73" s="1654"/>
      <c r="H73" s="1654"/>
      <c r="I73" s="1654"/>
      <c r="J73" s="44"/>
      <c r="K73" s="1655"/>
      <c r="L73" s="1655"/>
      <c r="M73" s="1655"/>
      <c r="N73" s="1655"/>
      <c r="O73" s="1655"/>
      <c r="P73" s="1655"/>
      <c r="Q73" s="1655"/>
      <c r="R73" s="1655"/>
      <c r="S73" s="1655"/>
      <c r="T73" s="1655"/>
      <c r="U73" s="1655"/>
    </row>
    <row r="74" spans="1:21" s="268" customFormat="1" ht="27" customHeight="1">
      <c r="A74" s="711">
        <v>3</v>
      </c>
      <c r="B74" s="1654" t="s">
        <v>740</v>
      </c>
      <c r="C74" s="1654"/>
      <c r="D74" s="1654"/>
      <c r="E74" s="1654"/>
      <c r="F74" s="1654"/>
      <c r="G74" s="1654"/>
      <c r="H74" s="1654"/>
      <c r="I74" s="1654"/>
      <c r="J74" s="44"/>
      <c r="K74" s="44"/>
      <c r="L74" s="44"/>
      <c r="M74" s="44"/>
    </row>
    <row r="75" spans="1:21" s="268" customFormat="1" ht="66" customHeight="1">
      <c r="A75" s="711">
        <v>4</v>
      </c>
      <c r="B75" s="1654" t="s">
        <v>1435</v>
      </c>
      <c r="C75" s="1654"/>
      <c r="D75" s="1654"/>
      <c r="E75" s="1654"/>
      <c r="F75" s="1654"/>
      <c r="G75" s="1654"/>
      <c r="H75" s="1654"/>
      <c r="I75" s="1654"/>
      <c r="J75" s="44"/>
      <c r="K75" s="44"/>
      <c r="L75" s="44"/>
      <c r="M75" s="44"/>
    </row>
    <row r="76" spans="1:21" s="268" customFormat="1" ht="39" customHeight="1">
      <c r="A76" s="567">
        <v>5</v>
      </c>
      <c r="B76" s="1654" t="s">
        <v>1436</v>
      </c>
      <c r="C76" s="1654"/>
      <c r="D76" s="1654"/>
      <c r="E76" s="1654"/>
      <c r="F76" s="1654"/>
      <c r="G76" s="1654"/>
      <c r="H76" s="1654"/>
      <c r="I76" s="1654"/>
      <c r="J76" s="44"/>
      <c r="K76" s="44"/>
      <c r="L76" s="44"/>
      <c r="M76" s="44"/>
    </row>
    <row r="77" spans="1:21" s="268" customFormat="1" ht="79.900000000000006" customHeight="1">
      <c r="A77" s="567">
        <v>6</v>
      </c>
      <c r="B77" s="1654" t="s">
        <v>1437</v>
      </c>
      <c r="C77" s="1654"/>
      <c r="D77" s="1654"/>
      <c r="E77" s="1654"/>
      <c r="F77" s="1654"/>
      <c r="G77" s="1654"/>
      <c r="H77" s="1654"/>
      <c r="I77" s="1654"/>
      <c r="J77" s="44"/>
      <c r="K77" s="44"/>
      <c r="L77" s="44"/>
      <c r="M77" s="44"/>
    </row>
    <row r="78" spans="1:21" s="268" customFormat="1" ht="54.6" customHeight="1">
      <c r="A78" s="1520">
        <v>7</v>
      </c>
      <c r="B78" s="1654" t="s">
        <v>1438</v>
      </c>
      <c r="C78" s="1654"/>
      <c r="D78" s="1654"/>
      <c r="E78" s="1654"/>
      <c r="F78" s="1654"/>
      <c r="G78" s="1654"/>
      <c r="H78" s="1654"/>
      <c r="I78" s="1654"/>
      <c r="J78" s="44"/>
      <c r="K78" s="44"/>
      <c r="L78" s="44"/>
      <c r="M78" s="44"/>
    </row>
    <row r="79" spans="1:21" s="268" customFormat="1">
      <c r="A79" s="746"/>
      <c r="B79" s="777"/>
      <c r="C79" s="517"/>
      <c r="D79" s="518"/>
      <c r="E79" s="519"/>
      <c r="F79" s="491"/>
      <c r="G79" s="492"/>
      <c r="H79" s="498"/>
      <c r="I79" s="491"/>
      <c r="J79" s="44"/>
      <c r="K79" s="44"/>
      <c r="L79" s="44"/>
      <c r="M79" s="44"/>
    </row>
    <row r="80" spans="1:21" s="268" customFormat="1">
      <c r="A80" s="746"/>
      <c r="B80" s="43"/>
      <c r="C80" s="489"/>
      <c r="D80" s="500"/>
      <c r="E80" s="490"/>
      <c r="F80" s="491"/>
      <c r="G80" s="492"/>
      <c r="H80" s="498"/>
      <c r="I80" s="491"/>
      <c r="J80" s="44"/>
      <c r="K80" s="44"/>
      <c r="L80" s="44"/>
      <c r="M80" s="44"/>
    </row>
    <row r="81" spans="1:13" s="268" customFormat="1">
      <c r="A81" s="44"/>
      <c r="B81" s="43"/>
      <c r="C81" s="489"/>
      <c r="D81" s="500"/>
      <c r="E81" s="490"/>
      <c r="F81" s="491"/>
      <c r="G81" s="492"/>
      <c r="H81" s="498"/>
      <c r="I81" s="491"/>
      <c r="J81" s="44"/>
      <c r="K81" s="44"/>
      <c r="L81" s="44"/>
      <c r="M81" s="44"/>
    </row>
    <row r="82" spans="1:13" s="268" customFormat="1">
      <c r="A82" s="44"/>
      <c r="B82" s="43"/>
      <c r="C82" s="489"/>
      <c r="D82" s="500"/>
      <c r="E82" s="490"/>
      <c r="F82" s="491"/>
      <c r="G82" s="492"/>
      <c r="H82" s="498"/>
      <c r="I82" s="491"/>
      <c r="J82" s="44"/>
      <c r="K82" s="44"/>
      <c r="L82" s="44"/>
      <c r="M82" s="44"/>
    </row>
    <row r="83" spans="1:13" s="268" customFormat="1">
      <c r="A83" s="44"/>
      <c r="B83" s="43"/>
      <c r="C83" s="489"/>
      <c r="D83" s="500"/>
      <c r="E83" s="490"/>
      <c r="F83" s="491"/>
      <c r="G83" s="492"/>
      <c r="H83" s="498"/>
      <c r="I83" s="491"/>
      <c r="J83" s="44"/>
      <c r="K83" s="44"/>
      <c r="L83" s="44"/>
      <c r="M83" s="44"/>
    </row>
    <row r="84" spans="1:13" s="268" customFormat="1">
      <c r="A84" s="44"/>
      <c r="B84" s="43"/>
      <c r="C84" s="489"/>
      <c r="D84" s="500"/>
      <c r="E84" s="490"/>
      <c r="F84" s="491"/>
      <c r="G84" s="492"/>
      <c r="H84" s="498"/>
      <c r="I84" s="491"/>
      <c r="J84" s="44"/>
      <c r="K84" s="44"/>
      <c r="L84" s="44"/>
      <c r="M84" s="44"/>
    </row>
    <row r="85" spans="1:13" s="268" customFormat="1">
      <c r="A85" s="44"/>
      <c r="B85" s="43"/>
      <c r="C85" s="489"/>
      <c r="D85" s="500"/>
      <c r="E85" s="490"/>
      <c r="F85" s="491"/>
      <c r="G85" s="492"/>
      <c r="H85" s="498"/>
      <c r="I85" s="491"/>
      <c r="J85" s="44"/>
      <c r="K85" s="44"/>
      <c r="L85" s="44"/>
      <c r="M85" s="44"/>
    </row>
    <row r="86" spans="1:13" s="268" customFormat="1">
      <c r="A86" s="44"/>
      <c r="B86" s="44"/>
      <c r="C86" s="489"/>
      <c r="D86" s="500"/>
      <c r="E86" s="490"/>
      <c r="F86" s="491"/>
      <c r="G86" s="492"/>
      <c r="H86" s="498"/>
      <c r="I86" s="491"/>
      <c r="J86" s="44"/>
      <c r="K86" s="44"/>
      <c r="L86" s="44"/>
      <c r="M86" s="44"/>
    </row>
    <row r="87" spans="1:13" s="268" customFormat="1">
      <c r="A87" s="44"/>
      <c r="B87" s="44"/>
      <c r="C87" s="489"/>
      <c r="D87" s="500"/>
      <c r="E87" s="490"/>
      <c r="F87" s="491"/>
      <c r="G87" s="492"/>
      <c r="H87" s="498"/>
      <c r="I87" s="491"/>
      <c r="J87" s="44"/>
      <c r="K87" s="44"/>
      <c r="L87" s="44"/>
      <c r="M87" s="44"/>
    </row>
    <row r="88" spans="1:13" s="268" customFormat="1">
      <c r="A88" s="44"/>
      <c r="B88" s="44"/>
      <c r="C88" s="489"/>
      <c r="D88" s="500"/>
      <c r="E88" s="490"/>
      <c r="F88" s="491"/>
      <c r="G88" s="492"/>
      <c r="H88" s="498"/>
      <c r="I88" s="491"/>
      <c r="J88" s="44"/>
      <c r="K88" s="44"/>
      <c r="L88" s="44"/>
      <c r="M88" s="44"/>
    </row>
    <row r="89" spans="1:13" s="268" customFormat="1">
      <c r="A89" s="44"/>
      <c r="B89" s="44"/>
      <c r="C89" s="489"/>
      <c r="D89" s="500"/>
      <c r="E89" s="490"/>
      <c r="F89" s="491"/>
      <c r="G89" s="492"/>
      <c r="H89" s="498"/>
      <c r="I89" s="491"/>
      <c r="J89" s="44"/>
      <c r="K89" s="44"/>
      <c r="L89" s="44"/>
      <c r="M89" s="44"/>
    </row>
    <row r="90" spans="1:13" s="268" customFormat="1">
      <c r="A90" s="44"/>
      <c r="B90" s="44"/>
      <c r="C90" s="489"/>
      <c r="D90" s="500"/>
      <c r="E90" s="490"/>
      <c r="F90" s="491"/>
      <c r="G90" s="492"/>
      <c r="H90" s="498"/>
      <c r="I90" s="491"/>
      <c r="J90" s="44"/>
      <c r="K90" s="44"/>
      <c r="L90" s="44"/>
      <c r="M90" s="44"/>
    </row>
    <row r="91" spans="1:13" s="268" customFormat="1">
      <c r="A91" s="44"/>
      <c r="B91" s="44"/>
      <c r="C91" s="489"/>
      <c r="D91" s="500"/>
      <c r="E91" s="490"/>
      <c r="F91" s="491"/>
      <c r="G91" s="492"/>
      <c r="H91" s="498"/>
      <c r="I91" s="491"/>
      <c r="J91" s="44"/>
      <c r="K91" s="44"/>
      <c r="L91" s="44"/>
      <c r="M91" s="44"/>
    </row>
    <row r="92" spans="1:13" s="268" customFormat="1">
      <c r="A92" s="44"/>
      <c r="B92" s="44"/>
      <c r="C92" s="489"/>
      <c r="D92" s="500"/>
      <c r="E92" s="490"/>
      <c r="F92" s="491"/>
      <c r="G92" s="492"/>
      <c r="H92" s="498"/>
      <c r="I92" s="491"/>
      <c r="J92" s="44"/>
      <c r="K92" s="44"/>
      <c r="L92" s="44"/>
      <c r="M92" s="44"/>
    </row>
    <row r="93" spans="1:13" s="268" customFormat="1">
      <c r="A93" s="44"/>
      <c r="B93" s="44"/>
      <c r="C93" s="489"/>
      <c r="D93" s="500"/>
      <c r="E93" s="490"/>
      <c r="F93" s="491"/>
      <c r="G93" s="492"/>
      <c r="H93" s="498"/>
      <c r="I93" s="491"/>
      <c r="J93" s="44"/>
      <c r="K93" s="44"/>
      <c r="L93" s="44"/>
      <c r="M93" s="44"/>
    </row>
    <row r="94" spans="1:13" s="268" customFormat="1">
      <c r="A94" s="44"/>
      <c r="B94" s="44"/>
      <c r="C94" s="489"/>
      <c r="D94" s="500"/>
      <c r="E94" s="490"/>
      <c r="F94" s="491"/>
      <c r="G94" s="492"/>
      <c r="H94" s="498"/>
      <c r="I94" s="491"/>
      <c r="J94" s="44"/>
      <c r="K94" s="44"/>
      <c r="L94" s="44"/>
      <c r="M94" s="44"/>
    </row>
    <row r="95" spans="1:13" s="268" customFormat="1">
      <c r="A95" s="44"/>
      <c r="B95" s="44"/>
      <c r="C95" s="489"/>
      <c r="D95" s="500"/>
      <c r="E95" s="490"/>
      <c r="F95" s="491"/>
      <c r="G95" s="492"/>
      <c r="H95" s="498"/>
      <c r="I95" s="491"/>
      <c r="J95" s="44"/>
      <c r="K95" s="44"/>
      <c r="L95" s="44"/>
      <c r="M95" s="44"/>
    </row>
    <row r="96" spans="1:13" s="268" customFormat="1">
      <c r="A96" s="44"/>
      <c r="B96" s="44"/>
      <c r="C96" s="489"/>
      <c r="D96" s="500"/>
      <c r="E96" s="490"/>
      <c r="F96" s="491"/>
      <c r="G96" s="492"/>
      <c r="H96" s="498"/>
      <c r="I96" s="491"/>
      <c r="J96" s="44"/>
      <c r="K96" s="44"/>
      <c r="L96" s="44"/>
      <c r="M96" s="44"/>
    </row>
    <row r="97" spans="1:38" s="268" customFormat="1">
      <c r="A97" s="44"/>
      <c r="B97" s="44"/>
      <c r="C97" s="489"/>
      <c r="D97" s="500"/>
      <c r="E97" s="490"/>
      <c r="F97" s="491"/>
      <c r="G97" s="492"/>
      <c r="H97" s="498"/>
      <c r="I97" s="491"/>
      <c r="J97" s="44"/>
      <c r="K97" s="44"/>
      <c r="L97" s="44"/>
      <c r="M97" s="44"/>
    </row>
    <row r="98" spans="1:38" s="268" customFormat="1">
      <c r="A98" s="44"/>
      <c r="B98" s="44"/>
      <c r="C98" s="489"/>
      <c r="D98" s="500"/>
      <c r="E98" s="490"/>
      <c r="F98" s="491"/>
      <c r="G98" s="492"/>
      <c r="H98" s="498"/>
      <c r="I98" s="491"/>
      <c r="J98" s="44"/>
      <c r="K98" s="44"/>
      <c r="L98" s="44"/>
      <c r="M98" s="44"/>
    </row>
    <row r="99" spans="1:38" s="268" customFormat="1">
      <c r="A99" s="44"/>
      <c r="B99" s="44"/>
      <c r="C99" s="489"/>
      <c r="D99" s="500"/>
      <c r="E99" s="490"/>
      <c r="F99" s="491"/>
      <c r="G99" s="492"/>
      <c r="H99" s="498"/>
      <c r="I99" s="491"/>
      <c r="J99" s="44"/>
      <c r="K99" s="44"/>
      <c r="L99" s="44"/>
      <c r="M99" s="44"/>
    </row>
    <row r="100" spans="1:38" s="268" customFormat="1">
      <c r="A100" s="44"/>
      <c r="B100" s="44"/>
      <c r="C100" s="489"/>
      <c r="D100" s="500"/>
      <c r="E100" s="490"/>
      <c r="F100" s="491"/>
      <c r="G100" s="492"/>
      <c r="H100" s="498"/>
      <c r="I100" s="491"/>
      <c r="J100" s="44"/>
      <c r="K100" s="44"/>
      <c r="L100" s="44"/>
      <c r="M100" s="44"/>
    </row>
    <row r="101" spans="1:38" s="268" customFormat="1">
      <c r="A101" s="44"/>
      <c r="B101" s="44"/>
      <c r="C101" s="489"/>
      <c r="D101" s="500"/>
      <c r="E101" s="490"/>
      <c r="F101" s="491"/>
      <c r="G101" s="492"/>
      <c r="H101" s="498"/>
      <c r="I101" s="491"/>
      <c r="J101" s="44"/>
      <c r="K101" s="44"/>
      <c r="L101" s="44"/>
      <c r="M101" s="44"/>
    </row>
    <row r="102" spans="1:38">
      <c r="C102" s="489"/>
      <c r="D102" s="500"/>
      <c r="E102" s="490"/>
      <c r="F102" s="491"/>
      <c r="G102" s="492"/>
      <c r="H102" s="498"/>
      <c r="I102" s="49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row>
    <row r="103" spans="1:38">
      <c r="C103" s="489"/>
      <c r="D103" s="500"/>
      <c r="E103" s="490"/>
      <c r="F103" s="491"/>
      <c r="G103" s="492"/>
      <c r="H103" s="498"/>
      <c r="I103" s="49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row>
    <row r="104" spans="1:38">
      <c r="C104" s="489"/>
      <c r="D104" s="500"/>
      <c r="E104" s="490"/>
      <c r="F104" s="491"/>
      <c r="G104" s="492"/>
      <c r="H104" s="498"/>
      <c r="I104" s="49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row>
    <row r="105" spans="1:38">
      <c r="C105" s="489"/>
      <c r="D105" s="500"/>
      <c r="E105" s="490"/>
      <c r="F105" s="491"/>
      <c r="G105" s="492"/>
      <c r="H105" s="498"/>
      <c r="I105" s="49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row>
    <row r="106" spans="1:38">
      <c r="C106" s="489"/>
      <c r="D106" s="500"/>
      <c r="E106" s="490"/>
      <c r="F106" s="491"/>
      <c r="G106" s="492"/>
      <c r="H106" s="498"/>
      <c r="I106" s="49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row>
    <row r="107" spans="1:38">
      <c r="C107" s="489"/>
      <c r="D107" s="500"/>
      <c r="E107" s="490"/>
      <c r="F107" s="491"/>
      <c r="G107" s="492"/>
      <c r="H107" s="498"/>
      <c r="I107" s="49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row>
    <row r="108" spans="1:38">
      <c r="C108" s="489"/>
      <c r="D108" s="500"/>
      <c r="E108" s="490"/>
      <c r="F108" s="491"/>
      <c r="G108" s="492"/>
      <c r="H108" s="498"/>
      <c r="I108" s="49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row>
    <row r="109" spans="1:38">
      <c r="C109" s="489"/>
      <c r="D109" s="500"/>
      <c r="E109" s="490"/>
      <c r="F109" s="491"/>
      <c r="G109" s="492"/>
      <c r="H109" s="498"/>
      <c r="I109" s="49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row>
    <row r="110" spans="1:38">
      <c r="B110" s="66"/>
      <c r="C110" s="489"/>
      <c r="D110" s="500"/>
      <c r="E110" s="490"/>
      <c r="F110" s="491"/>
      <c r="G110" s="492"/>
      <c r="H110" s="498"/>
      <c r="I110" s="49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row>
    <row r="111" spans="1:38">
      <c r="A111" s="66"/>
      <c r="B111" s="66"/>
      <c r="C111" s="489"/>
      <c r="D111" s="500"/>
      <c r="E111" s="490"/>
      <c r="F111" s="491"/>
      <c r="G111" s="492"/>
      <c r="H111" s="498"/>
      <c r="I111" s="49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row>
    <row r="112" spans="1:38">
      <c r="A112" s="66"/>
      <c r="B112" s="66"/>
      <c r="C112" s="489"/>
      <c r="D112" s="500"/>
      <c r="E112" s="490"/>
      <c r="F112" s="491"/>
      <c r="G112" s="492"/>
      <c r="H112" s="498"/>
      <c r="I112" s="49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row>
    <row r="113" spans="1:38">
      <c r="A113" s="66"/>
      <c r="B113" s="66"/>
      <c r="C113" s="489"/>
      <c r="D113" s="500"/>
      <c r="E113" s="490"/>
      <c r="F113" s="491"/>
      <c r="G113" s="492"/>
      <c r="H113" s="498"/>
      <c r="I113" s="49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8">
      <c r="A114" s="66"/>
      <c r="B114" s="66"/>
      <c r="C114" s="489"/>
      <c r="D114" s="500"/>
      <c r="E114" s="490"/>
      <c r="F114" s="491"/>
      <c r="G114" s="492"/>
      <c r="H114" s="498"/>
      <c r="I114" s="49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8">
      <c r="A115" s="66"/>
      <c r="B115" s="66"/>
      <c r="C115" s="489"/>
      <c r="D115" s="500"/>
      <c r="E115" s="490"/>
      <c r="F115" s="491"/>
      <c r="G115" s="492"/>
      <c r="H115" s="498"/>
      <c r="I115" s="49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8">
      <c r="A116" s="66"/>
      <c r="B116" s="66"/>
      <c r="C116" s="489"/>
      <c r="D116" s="500"/>
      <c r="E116" s="490"/>
      <c r="F116" s="491"/>
      <c r="G116" s="492"/>
      <c r="H116" s="498"/>
      <c r="I116" s="49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8">
      <c r="A117" s="66"/>
      <c r="B117" s="66"/>
      <c r="C117" s="489"/>
      <c r="D117" s="500"/>
      <c r="E117" s="490"/>
      <c r="F117" s="491"/>
      <c r="G117" s="492"/>
      <c r="H117" s="498"/>
      <c r="I117" s="49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8">
      <c r="A118" s="66"/>
      <c r="B118" s="66"/>
      <c r="C118" s="489"/>
      <c r="D118" s="500"/>
      <c r="E118" s="490"/>
      <c r="F118" s="491"/>
      <c r="G118" s="492"/>
      <c r="H118" s="498"/>
      <c r="I118" s="49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row>
    <row r="119" spans="1:38">
      <c r="A119" s="66"/>
      <c r="B119" s="66"/>
      <c r="C119" s="489"/>
      <c r="D119" s="500"/>
      <c r="E119" s="490"/>
      <c r="F119" s="491"/>
      <c r="G119" s="492"/>
      <c r="H119" s="498"/>
      <c r="I119" s="49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8">
      <c r="A120" s="66"/>
      <c r="B120" s="66"/>
      <c r="C120" s="489"/>
      <c r="D120" s="500"/>
      <c r="E120" s="490"/>
      <c r="F120" s="491"/>
      <c r="G120" s="492"/>
      <c r="H120" s="498"/>
      <c r="I120" s="49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8">
      <c r="A121" s="66"/>
      <c r="B121" s="66"/>
      <c r="C121" s="489"/>
      <c r="D121" s="500"/>
      <c r="E121" s="490"/>
      <c r="F121" s="491"/>
      <c r="G121" s="492"/>
      <c r="H121" s="498"/>
      <c r="I121" s="49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8">
      <c r="A122" s="66"/>
      <c r="B122" s="66"/>
      <c r="C122" s="489"/>
      <c r="D122" s="500"/>
      <c r="E122" s="490"/>
      <c r="F122" s="491"/>
      <c r="G122" s="492"/>
      <c r="H122" s="498"/>
      <c r="I122" s="49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8">
      <c r="A123" s="66"/>
      <c r="B123" s="66"/>
      <c r="F123" s="501"/>
      <c r="G123" s="501"/>
      <c r="H123" s="501"/>
      <c r="I123" s="50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8">
      <c r="A124" s="66"/>
      <c r="B124" s="66"/>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row>
    <row r="125" spans="1:38">
      <c r="A125" s="66"/>
      <c r="B125" s="66"/>
      <c r="F125" s="502"/>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row>
    <row r="126" spans="1:38">
      <c r="A126" s="66"/>
      <c r="B126" s="66"/>
      <c r="C126" s="66"/>
      <c r="D126" s="66"/>
      <c r="E126" s="66"/>
      <c r="F126" s="502"/>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row>
    <row r="127" spans="1:38">
      <c r="A127" s="66"/>
      <c r="B127" s="66"/>
      <c r="C127" s="66"/>
      <c r="D127" s="66"/>
      <c r="E127" s="66"/>
      <c r="F127" s="50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row>
    <row r="128" spans="1:38">
      <c r="A128" s="66"/>
      <c r="B128" s="66"/>
      <c r="C128" s="66"/>
      <c r="D128" s="66"/>
      <c r="E128" s="66"/>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row>
    <row r="129" spans="1:38">
      <c r="A129" s="66"/>
      <c r="B129" s="66"/>
      <c r="C129" s="66"/>
      <c r="D129" s="66"/>
      <c r="E129" s="66"/>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row>
    <row r="130" spans="1:38">
      <c r="A130" s="66"/>
      <c r="B130" s="66"/>
      <c r="C130" s="66"/>
      <c r="D130" s="66"/>
      <c r="E130" s="66"/>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8">
      <c r="A131" s="66"/>
      <c r="B131" s="66"/>
      <c r="C131" s="66"/>
      <c r="D131" s="66"/>
      <c r="E131" s="66"/>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8">
      <c r="A132" s="66"/>
      <c r="B132" s="66"/>
      <c r="C132" s="66"/>
      <c r="D132" s="66"/>
      <c r="E132" s="66"/>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row>
    <row r="133" spans="1:38">
      <c r="A133" s="66"/>
      <c r="B133" s="66"/>
      <c r="C133" s="66"/>
      <c r="D133" s="66"/>
      <c r="E133" s="66"/>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row>
    <row r="134" spans="1:38">
      <c r="A134" s="66"/>
      <c r="B134" s="66"/>
      <c r="C134" s="66"/>
      <c r="D134" s="66"/>
      <c r="E134" s="66"/>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row>
    <row r="135" spans="1:38">
      <c r="A135" s="66"/>
      <c r="B135" s="66"/>
      <c r="C135" s="66"/>
      <c r="D135" s="66"/>
      <c r="E135" s="66"/>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row>
    <row r="136" spans="1:38">
      <c r="A136" s="66"/>
      <c r="B136" s="66"/>
      <c r="C136" s="66"/>
      <c r="D136" s="66"/>
      <c r="E136" s="66"/>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row>
    <row r="137" spans="1:38">
      <c r="A137" s="66"/>
      <c r="B137" s="66"/>
      <c r="C137" s="66"/>
      <c r="D137" s="66"/>
      <c r="E137" s="66"/>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row>
    <row r="138" spans="1:38">
      <c r="A138" s="66"/>
      <c r="B138" s="66"/>
      <c r="C138" s="66"/>
      <c r="D138" s="66"/>
      <c r="E138" s="66"/>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row>
    <row r="139" spans="1:38">
      <c r="A139" s="66"/>
      <c r="B139" s="66"/>
      <c r="C139" s="66"/>
      <c r="D139" s="66"/>
      <c r="E139" s="66"/>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row>
    <row r="140" spans="1:38">
      <c r="A140" s="66"/>
      <c r="B140" s="66"/>
      <c r="C140" s="66"/>
      <c r="D140" s="66"/>
      <c r="E140" s="66"/>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row>
    <row r="141" spans="1:38">
      <c r="A141" s="66"/>
      <c r="B141" s="66"/>
      <c r="C141" s="66"/>
      <c r="D141" s="66"/>
      <c r="E141" s="66"/>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row>
    <row r="142" spans="1:38">
      <c r="A142" s="66"/>
      <c r="B142" s="66"/>
      <c r="C142" s="66"/>
      <c r="D142" s="66"/>
      <c r="E142" s="66"/>
      <c r="F142" s="66"/>
      <c r="G142" s="66"/>
      <c r="H142" s="66"/>
      <c r="I142" s="66"/>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row>
    <row r="143" spans="1:38">
      <c r="A143" s="66"/>
      <c r="B143" s="66"/>
      <c r="C143" s="66"/>
      <c r="D143" s="66"/>
      <c r="E143" s="66"/>
      <c r="F143" s="66"/>
      <c r="G143" s="66"/>
      <c r="H143" s="66"/>
      <c r="I143" s="66"/>
      <c r="J143" s="66"/>
      <c r="K143" s="66"/>
      <c r="L143" s="66"/>
      <c r="M143" s="66"/>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row>
    <row r="144" spans="1:38">
      <c r="A144" s="66"/>
      <c r="B144" s="66"/>
      <c r="C144" s="66"/>
      <c r="D144" s="66"/>
      <c r="E144" s="66"/>
      <c r="F144" s="66"/>
      <c r="G144" s="66"/>
      <c r="H144" s="66"/>
      <c r="I144" s="66"/>
      <c r="J144" s="66"/>
      <c r="K144" s="66"/>
      <c r="L144" s="66"/>
      <c r="M144" s="66"/>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row>
    <row r="145" spans="1:38">
      <c r="A145" s="66"/>
      <c r="B145" s="66"/>
      <c r="C145" s="66"/>
      <c r="D145" s="66"/>
      <c r="E145" s="66"/>
      <c r="F145" s="66"/>
      <c r="G145" s="66"/>
      <c r="H145" s="66"/>
      <c r="I145" s="66"/>
      <c r="J145" s="66"/>
      <c r="K145" s="66"/>
      <c r="L145" s="66"/>
      <c r="M145" s="66"/>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row>
    <row r="146" spans="1:38">
      <c r="A146" s="66"/>
      <c r="B146" s="66"/>
      <c r="C146" s="66"/>
      <c r="D146" s="66"/>
      <c r="E146" s="66"/>
      <c r="F146" s="66"/>
      <c r="G146" s="66"/>
      <c r="H146" s="66"/>
      <c r="I146" s="66"/>
      <c r="J146" s="66"/>
      <c r="K146" s="66"/>
      <c r="L146" s="66"/>
      <c r="M146" s="66"/>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row>
    <row r="147" spans="1:38">
      <c r="A147" s="66"/>
      <c r="B147" s="66"/>
      <c r="C147" s="66"/>
      <c r="D147" s="66"/>
      <c r="E147" s="66"/>
      <c r="F147" s="66"/>
      <c r="G147" s="66"/>
      <c r="H147" s="66"/>
      <c r="I147" s="66"/>
      <c r="J147" s="66"/>
      <c r="K147" s="66"/>
      <c r="L147" s="66"/>
      <c r="M147" s="66"/>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row>
    <row r="148" spans="1:38">
      <c r="A148" s="66"/>
      <c r="B148" s="66"/>
      <c r="C148" s="66"/>
      <c r="D148" s="66"/>
      <c r="E148" s="66"/>
      <c r="F148" s="66"/>
      <c r="G148" s="66"/>
      <c r="H148" s="66"/>
      <c r="I148" s="66"/>
      <c r="J148" s="66"/>
      <c r="K148" s="66"/>
      <c r="L148" s="66"/>
      <c r="M148" s="66"/>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row>
    <row r="149" spans="1:38">
      <c r="A149" s="66"/>
      <c r="B149" s="66"/>
      <c r="C149" s="66"/>
      <c r="D149" s="66"/>
      <c r="E149" s="66"/>
      <c r="F149" s="66"/>
      <c r="G149" s="66"/>
      <c r="H149" s="66"/>
      <c r="I149" s="66"/>
      <c r="J149" s="66"/>
      <c r="K149" s="66"/>
      <c r="L149" s="66"/>
      <c r="M149" s="66"/>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row>
    <row r="150" spans="1:38">
      <c r="A150" s="66"/>
      <c r="B150" s="66"/>
      <c r="C150" s="66"/>
      <c r="D150" s="66"/>
      <c r="E150" s="66"/>
      <c r="F150" s="66"/>
      <c r="G150" s="66"/>
      <c r="H150" s="66"/>
      <c r="I150" s="66"/>
      <c r="J150" s="66"/>
      <c r="K150" s="66"/>
      <c r="L150" s="66"/>
      <c r="M150" s="66"/>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row>
    <row r="151" spans="1:38">
      <c r="A151" s="66"/>
      <c r="B151" s="66"/>
      <c r="C151" s="66"/>
      <c r="D151" s="66"/>
      <c r="E151" s="66"/>
      <c r="F151" s="66"/>
      <c r="G151" s="66"/>
      <c r="H151" s="66"/>
      <c r="I151" s="66"/>
      <c r="J151" s="66"/>
      <c r="K151" s="66"/>
      <c r="L151" s="66"/>
      <c r="M151" s="66"/>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row>
    <row r="152" spans="1:38">
      <c r="A152" s="66"/>
      <c r="B152" s="66"/>
      <c r="C152" s="66"/>
      <c r="D152" s="66"/>
      <c r="E152" s="66"/>
      <c r="F152" s="66"/>
      <c r="G152" s="66"/>
      <c r="H152" s="66"/>
      <c r="I152" s="66"/>
      <c r="J152" s="66"/>
      <c r="K152" s="66"/>
      <c r="L152" s="66"/>
      <c r="M152" s="66"/>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row>
    <row r="153" spans="1:38">
      <c r="A153" s="66"/>
      <c r="B153" s="66"/>
      <c r="C153" s="66"/>
      <c r="D153" s="66"/>
      <c r="E153" s="66"/>
      <c r="F153" s="66"/>
      <c r="G153" s="66"/>
      <c r="H153" s="66"/>
      <c r="I153" s="66"/>
      <c r="J153" s="66"/>
      <c r="K153" s="66"/>
      <c r="L153" s="66"/>
      <c r="M153" s="66"/>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row>
    <row r="154" spans="1:38">
      <c r="A154" s="66"/>
      <c r="B154" s="66"/>
      <c r="C154" s="66"/>
      <c r="D154" s="66"/>
      <c r="E154" s="66"/>
      <c r="F154" s="66"/>
      <c r="G154" s="66"/>
      <c r="H154" s="66"/>
      <c r="I154" s="66"/>
      <c r="J154" s="66"/>
      <c r="K154" s="66"/>
      <c r="L154" s="66"/>
      <c r="M154" s="66"/>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c r="A155" s="66"/>
      <c r="B155" s="66"/>
      <c r="C155" s="66"/>
      <c r="D155" s="66"/>
      <c r="E155" s="66"/>
      <c r="F155" s="66"/>
      <c r="G155" s="66"/>
      <c r="H155" s="66"/>
      <c r="I155" s="66"/>
      <c r="J155" s="66"/>
      <c r="K155" s="66"/>
      <c r="L155" s="66"/>
      <c r="M155" s="66"/>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row>
    <row r="156" spans="1:38">
      <c r="A156" s="66"/>
      <c r="B156" s="66"/>
      <c r="C156" s="66"/>
      <c r="D156" s="66"/>
      <c r="E156" s="66"/>
      <c r="F156" s="66"/>
      <c r="G156" s="66"/>
      <c r="H156" s="66"/>
      <c r="I156" s="66"/>
      <c r="J156" s="66"/>
      <c r="K156" s="66"/>
      <c r="L156" s="66"/>
      <c r="M156" s="66"/>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row>
    <row r="157" spans="1:38">
      <c r="A157" s="66"/>
      <c r="B157" s="66"/>
      <c r="C157" s="66"/>
      <c r="D157" s="66"/>
      <c r="E157" s="66"/>
      <c r="F157" s="66"/>
      <c r="G157" s="66"/>
      <c r="H157" s="66"/>
      <c r="I157" s="66"/>
      <c r="J157" s="66"/>
      <c r="K157" s="66"/>
      <c r="L157" s="66"/>
      <c r="M157" s="66"/>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row>
    <row r="158" spans="1:38">
      <c r="A158" s="66"/>
      <c r="J158" s="66"/>
      <c r="K158" s="66"/>
      <c r="L158" s="66"/>
      <c r="M158" s="66"/>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row>
    <row r="159" spans="1:38" s="231" customFormat="1">
      <c r="A159" s="44"/>
      <c r="B159" s="44"/>
      <c r="C159" s="43"/>
      <c r="D159" s="44"/>
      <c r="E159" s="44"/>
      <c r="F159" s="44"/>
      <c r="G159" s="44"/>
      <c r="H159" s="44"/>
      <c r="I159" s="44"/>
      <c r="J159" s="44"/>
      <c r="K159" s="44"/>
      <c r="L159" s="44"/>
      <c r="M159" s="44"/>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row>
    <row r="160" spans="1:38">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row>
    <row r="163" spans="1:38">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row>
    <row r="164" spans="1:38">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row>
    <row r="166" spans="1:38">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row>
    <row r="168" spans="1:38">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row>
    <row r="170" spans="1:38">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row>
    <row r="171" spans="1:38">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row>
    <row r="172" spans="1:38">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row>
    <row r="173" spans="1:38">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row>
    <row r="174" spans="1:38">
      <c r="B174" s="66"/>
      <c r="C174" s="66"/>
      <c r="D174" s="66"/>
      <c r="E174" s="66"/>
      <c r="F174" s="66"/>
      <c r="G174" s="66"/>
      <c r="H174" s="66"/>
      <c r="I174" s="66"/>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row>
    <row r="175" spans="1:38">
      <c r="A175" s="66"/>
      <c r="B175" s="66"/>
      <c r="C175" s="66"/>
      <c r="D175" s="66"/>
      <c r="E175" s="66"/>
      <c r="F175" s="66"/>
      <c r="G175" s="66"/>
      <c r="H175" s="66"/>
      <c r="I175" s="66"/>
      <c r="J175" s="66"/>
      <c r="K175" s="66"/>
      <c r="L175" s="66"/>
      <c r="M175" s="66"/>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row>
    <row r="176" spans="1:38">
      <c r="A176" s="66"/>
      <c r="B176" s="66"/>
      <c r="C176" s="66"/>
      <c r="D176" s="66"/>
      <c r="E176" s="66"/>
      <c r="F176" s="66"/>
      <c r="G176" s="66"/>
      <c r="H176" s="66"/>
      <c r="I176" s="66"/>
      <c r="J176" s="66"/>
      <c r="K176" s="66"/>
      <c r="L176" s="66"/>
      <c r="M176" s="66"/>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row>
    <row r="177" spans="1:38">
      <c r="A177" s="66"/>
      <c r="B177" s="66"/>
      <c r="C177" s="66"/>
      <c r="D177" s="66"/>
      <c r="E177" s="66"/>
      <c r="F177" s="66"/>
      <c r="G177" s="66"/>
      <c r="H177" s="66"/>
      <c r="I177" s="66"/>
      <c r="J177" s="66"/>
      <c r="K177" s="66"/>
      <c r="L177" s="66"/>
      <c r="M177" s="66"/>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row>
    <row r="178" spans="1:38">
      <c r="A178" s="66"/>
      <c r="B178" s="66"/>
      <c r="C178" s="66"/>
      <c r="D178" s="66"/>
      <c r="E178" s="66"/>
      <c r="F178" s="66"/>
      <c r="G178" s="66"/>
      <c r="H178" s="66"/>
      <c r="I178" s="66"/>
      <c r="J178" s="66"/>
      <c r="K178" s="66"/>
      <c r="L178" s="66"/>
      <c r="M178" s="66"/>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row>
    <row r="179" spans="1:38">
      <c r="A179" s="66"/>
      <c r="J179" s="66"/>
      <c r="K179" s="66"/>
      <c r="L179" s="66"/>
      <c r="M179" s="66"/>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9" fitToHeight="2" orientation="portrait" r:id="rId1"/>
  <headerFooter>
    <oddFooter>&amp;CPage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66"/>
  <sheetViews>
    <sheetView zoomScale="80" zoomScaleNormal="80" zoomScaleSheetLayoutView="70" workbookViewId="0">
      <selection activeCell="A7" sqref="A7:I163"/>
    </sheetView>
  </sheetViews>
  <sheetFormatPr defaultColWidth="9.140625" defaultRowHeight="12.75"/>
  <cols>
    <col min="1" max="1" width="5.85546875" style="577" bestFit="1" customWidth="1"/>
    <col min="2" max="2" width="2.7109375" style="66" customWidth="1"/>
    <col min="3" max="3" width="62.5703125" style="66" customWidth="1"/>
    <col min="4" max="4" width="15.7109375" style="66" customWidth="1"/>
    <col min="5" max="5" width="16.7109375" style="66" customWidth="1"/>
    <col min="6" max="7" width="12.42578125" style="66" bestFit="1" customWidth="1"/>
    <col min="8" max="8" width="14.85546875" style="66" customWidth="1"/>
    <col min="9" max="9" width="32.28515625" style="701" bestFit="1" customWidth="1"/>
    <col min="10" max="10" width="18.28515625" style="66" customWidth="1"/>
    <col min="11" max="11" width="18.85546875" style="66" customWidth="1"/>
    <col min="12" max="12" width="16.5703125" style="81" customWidth="1"/>
    <col min="13" max="13" width="15.140625" style="81" customWidth="1"/>
    <col min="14" max="14" width="17.85546875" style="81" customWidth="1"/>
    <col min="15" max="15" width="17.85546875" style="66" customWidth="1"/>
    <col min="16" max="16" width="15.7109375" style="66" customWidth="1"/>
    <col min="17" max="17" width="4.140625" style="66" customWidth="1"/>
    <col min="18" max="18" width="17.85546875" style="66" customWidth="1"/>
    <col min="19" max="19" width="15.7109375" style="66" customWidth="1"/>
    <col min="20" max="20" width="23" style="66" customWidth="1"/>
    <col min="21" max="16384" width="9.140625" style="66"/>
  </cols>
  <sheetData>
    <row r="1" spans="1:14">
      <c r="A1" s="1660" t="str">
        <f>+'MISO Cover'!C6</f>
        <v>Entergy New Orleans, Inc.</v>
      </c>
      <c r="B1" s="1660"/>
      <c r="C1" s="1660"/>
      <c r="D1" s="1660"/>
      <c r="E1" s="1660"/>
      <c r="F1" s="1660"/>
      <c r="G1" s="1660"/>
      <c r="H1" s="1660"/>
      <c r="I1" s="1660"/>
      <c r="J1" s="808"/>
      <c r="K1" s="188"/>
      <c r="L1" s="188"/>
      <c r="M1" s="188"/>
    </row>
    <row r="2" spans="1:14">
      <c r="A2" s="1652" t="s">
        <v>986</v>
      </c>
      <c r="B2" s="1652"/>
      <c r="C2" s="1652"/>
      <c r="D2" s="1652"/>
      <c r="E2" s="1652"/>
      <c r="F2" s="1652"/>
      <c r="G2" s="1652"/>
      <c r="H2" s="1652"/>
      <c r="I2" s="1652"/>
      <c r="J2" s="188"/>
      <c r="K2" s="188"/>
      <c r="L2" s="188"/>
      <c r="M2" s="188"/>
    </row>
    <row r="3" spans="1:14">
      <c r="A3" s="1660" t="str">
        <f>+'MISO Cover'!K4</f>
        <v>For  the 12 Months Ended 12/31/2014</v>
      </c>
      <c r="B3" s="1660"/>
      <c r="C3" s="1660"/>
      <c r="D3" s="1660"/>
      <c r="E3" s="1660"/>
      <c r="F3" s="1660"/>
      <c r="G3" s="1660"/>
      <c r="H3" s="1660"/>
      <c r="I3" s="1660"/>
      <c r="J3" s="188"/>
      <c r="K3" s="188"/>
      <c r="L3" s="188"/>
      <c r="M3" s="188"/>
    </row>
    <row r="4" spans="1:14">
      <c r="A4" s="627"/>
      <c r="B4" s="627"/>
      <c r="C4" s="627"/>
      <c r="D4" s="627"/>
      <c r="E4" s="627"/>
      <c r="F4" s="627"/>
      <c r="G4" s="627"/>
      <c r="H4" s="627"/>
      <c r="I4" s="40"/>
      <c r="J4" s="604"/>
      <c r="K4" s="221"/>
      <c r="L4" s="221"/>
      <c r="M4" s="221"/>
    </row>
    <row r="5" spans="1:14" s="231" customFormat="1">
      <c r="A5" s="578" t="s">
        <v>525</v>
      </c>
      <c r="B5" s="231" t="s">
        <v>167</v>
      </c>
      <c r="C5" s="231" t="s">
        <v>215</v>
      </c>
      <c r="D5" s="231" t="s">
        <v>155</v>
      </c>
      <c r="E5" s="231" t="s">
        <v>168</v>
      </c>
      <c r="F5" s="231" t="s">
        <v>166</v>
      </c>
      <c r="G5" s="231" t="s">
        <v>257</v>
      </c>
      <c r="H5" s="231" t="s">
        <v>169</v>
      </c>
      <c r="I5" s="231" t="s">
        <v>270</v>
      </c>
      <c r="J5" s="605"/>
      <c r="L5" s="239"/>
      <c r="M5" s="239"/>
      <c r="N5" s="239"/>
    </row>
    <row r="6" spans="1:14" s="231" customFormat="1">
      <c r="A6" s="578"/>
      <c r="I6" s="701"/>
      <c r="J6" s="605"/>
      <c r="L6" s="239"/>
      <c r="M6" s="239"/>
      <c r="N6" s="239"/>
    </row>
    <row r="7" spans="1:14">
      <c r="A7" s="874">
        <v>1</v>
      </c>
      <c r="B7" s="634" t="s">
        <v>186</v>
      </c>
      <c r="C7" s="631"/>
      <c r="D7" s="632"/>
      <c r="E7" s="632"/>
      <c r="F7" s="633"/>
      <c r="G7" s="635"/>
      <c r="H7" s="636"/>
      <c r="I7" s="702"/>
      <c r="J7" s="605"/>
      <c r="K7" s="231"/>
      <c r="L7" s="239"/>
      <c r="M7" s="239"/>
    </row>
    <row r="8" spans="1:14">
      <c r="A8" s="875">
        <f>+A7+1</f>
        <v>2</v>
      </c>
      <c r="B8" s="44"/>
      <c r="C8" s="44"/>
      <c r="D8" s="229"/>
      <c r="E8" s="80"/>
      <c r="F8" s="80"/>
      <c r="G8" s="80"/>
      <c r="H8" s="80"/>
    </row>
    <row r="9" spans="1:14" ht="13.15" customHeight="1">
      <c r="A9" s="875">
        <f>+A8+1</f>
        <v>3</v>
      </c>
      <c r="B9" s="628" t="s">
        <v>187</v>
      </c>
      <c r="C9" s="275"/>
      <c r="D9" s="531"/>
      <c r="E9" s="81"/>
      <c r="F9" s="81"/>
      <c r="G9" s="81"/>
      <c r="H9" s="81"/>
      <c r="J9" s="1001"/>
    </row>
    <row r="10" spans="1:14">
      <c r="A10" s="874">
        <f>+A9+1</f>
        <v>4</v>
      </c>
      <c r="C10" s="75" t="s">
        <v>1082</v>
      </c>
      <c r="D10" s="269"/>
      <c r="E10" s="81"/>
      <c r="F10" s="81"/>
      <c r="G10" s="81"/>
      <c r="H10" s="81"/>
      <c r="I10" s="222"/>
    </row>
    <row r="11" spans="1:14">
      <c r="A11" s="876">
        <f>+A10+0.1</f>
        <v>4.0999999999999996</v>
      </c>
      <c r="C11" s="579" t="s">
        <v>1079</v>
      </c>
      <c r="D11" s="269">
        <f>+'WP10 Storm'!D45</f>
        <v>0</v>
      </c>
      <c r="E11" s="81"/>
      <c r="F11" s="81"/>
      <c r="G11" s="268"/>
      <c r="H11" s="268"/>
      <c r="I11" s="222" t="str">
        <f>+"WP10 Storm Ln "&amp;'WP10 Storm'!A45&amp;" Col. "&amp;'WP10 Storm'!$D$6</f>
        <v>WP10 Storm Ln 8 Col. C</v>
      </c>
    </row>
    <row r="12" spans="1:14">
      <c r="A12" s="876">
        <f>+A11+0.1</f>
        <v>4.1999999999999993</v>
      </c>
      <c r="C12" s="579" t="s">
        <v>1047</v>
      </c>
      <c r="D12" s="269">
        <f>'WP AJ1 MISO'!H61</f>
        <v>0</v>
      </c>
      <c r="E12" s="81"/>
      <c r="F12" s="81"/>
      <c r="G12" s="268"/>
      <c r="H12" s="268"/>
      <c r="I12" s="222" t="str">
        <f>+"WP AJ1 MISO Ln "&amp;'WP AJ1 MISO'!A61&amp;" Col. "&amp;'WP AJ1 MISO'!H$8</f>
        <v>WP AJ1 MISO Ln 8 Col. G</v>
      </c>
      <c r="J12" s="873"/>
    </row>
    <row r="13" spans="1:14">
      <c r="A13" s="876">
        <f>+A12+0.1</f>
        <v>4.2999999999999989</v>
      </c>
      <c r="C13" s="579" t="s">
        <v>1449</v>
      </c>
      <c r="D13" s="269">
        <f>-'WP AJ2 ITC'!E47</f>
        <v>-558.01</v>
      </c>
      <c r="E13" s="81"/>
      <c r="F13" s="81"/>
      <c r="G13" s="268"/>
      <c r="H13" s="268"/>
      <c r="I13" s="222" t="str">
        <f>"WP AJ2 ITC Ln "&amp;'WP AJ2 ITC'!A47&amp;" Col. "&amp;'WP AJ2 ITC'!E$6</f>
        <v>WP AJ2 ITC Ln 8 Col. C</v>
      </c>
      <c r="J13" s="873"/>
    </row>
    <row r="14" spans="1:14" s="956" customFormat="1">
      <c r="A14" s="876">
        <f>+A13+0.1</f>
        <v>4.3999999999999986</v>
      </c>
      <c r="B14" s="80"/>
      <c r="C14" s="1312" t="s">
        <v>1450</v>
      </c>
      <c r="D14" s="269">
        <f>-'WP AJ4 LA Merger'!D42</f>
        <v>0</v>
      </c>
      <c r="E14" s="268"/>
      <c r="F14" s="268"/>
      <c r="G14" s="268"/>
      <c r="H14" s="268"/>
      <c r="I14" s="1435" t="str">
        <f>+"WP AJ4 LA Merger Ln "&amp;'WP AJ4 LA Merger'!A42&amp;" Col ."&amp;'WP AJ4 LA Merger'!$D$6</f>
        <v>WP AJ4 LA Merger Ln 8 Col .C</v>
      </c>
      <c r="J14" s="873"/>
      <c r="L14" s="957"/>
      <c r="M14" s="957"/>
      <c r="N14" s="957"/>
    </row>
    <row r="15" spans="1:14" s="956" customFormat="1">
      <c r="A15" s="1319">
        <f>+A14+0.1</f>
        <v>4.4999999999999982</v>
      </c>
      <c r="B15" s="1320"/>
      <c r="C15" s="1318" t="s">
        <v>1272</v>
      </c>
      <c r="D15" s="195"/>
      <c r="E15" s="268"/>
      <c r="F15" s="268"/>
      <c r="G15" s="268"/>
      <c r="H15" s="268"/>
      <c r="I15" s="1317"/>
      <c r="J15" s="873"/>
      <c r="L15" s="957"/>
      <c r="M15" s="957"/>
      <c r="N15" s="957"/>
    </row>
    <row r="16" spans="1:14" s="956" customFormat="1">
      <c r="A16" s="1319" t="s">
        <v>1265</v>
      </c>
      <c r="B16" s="1320"/>
      <c r="C16" s="1318" t="s">
        <v>1272</v>
      </c>
      <c r="D16" s="195"/>
      <c r="E16" s="268"/>
      <c r="F16" s="268"/>
      <c r="G16" s="268"/>
      <c r="H16" s="268"/>
      <c r="I16" s="1317"/>
      <c r="J16" s="873"/>
      <c r="L16" s="957"/>
      <c r="M16" s="957"/>
      <c r="N16" s="957"/>
    </row>
    <row r="17" spans="1:14" s="956" customFormat="1">
      <c r="A17" s="1319" t="str">
        <f>+A10&amp;".x"</f>
        <v>4.x</v>
      </c>
      <c r="B17" s="1320"/>
      <c r="C17" s="1318" t="s">
        <v>1272</v>
      </c>
      <c r="D17" s="264"/>
      <c r="E17" s="268"/>
      <c r="F17" s="268"/>
      <c r="G17" s="268"/>
      <c r="H17" s="268"/>
      <c r="I17" s="1317"/>
      <c r="J17" s="873"/>
      <c r="L17" s="957"/>
      <c r="M17" s="957"/>
      <c r="N17" s="957"/>
    </row>
    <row r="18" spans="1:14">
      <c r="A18" s="874">
        <f>+A10+1</f>
        <v>5</v>
      </c>
      <c r="C18" s="724" t="str">
        <f>+"Total "&amp;+C10</f>
        <v>Total Adjustments to Transmission Wages Expense (1) (2)</v>
      </c>
      <c r="D18" s="269">
        <f>SUM(D11:D17)</f>
        <v>-558.01</v>
      </c>
      <c r="E18" s="268"/>
      <c r="F18" s="268"/>
      <c r="G18" s="268"/>
      <c r="H18" s="268"/>
      <c r="I18" s="1151" t="str">
        <f>+"Sum Ln "&amp;A10&amp;" Subparts"</f>
        <v>Sum Ln 4 Subparts</v>
      </c>
      <c r="J18" s="873"/>
    </row>
    <row r="19" spans="1:14">
      <c r="A19" s="874">
        <f>+A18+1</f>
        <v>6</v>
      </c>
      <c r="C19" s="45"/>
      <c r="D19" s="1003"/>
      <c r="E19" s="268"/>
      <c r="F19" s="268"/>
      <c r="G19" s="268"/>
      <c r="H19" s="268"/>
      <c r="I19" s="222"/>
      <c r="J19" s="873"/>
    </row>
    <row r="20" spans="1:14">
      <c r="A20" s="874">
        <f>+A19+1</f>
        <v>7</v>
      </c>
      <c r="C20" s="75" t="s">
        <v>1088</v>
      </c>
      <c r="D20" s="269"/>
      <c r="E20" s="268"/>
      <c r="F20" s="268"/>
      <c r="G20" s="268"/>
      <c r="H20" s="268"/>
      <c r="I20" s="222"/>
      <c r="J20" s="873"/>
    </row>
    <row r="21" spans="1:14">
      <c r="A21" s="876">
        <f>+A20+0.1</f>
        <v>7.1</v>
      </c>
      <c r="C21" s="579" t="s">
        <v>1079</v>
      </c>
      <c r="D21" s="269">
        <f>+'WP10 Storm'!D59</f>
        <v>0</v>
      </c>
      <c r="E21" s="268"/>
      <c r="F21" s="268"/>
      <c r="G21" s="268"/>
      <c r="H21" s="268"/>
      <c r="I21" s="222" t="str">
        <f>+"WP10 Storm Ln "&amp;'WP10 Storm'!A59&amp;" Col. "&amp;'WP10 Storm'!$D$6</f>
        <v>WP10 Storm Ln 22 Col. C</v>
      </c>
      <c r="J21" s="873"/>
    </row>
    <row r="22" spans="1:14">
      <c r="A22" s="876">
        <f>+A21+0.1</f>
        <v>7.1999999999999993</v>
      </c>
      <c r="C22" s="579" t="s">
        <v>1080</v>
      </c>
      <c r="D22" s="269">
        <f>'WP AJ1 MISO'!H75</f>
        <v>5.4018698489635284</v>
      </c>
      <c r="E22" s="268"/>
      <c r="F22" s="268"/>
      <c r="G22" s="268"/>
      <c r="H22" s="268"/>
      <c r="I22" s="222" t="str">
        <f>+"WP AJ1 MISO Ln "&amp;'WP AJ1 MISO'!A75&amp;" Col. "&amp;'WP AJ1 MISO'!H$8</f>
        <v>WP AJ1 MISO Ln 22 Col. G</v>
      </c>
      <c r="J22" s="873"/>
    </row>
    <row r="23" spans="1:14">
      <c r="A23" s="876">
        <f>+A22+0.1</f>
        <v>7.2999999999999989</v>
      </c>
      <c r="C23" s="579" t="s">
        <v>1449</v>
      </c>
      <c r="D23" s="269">
        <f>-'WP AJ2 ITC'!E61</f>
        <v>-7223.4700000000012</v>
      </c>
      <c r="E23" s="268"/>
      <c r="F23" s="268"/>
      <c r="G23" s="268"/>
      <c r="H23" s="268"/>
      <c r="I23" s="222" t="str">
        <f>"WP AJ2 ITC Ln "&amp;'WP AJ2 ITC'!A61&amp;" Col. "&amp;'WP AJ2 ITC'!E$6</f>
        <v>WP AJ2 ITC Ln 22 Col. C</v>
      </c>
      <c r="J23" s="873"/>
    </row>
    <row r="24" spans="1:14" s="956" customFormat="1">
      <c r="A24" s="876">
        <f>+A23+0.1</f>
        <v>7.3999999999999986</v>
      </c>
      <c r="B24" s="80"/>
      <c r="C24" s="1312" t="s">
        <v>1450</v>
      </c>
      <c r="D24" s="269">
        <f>-'WP AJ4 LA Merger'!D56</f>
        <v>-41184.020000000004</v>
      </c>
      <c r="E24" s="81"/>
      <c r="F24" s="81"/>
      <c r="G24" s="268"/>
      <c r="H24" s="268"/>
      <c r="I24" s="1435" t="str">
        <f>"WP AJ4 LA Merger Ln "&amp;'WP AJ4 LA Merger'!A56&amp;" Col ."&amp;'WP AJ4 LA Merger'!$D$6</f>
        <v>WP AJ4 LA Merger Ln 22 Col .C</v>
      </c>
      <c r="J24" s="873"/>
      <c r="L24" s="957"/>
      <c r="M24" s="957"/>
      <c r="N24" s="957"/>
    </row>
    <row r="25" spans="1:14" s="956" customFormat="1">
      <c r="A25" s="1319">
        <f>+A24+0.1</f>
        <v>7.4999999999999982</v>
      </c>
      <c r="B25" s="1320"/>
      <c r="C25" s="1318" t="s">
        <v>1272</v>
      </c>
      <c r="D25" s="195"/>
      <c r="E25" s="268"/>
      <c r="F25" s="268"/>
      <c r="G25" s="268"/>
      <c r="H25" s="268"/>
      <c r="I25" s="1317"/>
      <c r="J25" s="873"/>
      <c r="L25" s="957"/>
      <c r="M25" s="957"/>
      <c r="N25" s="957"/>
    </row>
    <row r="26" spans="1:14" s="956" customFormat="1">
      <c r="A26" s="1319" t="s">
        <v>1265</v>
      </c>
      <c r="B26" s="1320"/>
      <c r="C26" s="1318" t="s">
        <v>1272</v>
      </c>
      <c r="D26" s="195"/>
      <c r="E26" s="268"/>
      <c r="F26" s="268"/>
      <c r="G26" s="268"/>
      <c r="H26" s="268"/>
      <c r="I26" s="1317"/>
      <c r="J26" s="873"/>
      <c r="L26" s="957"/>
      <c r="M26" s="957"/>
      <c r="N26" s="957"/>
    </row>
    <row r="27" spans="1:14" s="956" customFormat="1">
      <c r="A27" s="1319" t="str">
        <f>+A20&amp;".x"</f>
        <v>7.x</v>
      </c>
      <c r="B27" s="1320"/>
      <c r="C27" s="1318" t="s">
        <v>1272</v>
      </c>
      <c r="D27" s="264"/>
      <c r="E27" s="268"/>
      <c r="F27" s="268"/>
      <c r="G27" s="268"/>
      <c r="H27" s="268"/>
      <c r="I27" s="1317"/>
      <c r="J27" s="873"/>
      <c r="L27" s="957"/>
      <c r="M27" s="957"/>
      <c r="N27" s="957"/>
    </row>
    <row r="28" spans="1:14">
      <c r="A28" s="874">
        <f>+A20+1</f>
        <v>8</v>
      </c>
      <c r="C28" s="724" t="str">
        <f>+"Total "&amp;+C20</f>
        <v>Total Adjustment to Total Wages Expense (1) (2)</v>
      </c>
      <c r="D28" s="269">
        <f>SUM(D21:D27)</f>
        <v>-48402.088130151038</v>
      </c>
      <c r="E28" s="268"/>
      <c r="F28" s="268"/>
      <c r="G28" s="268"/>
      <c r="H28" s="268"/>
      <c r="I28" s="1204" t="str">
        <f>+"Sum Ln "&amp;A20&amp;" Subparts"</f>
        <v>Sum Ln 7 Subparts</v>
      </c>
      <c r="J28" s="873"/>
    </row>
    <row r="29" spans="1:14">
      <c r="A29" s="874">
        <f>+A28+1</f>
        <v>9</v>
      </c>
      <c r="D29" s="269"/>
      <c r="E29" s="268"/>
      <c r="F29" s="268"/>
      <c r="G29" s="268"/>
      <c r="H29" s="268"/>
      <c r="I29" s="222"/>
      <c r="J29" s="873"/>
    </row>
    <row r="30" spans="1:14">
      <c r="A30" s="874">
        <f>+A29+1</f>
        <v>10</v>
      </c>
      <c r="C30" s="75" t="s">
        <v>1083</v>
      </c>
      <c r="D30" s="269"/>
      <c r="E30" s="268"/>
      <c r="F30" s="268"/>
      <c r="G30" s="268"/>
      <c r="H30" s="268"/>
      <c r="I30" s="222"/>
      <c r="J30" s="873"/>
    </row>
    <row r="31" spans="1:14">
      <c r="A31" s="876">
        <f>+A30+0.1</f>
        <v>10.1</v>
      </c>
      <c r="C31" s="579" t="s">
        <v>1079</v>
      </c>
      <c r="D31" s="269">
        <f>+'WP10 Storm'!D58</f>
        <v>0</v>
      </c>
      <c r="E31" s="268"/>
      <c r="F31" s="268"/>
      <c r="G31" s="268"/>
      <c r="H31" s="268"/>
      <c r="I31" s="222" t="str">
        <f>+"WP10 Storm Ln "&amp;'WP10 Storm'!A58&amp;" Col. "&amp;'WP10 Storm'!$D$6</f>
        <v>WP10 Storm Ln 21 Col. C</v>
      </c>
      <c r="J31" s="873"/>
    </row>
    <row r="32" spans="1:14">
      <c r="A32" s="876">
        <f>+A31+0.1</f>
        <v>10.199999999999999</v>
      </c>
      <c r="C32" s="579" t="s">
        <v>1080</v>
      </c>
      <c r="D32" s="269">
        <f>'WP AJ1 MISO'!H74</f>
        <v>-38.421848960458178</v>
      </c>
      <c r="E32" s="268"/>
      <c r="F32" s="268"/>
      <c r="G32" s="268"/>
      <c r="H32" s="268"/>
      <c r="I32" s="222" t="str">
        <f>+"WP AJ1 MISO Ln "&amp;'WP AJ1 MISO'!A74&amp;" Col. "&amp;'WP AJ1 MISO'!H$8</f>
        <v>WP AJ1 MISO Ln 21 Col. G</v>
      </c>
      <c r="J32" s="873"/>
    </row>
    <row r="33" spans="1:14">
      <c r="A33" s="876">
        <f>+A32+0.1</f>
        <v>10.299999999999999</v>
      </c>
      <c r="C33" s="579" t="s">
        <v>1449</v>
      </c>
      <c r="D33" s="269">
        <f>-'WP AJ2 ITC'!E60</f>
        <v>-6469.630000000001</v>
      </c>
      <c r="E33" s="268"/>
      <c r="F33" s="268"/>
      <c r="G33" s="268"/>
      <c r="H33" s="268"/>
      <c r="I33" s="222" t="str">
        <f>"WP AJ2 ITC Ln "&amp;'WP AJ2 ITC'!A60&amp;" Col. "&amp;'WP AJ2 ITC'!E$6</f>
        <v>WP AJ2 ITC Ln 21 Col. C</v>
      </c>
      <c r="J33" s="873"/>
    </row>
    <row r="34" spans="1:14" s="956" customFormat="1">
      <c r="A34" s="876">
        <f>+A33+0.1</f>
        <v>10.399999999999999</v>
      </c>
      <c r="B34" s="80"/>
      <c r="C34" s="1312" t="s">
        <v>1450</v>
      </c>
      <c r="D34" s="269">
        <f>-'WP AJ4 LA Merger'!D55</f>
        <v>-41024.880000000005</v>
      </c>
      <c r="E34" s="81"/>
      <c r="F34" s="81"/>
      <c r="G34" s="268"/>
      <c r="H34" s="268"/>
      <c r="I34" s="1435" t="str">
        <f>"WP AJ4 LA Merger Ln "&amp;'WP AJ4 LA Merger'!A55&amp;" Col ."&amp;'WP AJ4 LA Merger'!$D$6</f>
        <v>WP AJ4 LA Merger Ln 21 Col .C</v>
      </c>
      <c r="J34" s="873"/>
      <c r="L34" s="957"/>
      <c r="M34" s="957"/>
      <c r="N34" s="957"/>
    </row>
    <row r="35" spans="1:14" s="956" customFormat="1">
      <c r="A35" s="1319">
        <f>+A34+0.1</f>
        <v>10.499999999999998</v>
      </c>
      <c r="B35" s="1320"/>
      <c r="C35" s="1318" t="s">
        <v>1272</v>
      </c>
      <c r="D35" s="195"/>
      <c r="E35" s="268"/>
      <c r="F35" s="268"/>
      <c r="G35" s="268"/>
      <c r="H35" s="268"/>
      <c r="I35" s="1317"/>
      <c r="J35" s="873"/>
      <c r="L35" s="957"/>
      <c r="M35" s="957"/>
      <c r="N35" s="957"/>
    </row>
    <row r="36" spans="1:14" s="956" customFormat="1">
      <c r="A36" s="1319" t="s">
        <v>1265</v>
      </c>
      <c r="B36" s="1320"/>
      <c r="C36" s="1318" t="s">
        <v>1272</v>
      </c>
      <c r="D36" s="195"/>
      <c r="E36" s="268"/>
      <c r="F36" s="268"/>
      <c r="G36" s="268"/>
      <c r="H36" s="268"/>
      <c r="I36" s="1317"/>
      <c r="J36" s="873"/>
      <c r="L36" s="957"/>
      <c r="M36" s="957"/>
      <c r="N36" s="957"/>
    </row>
    <row r="37" spans="1:14" s="956" customFormat="1">
      <c r="A37" s="1319" t="str">
        <f>+A30&amp;".x"</f>
        <v>10.x</v>
      </c>
      <c r="B37" s="1320"/>
      <c r="C37" s="1318" t="s">
        <v>1272</v>
      </c>
      <c r="D37" s="264"/>
      <c r="E37" s="268"/>
      <c r="F37" s="268"/>
      <c r="G37" s="268"/>
      <c r="H37" s="268"/>
      <c r="I37" s="1317"/>
      <c r="J37" s="873"/>
      <c r="L37" s="957"/>
      <c r="M37" s="957"/>
      <c r="N37" s="957"/>
    </row>
    <row r="38" spans="1:14">
      <c r="A38" s="874">
        <f>+A30+1</f>
        <v>11</v>
      </c>
      <c r="C38" s="724" t="str">
        <f>+"Total "&amp;+C30</f>
        <v>Total Adjustment to A&amp;G Wages Expense (1) (2)</v>
      </c>
      <c r="D38" s="269">
        <f>SUM(D31:D37)</f>
        <v>-47532.931848960463</v>
      </c>
      <c r="E38" s="268"/>
      <c r="F38" s="268"/>
      <c r="G38" s="268"/>
      <c r="H38" s="268"/>
      <c r="I38" s="1204" t="str">
        <f>+"Sum Ln "&amp;A30&amp;" Subparts"</f>
        <v>Sum Ln 10 Subparts</v>
      </c>
      <c r="J38" s="873"/>
    </row>
    <row r="39" spans="1:14">
      <c r="A39" s="874">
        <f>+A38+1</f>
        <v>12</v>
      </c>
      <c r="B39" s="270"/>
      <c r="D39" s="256"/>
      <c r="I39" s="222"/>
      <c r="J39" s="873"/>
    </row>
    <row r="40" spans="1:14">
      <c r="A40" s="874">
        <f>+A39+1</f>
        <v>13</v>
      </c>
      <c r="B40" s="634" t="s">
        <v>208</v>
      </c>
      <c r="C40" s="631"/>
      <c r="D40" s="632"/>
      <c r="E40" s="632"/>
      <c r="F40" s="633"/>
      <c r="G40" s="635"/>
      <c r="H40" s="636"/>
      <c r="I40" s="702"/>
      <c r="J40" s="873"/>
      <c r="K40" s="231"/>
      <c r="L40" s="239"/>
      <c r="M40" s="239"/>
    </row>
    <row r="41" spans="1:14">
      <c r="A41" s="874">
        <f>+A40+1</f>
        <v>14</v>
      </c>
      <c r="B41" s="231" t="s">
        <v>167</v>
      </c>
      <c r="C41" s="231" t="s">
        <v>215</v>
      </c>
      <c r="D41" s="231" t="s">
        <v>155</v>
      </c>
      <c r="E41" s="231" t="s">
        <v>168</v>
      </c>
      <c r="F41" s="231" t="s">
        <v>166</v>
      </c>
      <c r="G41" s="231" t="s">
        <v>257</v>
      </c>
      <c r="H41" s="231" t="s">
        <v>169</v>
      </c>
      <c r="I41" s="231" t="s">
        <v>270</v>
      </c>
    </row>
    <row r="42" spans="1:14" ht="13.15" customHeight="1">
      <c r="A42" s="874">
        <f>+A41+1</f>
        <v>15</v>
      </c>
      <c r="B42" s="75" t="s">
        <v>1178</v>
      </c>
      <c r="C42" s="275"/>
      <c r="D42" s="582" t="s">
        <v>814</v>
      </c>
      <c r="E42" s="582" t="s">
        <v>779</v>
      </c>
      <c r="F42" s="582" t="s">
        <v>237</v>
      </c>
      <c r="G42" s="582" t="s">
        <v>260</v>
      </c>
      <c r="H42" s="582" t="s">
        <v>245</v>
      </c>
      <c r="I42" s="703" t="s">
        <v>241</v>
      </c>
    </row>
    <row r="43" spans="1:14">
      <c r="A43" s="874">
        <v>16</v>
      </c>
      <c r="C43" s="85" t="s">
        <v>754</v>
      </c>
      <c r="D43" s="199"/>
      <c r="E43" s="200"/>
      <c r="F43" s="200"/>
      <c r="G43" s="268"/>
      <c r="H43" s="268"/>
    </row>
    <row r="44" spans="1:14">
      <c r="A44" s="876">
        <f>+A43+0.1</f>
        <v>16.100000000000001</v>
      </c>
      <c r="B44" s="270"/>
      <c r="C44" s="579" t="s">
        <v>751</v>
      </c>
      <c r="D44" s="201">
        <f>'WP20 Reserves'!Q8</f>
        <v>1516054.4446153848</v>
      </c>
      <c r="E44" s="280">
        <f t="shared" ref="E44:E48" si="0">+D44</f>
        <v>1516054.4446153848</v>
      </c>
      <c r="F44" s="200"/>
      <c r="G44" s="186"/>
      <c r="H44" s="81"/>
      <c r="I44" s="222" t="str">
        <f>+"WP20 Reserves Ln "&amp;'WP20 Reserves'!A8&amp;" Col. "&amp;'WP20 Reserves'!Q$5</f>
        <v>WP20 Reserves Ln 2.01 Col. P</v>
      </c>
    </row>
    <row r="45" spans="1:14">
      <c r="A45" s="876">
        <f>+A44+0.1</f>
        <v>16.200000000000003</v>
      </c>
      <c r="B45" s="270"/>
      <c r="C45" s="579" t="s">
        <v>917</v>
      </c>
      <c r="D45" s="201">
        <f>'WP20 Reserves'!Q9</f>
        <v>0</v>
      </c>
      <c r="E45" s="280">
        <f t="shared" si="0"/>
        <v>0</v>
      </c>
      <c r="F45" s="200"/>
      <c r="G45" s="186"/>
      <c r="H45" s="81"/>
      <c r="I45" s="222" t="str">
        <f>+"WP20 Reserves Ln "&amp;'WP20 Reserves'!A9&amp;" Col. "&amp;'WP20 Reserves'!Q$5</f>
        <v>WP20 Reserves Ln 2.02 Col. P</v>
      </c>
    </row>
    <row r="46" spans="1:14">
      <c r="A46" s="876">
        <f>+A45+0.1</f>
        <v>16.300000000000004</v>
      </c>
      <c r="B46" s="270"/>
      <c r="C46" s="579" t="s">
        <v>752</v>
      </c>
      <c r="D46" s="201">
        <f>'WP20 Reserves'!Q10</f>
        <v>0</v>
      </c>
      <c r="E46" s="280">
        <f t="shared" si="0"/>
        <v>0</v>
      </c>
      <c r="F46" s="200"/>
      <c r="G46" s="186"/>
      <c r="H46" s="81"/>
      <c r="I46" s="222" t="str">
        <f>+"WP20 Reserves Ln "&amp;'WP20 Reserves'!A10&amp;" Col. "&amp;'WP20 Reserves'!Q$5</f>
        <v>WP20 Reserves Ln 2.03 Col. P</v>
      </c>
    </row>
    <row r="47" spans="1:14">
      <c r="A47" s="876">
        <f t="shared" ref="A47:A49" si="1">+A46+0.1</f>
        <v>16.400000000000006</v>
      </c>
      <c r="B47" s="270"/>
      <c r="C47" s="579" t="s">
        <v>1113</v>
      </c>
      <c r="D47" s="201">
        <f>'WP20 Reserves'!Q11</f>
        <v>0</v>
      </c>
      <c r="E47" s="280">
        <f t="shared" si="0"/>
        <v>0</v>
      </c>
      <c r="F47" s="200"/>
      <c r="G47" s="186"/>
      <c r="H47" s="81"/>
      <c r="I47" s="222" t="str">
        <f>+"WP20 Reserves Ln "&amp;'WP20 Reserves'!A11&amp;" Col. "&amp;'WP20 Reserves'!Q$5</f>
        <v>WP20 Reserves Ln 2.04 Col. P</v>
      </c>
    </row>
    <row r="48" spans="1:14">
      <c r="A48" s="876">
        <f t="shared" si="1"/>
        <v>16.500000000000007</v>
      </c>
      <c r="B48" s="270"/>
      <c r="C48" s="579" t="s">
        <v>776</v>
      </c>
      <c r="D48" s="201">
        <f>'WP20 Reserves'!Q12</f>
        <v>-1516054.4446153848</v>
      </c>
      <c r="E48" s="280">
        <f t="shared" si="0"/>
        <v>-1516054.4446153848</v>
      </c>
      <c r="F48" s="200"/>
      <c r="G48" s="280"/>
      <c r="H48" s="81"/>
      <c r="I48" s="222" t="str">
        <f>+"WP20 Reserves Ln "&amp;'WP20 Reserves'!A12&amp;" Col. "&amp;'WP20 Reserves'!Q$5</f>
        <v>WP20 Reserves Ln 2.05 Col. P</v>
      </c>
    </row>
    <row r="49" spans="1:15">
      <c r="A49" s="876">
        <f t="shared" si="1"/>
        <v>16.600000000000009</v>
      </c>
      <c r="B49" s="270"/>
      <c r="C49" s="579" t="s">
        <v>753</v>
      </c>
      <c r="D49" s="201">
        <f>'WP20 Reserves'!Q13</f>
        <v>-14738850.383846153</v>
      </c>
      <c r="E49" s="186">
        <f>D49</f>
        <v>-14738850.383846153</v>
      </c>
      <c r="F49" s="200"/>
      <c r="G49" s="186"/>
      <c r="H49" s="81"/>
      <c r="I49" s="222" t="str">
        <f>+"WP20 Reserves Ln "&amp;'WP20 Reserves'!A13&amp;" Col. "&amp;'WP20 Reserves'!Q$5</f>
        <v>WP20 Reserves Ln 2.06 Col. P</v>
      </c>
    </row>
    <row r="50" spans="1:15" s="956" customFormat="1">
      <c r="A50" s="1319">
        <f>+A49+0.1</f>
        <v>16.70000000000001</v>
      </c>
      <c r="B50" s="1320"/>
      <c r="C50" s="1318" t="s">
        <v>1272</v>
      </c>
      <c r="D50" s="195"/>
      <c r="E50" s="1316"/>
      <c r="F50" s="1316"/>
      <c r="G50" s="1316"/>
      <c r="H50" s="1316"/>
      <c r="I50" s="1317"/>
      <c r="J50" s="873"/>
      <c r="L50" s="957"/>
      <c r="M50" s="957"/>
      <c r="N50" s="957"/>
    </row>
    <row r="51" spans="1:15" s="956" customFormat="1">
      <c r="A51" s="1319" t="s">
        <v>1265</v>
      </c>
      <c r="B51" s="1320"/>
      <c r="C51" s="1318" t="s">
        <v>1272</v>
      </c>
      <c r="D51" s="195"/>
      <c r="E51" s="1316"/>
      <c r="F51" s="1316"/>
      <c r="G51" s="1316"/>
      <c r="H51" s="1316"/>
      <c r="I51" s="1317"/>
      <c r="J51" s="873"/>
      <c r="L51" s="957"/>
      <c r="M51" s="957"/>
      <c r="N51" s="957"/>
    </row>
    <row r="52" spans="1:15" s="956" customFormat="1">
      <c r="A52" s="1319" t="str">
        <f>+A43&amp;".x"</f>
        <v>16.x</v>
      </c>
      <c r="B52" s="1320"/>
      <c r="C52" s="1318" t="s">
        <v>1272</v>
      </c>
      <c r="D52" s="264"/>
      <c r="E52" s="1321"/>
      <c r="F52" s="1321"/>
      <c r="G52" s="1321"/>
      <c r="H52" s="1321"/>
      <c r="I52" s="1317"/>
      <c r="J52" s="873"/>
      <c r="L52" s="957"/>
      <c r="M52" s="957"/>
      <c r="N52" s="957"/>
    </row>
    <row r="53" spans="1:15" s="877" customFormat="1">
      <c r="A53" s="1039">
        <f>+A43+1</f>
        <v>17</v>
      </c>
      <c r="B53" s="270"/>
      <c r="C53" s="943" t="str">
        <f>+"2281 Total "&amp;C43</f>
        <v>2281 Total Accumulated Provision for Property Insurance</v>
      </c>
      <c r="D53" s="205">
        <f>SUM(D44:D52)</f>
        <v>-14738850.383846153</v>
      </c>
      <c r="E53" s="205">
        <f>SUM(E44:E52)</f>
        <v>-14738850.383846153</v>
      </c>
      <c r="F53" s="205">
        <f>SUM(F44:F52)</f>
        <v>0</v>
      </c>
      <c r="G53" s="205">
        <f>SUM(G44:G52)</f>
        <v>0</v>
      </c>
      <c r="H53" s="205">
        <f>SUM(H44:H52)</f>
        <v>0</v>
      </c>
      <c r="I53" s="998" t="str">
        <f>+"Sum Ln "&amp;A43&amp;" Subparts"</f>
        <v>Sum Ln 16 Subparts</v>
      </c>
      <c r="J53" s="66"/>
      <c r="L53" s="878"/>
      <c r="M53" s="878"/>
      <c r="N53" s="878"/>
    </row>
    <row r="54" spans="1:15">
      <c r="A54" s="874">
        <f>+A53+1</f>
        <v>18</v>
      </c>
      <c r="C54" s="270" t="s">
        <v>775</v>
      </c>
      <c r="D54" s="201"/>
      <c r="E54" s="81"/>
      <c r="F54" s="200"/>
      <c r="G54" s="186"/>
      <c r="H54" s="81"/>
      <c r="N54" s="268"/>
      <c r="O54" s="80"/>
    </row>
    <row r="55" spans="1:15">
      <c r="A55" s="876">
        <f>+A54+0.1</f>
        <v>18.100000000000001</v>
      </c>
      <c r="B55" s="80"/>
      <c r="C55" s="1322" t="s">
        <v>777</v>
      </c>
      <c r="D55" s="1472">
        <f>'WP20 Reserves'!Q14</f>
        <v>-2556033.0200000005</v>
      </c>
      <c r="E55" s="81"/>
      <c r="F55" s="200"/>
      <c r="G55" s="268"/>
      <c r="H55" s="186">
        <f>+D55</f>
        <v>-2556033.0200000005</v>
      </c>
      <c r="I55" s="222" t="str">
        <f>+"WP20 Reserves Ln "&amp;'WP20 Reserves'!A14&amp;" Col. "&amp;'WP20 Reserves'!Q$5</f>
        <v>WP20 Reserves Ln 2.07 Col. P</v>
      </c>
    </row>
    <row r="56" spans="1:15">
      <c r="A56" s="876">
        <f>+A55+0.1</f>
        <v>18.200000000000003</v>
      </c>
      <c r="B56" s="80"/>
      <c r="C56" s="1322" t="s">
        <v>778</v>
      </c>
      <c r="D56" s="204">
        <f>'WP20 Reserves'!Q15</f>
        <v>-3043026.1976923076</v>
      </c>
      <c r="E56" s="81"/>
      <c r="F56" s="200"/>
      <c r="G56" s="268"/>
      <c r="H56" s="186">
        <f>+D56</f>
        <v>-3043026.1976923076</v>
      </c>
      <c r="I56" s="222" t="str">
        <f>+"WP20 Reserves Ln "&amp;'WP20 Reserves'!A15&amp;" Col. "&amp;'WP20 Reserves'!Q$5</f>
        <v>WP20 Reserves Ln 2.08 Col. P</v>
      </c>
      <c r="N56" s="268"/>
      <c r="O56" s="80"/>
    </row>
    <row r="57" spans="1:15" s="956" customFormat="1">
      <c r="A57" s="1319">
        <f>+A56+0.1</f>
        <v>18.300000000000004</v>
      </c>
      <c r="B57" s="1320"/>
      <c r="C57" s="1318" t="s">
        <v>1272</v>
      </c>
      <c r="D57" s="195"/>
      <c r="E57" s="1316"/>
      <c r="F57" s="1316"/>
      <c r="G57" s="1316"/>
      <c r="H57" s="1316"/>
      <c r="I57" s="1317"/>
      <c r="J57" s="873"/>
      <c r="L57" s="957"/>
      <c r="M57" s="957"/>
      <c r="N57" s="957"/>
    </row>
    <row r="58" spans="1:15" s="956" customFormat="1">
      <c r="A58" s="1319" t="s">
        <v>1265</v>
      </c>
      <c r="B58" s="1320"/>
      <c r="C58" s="1318" t="s">
        <v>1272</v>
      </c>
      <c r="D58" s="195"/>
      <c r="E58" s="1316"/>
      <c r="F58" s="1316"/>
      <c r="G58" s="1316"/>
      <c r="H58" s="1316"/>
      <c r="I58" s="1317"/>
      <c r="J58" s="873"/>
      <c r="L58" s="957"/>
      <c r="M58" s="957"/>
      <c r="N58" s="957"/>
    </row>
    <row r="59" spans="1:15" s="956" customFormat="1">
      <c r="A59" s="1319" t="str">
        <f>+A54&amp;".x"</f>
        <v>18.x</v>
      </c>
      <c r="B59" s="1320"/>
      <c r="C59" s="1318" t="s">
        <v>1272</v>
      </c>
      <c r="D59" s="264"/>
      <c r="E59" s="1321"/>
      <c r="F59" s="1321"/>
      <c r="G59" s="1321"/>
      <c r="H59" s="1321"/>
      <c r="I59" s="1317"/>
      <c r="J59" s="873"/>
      <c r="L59" s="957"/>
      <c r="M59" s="957"/>
      <c r="N59" s="957"/>
    </row>
    <row r="60" spans="1:15">
      <c r="A60" s="874">
        <f>+A54+1</f>
        <v>19</v>
      </c>
      <c r="B60" s="80"/>
      <c r="C60" s="944" t="str">
        <f>+"2282 Total "&amp;C54</f>
        <v>2282 Total Accumulated Provision for Injuries and Damages</v>
      </c>
      <c r="D60" s="204">
        <f>SUM(D55:D59)</f>
        <v>-5599059.2176923081</v>
      </c>
      <c r="E60" s="204">
        <f t="shared" ref="E60:H60" si="2">SUM(E55:E59)</f>
        <v>0</v>
      </c>
      <c r="F60" s="204">
        <f t="shared" si="2"/>
        <v>0</v>
      </c>
      <c r="G60" s="204">
        <f t="shared" si="2"/>
        <v>0</v>
      </c>
      <c r="H60" s="204">
        <f t="shared" si="2"/>
        <v>-5599059.2176923081</v>
      </c>
      <c r="I60" s="1304" t="str">
        <f>+"Sum Ln "&amp;A54&amp;" Subparts"</f>
        <v>Sum Ln 18 Subparts</v>
      </c>
    </row>
    <row r="61" spans="1:15">
      <c r="A61" s="874">
        <f>+A60+1</f>
        <v>20</v>
      </c>
      <c r="C61" s="270" t="s">
        <v>755</v>
      </c>
      <c r="D61" s="208"/>
      <c r="E61" s="81"/>
      <c r="F61" s="200"/>
      <c r="G61" s="268"/>
      <c r="H61" s="81"/>
      <c r="I61" s="222"/>
      <c r="N61" s="268"/>
      <c r="O61" s="80"/>
    </row>
    <row r="62" spans="1:15">
      <c r="A62" s="876">
        <f>+A61+0.1</f>
        <v>20.100000000000001</v>
      </c>
      <c r="B62" s="270"/>
      <c r="C62" s="1322" t="s">
        <v>922</v>
      </c>
      <c r="D62" s="201">
        <f>'WP20 Reserves'!Q16</f>
        <v>-1492555.9092307696</v>
      </c>
      <c r="E62" s="81"/>
      <c r="F62" s="200"/>
      <c r="G62" s="268"/>
      <c r="H62" s="186">
        <f>+D62</f>
        <v>-1492555.9092307696</v>
      </c>
      <c r="I62" s="222" t="str">
        <f>+"WP20 Reserves Ln 2.09 Col. "&amp;'WP20 Reserves'!Q$5</f>
        <v>WP20 Reserves Ln 2.09 Col. P</v>
      </c>
    </row>
    <row r="63" spans="1:15">
      <c r="A63" s="876">
        <f>+A62+0.1</f>
        <v>20.200000000000003</v>
      </c>
      <c r="B63" s="270"/>
      <c r="C63" s="1322" t="s">
        <v>921</v>
      </c>
      <c r="D63" s="201">
        <f>'WP20 Reserves'!Q17</f>
        <v>10282697.697692309</v>
      </c>
      <c r="E63" s="186">
        <f>+D63</f>
        <v>10282697.697692309</v>
      </c>
      <c r="F63" s="200"/>
      <c r="G63" s="268"/>
      <c r="H63" s="203"/>
      <c r="I63" s="222" t="str">
        <f>+"WP20 Reserves Ln 2.10 Col. "&amp;'WP20 Reserves'!Q$5</f>
        <v>WP20 Reserves Ln 2.10 Col. P</v>
      </c>
      <c r="N63" s="268"/>
      <c r="O63" s="80"/>
    </row>
    <row r="64" spans="1:15" s="956" customFormat="1">
      <c r="A64" s="1319">
        <f>+A63+0.1</f>
        <v>20.300000000000004</v>
      </c>
      <c r="B64" s="1320"/>
      <c r="C64" s="1318" t="s">
        <v>1272</v>
      </c>
      <c r="D64" s="195"/>
      <c r="E64" s="1316"/>
      <c r="F64" s="1316"/>
      <c r="G64" s="1316"/>
      <c r="H64" s="1316"/>
      <c r="I64" s="1317"/>
      <c r="J64" s="873"/>
      <c r="L64" s="957"/>
      <c r="M64" s="957"/>
      <c r="N64" s="957"/>
    </row>
    <row r="65" spans="1:15" s="956" customFormat="1">
      <c r="A65" s="1319" t="s">
        <v>1265</v>
      </c>
      <c r="B65" s="1320"/>
      <c r="C65" s="1318" t="s">
        <v>1272</v>
      </c>
      <c r="D65" s="195"/>
      <c r="E65" s="1316"/>
      <c r="F65" s="1316"/>
      <c r="G65" s="1316"/>
      <c r="H65" s="1316"/>
      <c r="I65" s="1317"/>
      <c r="J65" s="873"/>
      <c r="L65" s="957"/>
      <c r="M65" s="957"/>
      <c r="N65" s="957"/>
    </row>
    <row r="66" spans="1:15" s="956" customFormat="1">
      <c r="A66" s="1319" t="str">
        <f>+A61&amp;".x"</f>
        <v>20.x</v>
      </c>
      <c r="B66" s="1320"/>
      <c r="C66" s="1318" t="s">
        <v>1272</v>
      </c>
      <c r="D66" s="264"/>
      <c r="E66" s="1321"/>
      <c r="F66" s="1321"/>
      <c r="G66" s="1321"/>
      <c r="H66" s="1321"/>
      <c r="I66" s="1317"/>
      <c r="J66" s="873"/>
      <c r="L66" s="957"/>
      <c r="M66" s="957"/>
      <c r="N66" s="957"/>
    </row>
    <row r="67" spans="1:15">
      <c r="A67" s="874">
        <f>+A61+1</f>
        <v>21</v>
      </c>
      <c r="B67" s="270"/>
      <c r="C67" s="944" t="str">
        <f>+"2283 Total "&amp;C61</f>
        <v>2283 Total Accumulated Provision for Pensions and Benefits</v>
      </c>
      <c r="D67" s="204">
        <f>SUM(D62:D66)</f>
        <v>8790141.7884615399</v>
      </c>
      <c r="E67" s="204">
        <f t="shared" ref="E67:H67" si="3">SUM(E62:E66)</f>
        <v>10282697.697692309</v>
      </c>
      <c r="F67" s="204">
        <f t="shared" si="3"/>
        <v>0</v>
      </c>
      <c r="G67" s="204">
        <f t="shared" si="3"/>
        <v>0</v>
      </c>
      <c r="H67" s="204">
        <f t="shared" si="3"/>
        <v>-1492555.9092307696</v>
      </c>
      <c r="I67" s="1304" t="str">
        <f>+"Sum Ln "&amp;A61&amp;" Subparts"</f>
        <v>Sum Ln 20 Subparts</v>
      </c>
      <c r="N67" s="268"/>
      <c r="O67" s="80"/>
    </row>
    <row r="68" spans="1:15">
      <c r="A68" s="874">
        <f>+A67+1</f>
        <v>22</v>
      </c>
      <c r="C68" s="270" t="s">
        <v>756</v>
      </c>
      <c r="D68" s="205"/>
      <c r="E68" s="81"/>
      <c r="F68" s="200"/>
      <c r="G68" s="268"/>
      <c r="H68" s="81"/>
      <c r="I68" s="222"/>
    </row>
    <row r="69" spans="1:15">
      <c r="A69" s="876">
        <f>+A68+0.1</f>
        <v>22.1</v>
      </c>
      <c r="B69" s="270"/>
      <c r="C69" s="1322" t="s">
        <v>918</v>
      </c>
      <c r="D69" s="1472">
        <f>'WP20 Reserves'!Q18</f>
        <v>-115881.97538461539</v>
      </c>
      <c r="E69" s="186">
        <f>+D69</f>
        <v>-115881.97538461539</v>
      </c>
      <c r="F69" s="200"/>
      <c r="G69" s="268"/>
      <c r="H69" s="81"/>
      <c r="I69" s="222" t="str">
        <f>+"WP20 Reserves Ln "&amp;'WP20 Reserves'!A18&amp;" Col. "&amp;'WP20 Reserves'!Q$5</f>
        <v>WP20 Reserves Ln 2.11 Col. P</v>
      </c>
      <c r="N69" s="268"/>
      <c r="O69" s="80"/>
    </row>
    <row r="70" spans="1:15">
      <c r="A70" s="876">
        <f>+A69+0.1</f>
        <v>22.200000000000003</v>
      </c>
      <c r="B70" s="270"/>
      <c r="C70" s="1322" t="s">
        <v>919</v>
      </c>
      <c r="D70" s="1472">
        <f>'WP20 Reserves'!Q19</f>
        <v>0</v>
      </c>
      <c r="E70" s="186">
        <f>+D70</f>
        <v>0</v>
      </c>
      <c r="F70" s="200"/>
      <c r="G70" s="268"/>
      <c r="H70" s="81"/>
      <c r="I70" s="222" t="str">
        <f>+"WP20 Reserves Ln "&amp;'WP20 Reserves'!A19&amp;" Col. "&amp;'WP20 Reserves'!Q$5</f>
        <v>WP20 Reserves Ln 2.12 Col. P</v>
      </c>
    </row>
    <row r="71" spans="1:15">
      <c r="A71" s="876">
        <f>+A70+0.1</f>
        <v>22.300000000000004</v>
      </c>
      <c r="B71" s="270"/>
      <c r="C71" s="1322" t="s">
        <v>920</v>
      </c>
      <c r="D71" s="1472">
        <f>'WP20 Reserves'!Q20</f>
        <v>0</v>
      </c>
      <c r="E71" s="186">
        <f>+D71</f>
        <v>0</v>
      </c>
      <c r="F71" s="200"/>
      <c r="G71" s="268"/>
      <c r="H71" s="268"/>
      <c r="I71" s="222" t="str">
        <f>+"WP20 Reserves Ln "&amp;'WP20 Reserves'!A20&amp;" Col. "&amp;'WP20 Reserves'!Q$5</f>
        <v>WP20 Reserves Ln 2.13 Col. P</v>
      </c>
      <c r="N71" s="268"/>
      <c r="O71" s="80"/>
    </row>
    <row r="72" spans="1:15">
      <c r="A72" s="876">
        <f>+A71+0.1</f>
        <v>22.400000000000006</v>
      </c>
      <c r="B72" s="270"/>
      <c r="C72" s="1322" t="s">
        <v>924</v>
      </c>
      <c r="D72" s="204">
        <f>'WP20 Reserves'!Q21</f>
        <v>0</v>
      </c>
      <c r="E72" s="186">
        <f>+D72</f>
        <v>0</v>
      </c>
      <c r="F72" s="200"/>
      <c r="G72" s="268"/>
      <c r="H72" s="81"/>
      <c r="I72" s="1303" t="str">
        <f>+"WP20 Reserves Ln "&amp;'WP20 Reserves'!A21&amp;" Col. "&amp;'WP20 Reserves'!Q$5</f>
        <v>WP20 Reserves Ln 2.14 Col. P</v>
      </c>
    </row>
    <row r="73" spans="1:15" s="956" customFormat="1">
      <c r="A73" s="1319">
        <f>+A72+0.1</f>
        <v>22.500000000000007</v>
      </c>
      <c r="B73" s="1320"/>
      <c r="C73" s="1318" t="s">
        <v>1272</v>
      </c>
      <c r="D73" s="195"/>
      <c r="E73" s="1316"/>
      <c r="F73" s="1316"/>
      <c r="G73" s="1316"/>
      <c r="H73" s="1316"/>
      <c r="I73" s="1317"/>
      <c r="J73" s="873"/>
      <c r="L73" s="957"/>
      <c r="M73" s="957"/>
      <c r="N73" s="957"/>
    </row>
    <row r="74" spans="1:15" s="956" customFormat="1">
      <c r="A74" s="1319" t="s">
        <v>1265</v>
      </c>
      <c r="B74" s="1320"/>
      <c r="C74" s="1318" t="s">
        <v>1272</v>
      </c>
      <c r="D74" s="195"/>
      <c r="E74" s="1316"/>
      <c r="F74" s="1316"/>
      <c r="G74" s="1316"/>
      <c r="H74" s="1316"/>
      <c r="I74" s="1317"/>
      <c r="J74" s="873"/>
      <c r="L74" s="957"/>
      <c r="M74" s="957"/>
      <c r="N74" s="957"/>
    </row>
    <row r="75" spans="1:15" s="956" customFormat="1">
      <c r="A75" s="1319" t="str">
        <f>+A68&amp;".x"</f>
        <v>22.x</v>
      </c>
      <c r="B75" s="1320"/>
      <c r="C75" s="1318" t="s">
        <v>1272</v>
      </c>
      <c r="D75" s="264"/>
      <c r="E75" s="1321"/>
      <c r="F75" s="1321"/>
      <c r="G75" s="1321"/>
      <c r="H75" s="1321"/>
      <c r="I75" s="1317"/>
      <c r="J75" s="873"/>
      <c r="L75" s="957"/>
      <c r="M75" s="957"/>
      <c r="N75" s="957"/>
    </row>
    <row r="76" spans="1:15">
      <c r="A76" s="874">
        <f>+A68+1</f>
        <v>23</v>
      </c>
      <c r="B76" s="270"/>
      <c r="C76" s="944" t="str">
        <f>+"2284 Total "&amp;C68</f>
        <v>2284 Total Accumulated Miscellaneous Operating Provisions</v>
      </c>
      <c r="D76" s="206">
        <f>SUM(D69:D75)</f>
        <v>-115881.97538461539</v>
      </c>
      <c r="E76" s="206">
        <f t="shared" ref="E76:H76" si="4">SUM(E69:E75)</f>
        <v>-115881.97538461539</v>
      </c>
      <c r="F76" s="206">
        <f t="shared" si="4"/>
        <v>0</v>
      </c>
      <c r="G76" s="206">
        <f t="shared" si="4"/>
        <v>0</v>
      </c>
      <c r="H76" s="206">
        <f t="shared" si="4"/>
        <v>0</v>
      </c>
      <c r="I76" s="998" t="str">
        <f>+"Sum Ln "&amp;A68&amp;" Subparts"</f>
        <v>Sum Ln 22 Subparts</v>
      </c>
      <c r="N76" s="268"/>
      <c r="O76" s="80"/>
    </row>
    <row r="77" spans="1:15">
      <c r="A77" s="874">
        <f>+A76+1</f>
        <v>24</v>
      </c>
      <c r="B77" s="270"/>
      <c r="I77" s="66"/>
    </row>
    <row r="78" spans="1:15" s="80" customFormat="1">
      <c r="A78" s="874">
        <f>+A77+1</f>
        <v>25</v>
      </c>
      <c r="C78" s="270" t="s">
        <v>1177</v>
      </c>
      <c r="D78" s="205"/>
      <c r="E78" s="81"/>
      <c r="F78" s="200"/>
      <c r="G78" s="268"/>
      <c r="H78" s="81"/>
      <c r="I78" s="222"/>
      <c r="J78" s="66"/>
      <c r="K78" s="66"/>
      <c r="L78" s="81"/>
      <c r="M78" s="81"/>
      <c r="N78" s="268"/>
    </row>
    <row r="79" spans="1:15">
      <c r="A79" s="876">
        <f>+A78+0.1</f>
        <v>25.1</v>
      </c>
      <c r="B79" s="80"/>
      <c r="C79" s="1322" t="s">
        <v>923</v>
      </c>
      <c r="D79" s="269">
        <f>-D48</f>
        <v>1516054.4446153848</v>
      </c>
      <c r="E79" s="186">
        <f>+D79</f>
        <v>1516054.4446153848</v>
      </c>
      <c r="F79" s="200"/>
      <c r="G79" s="186"/>
      <c r="H79" s="268"/>
      <c r="I79" s="701" t="str">
        <f>+"Less Ln "&amp;A48</f>
        <v>Less Ln 16.5</v>
      </c>
      <c r="K79" s="80"/>
      <c r="L79" s="268"/>
      <c r="M79" s="268"/>
    </row>
    <row r="80" spans="1:15" s="956" customFormat="1">
      <c r="A80" s="1319">
        <f>+A79+0.1</f>
        <v>25.200000000000003</v>
      </c>
      <c r="B80" s="1320"/>
      <c r="C80" s="1318" t="s">
        <v>1272</v>
      </c>
      <c r="D80" s="195"/>
      <c r="E80" s="1316"/>
      <c r="F80" s="1316"/>
      <c r="G80" s="1316"/>
      <c r="H80" s="1316"/>
      <c r="I80" s="1317"/>
      <c r="J80" s="873"/>
      <c r="L80" s="957"/>
      <c r="M80" s="957"/>
      <c r="N80" s="957"/>
    </row>
    <row r="81" spans="1:19" s="956" customFormat="1">
      <c r="A81" s="1319" t="s">
        <v>1265</v>
      </c>
      <c r="B81" s="1320"/>
      <c r="C81" s="1318" t="s">
        <v>1272</v>
      </c>
      <c r="D81" s="195"/>
      <c r="E81" s="1316"/>
      <c r="F81" s="1316"/>
      <c r="G81" s="1316"/>
      <c r="H81" s="1316"/>
      <c r="I81" s="1317"/>
      <c r="J81" s="873"/>
      <c r="L81" s="957"/>
      <c r="M81" s="957"/>
      <c r="N81" s="957"/>
    </row>
    <row r="82" spans="1:19" s="956" customFormat="1">
      <c r="A82" s="1319" t="str">
        <f>+A78&amp;".x"</f>
        <v>25.x</v>
      </c>
      <c r="B82" s="1320"/>
      <c r="C82" s="1318" t="s">
        <v>1272</v>
      </c>
      <c r="D82" s="264"/>
      <c r="E82" s="1321"/>
      <c r="F82" s="1321"/>
      <c r="G82" s="1321"/>
      <c r="H82" s="1321"/>
      <c r="I82" s="1317"/>
      <c r="J82" s="873"/>
      <c r="L82" s="957"/>
      <c r="M82" s="957"/>
      <c r="N82" s="957"/>
    </row>
    <row r="83" spans="1:19">
      <c r="A83" s="874">
        <f>+A78+1</f>
        <v>26</v>
      </c>
      <c r="B83" s="270"/>
      <c r="C83" s="944" t="str">
        <f>+"Total "&amp;C78</f>
        <v>Total Associated Balance Sheet Accounts &amp; Regulatory Assets (5)</v>
      </c>
      <c r="D83" s="580">
        <f>SUM(D79:D82)</f>
        <v>1516054.4446153848</v>
      </c>
      <c r="E83" s="580">
        <f t="shared" ref="E83:H83" si="5">SUM(E79:E82)</f>
        <v>1516054.4446153848</v>
      </c>
      <c r="F83" s="580">
        <f t="shared" si="5"/>
        <v>0</v>
      </c>
      <c r="G83" s="580">
        <f t="shared" si="5"/>
        <v>0</v>
      </c>
      <c r="H83" s="580">
        <f t="shared" si="5"/>
        <v>0</v>
      </c>
      <c r="I83" s="1040" t="str">
        <f>+"Sum Ln "&amp;A78&amp;" Subparts"</f>
        <v>Sum Ln 25 Subparts</v>
      </c>
    </row>
    <row r="84" spans="1:19" s="84" customFormat="1">
      <c r="A84" s="874">
        <f>+A83+1</f>
        <v>27</v>
      </c>
      <c r="B84" s="270" t="s">
        <v>1000</v>
      </c>
      <c r="C84" s="42"/>
      <c r="D84" s="572">
        <f>+D53+D60+D67+D76+D83</f>
        <v>-10147595.343846152</v>
      </c>
      <c r="E84" s="572">
        <f>+E53+E60+E67+E76+E83</f>
        <v>-3055980.2169230748</v>
      </c>
      <c r="F84" s="572">
        <f>+F53+F60+F67+F76+F83</f>
        <v>0</v>
      </c>
      <c r="G84" s="572">
        <f>+G53+G60+G67+G76+G83</f>
        <v>0</v>
      </c>
      <c r="H84" s="572">
        <f>+H53+H60+H67+H76+H83</f>
        <v>-7091615.1269230777</v>
      </c>
      <c r="I84" s="998" t="str">
        <f>+"Sum (Ln "&amp;A53&amp;" + "&amp;A60&amp;" + "&amp;A67&amp;" + "&amp;A76&amp;" + "&amp;A83&amp;")"</f>
        <v>Sum (Ln 17 + 19 + 21 + 23 + 26)</v>
      </c>
      <c r="J84" s="66"/>
      <c r="K84" s="66"/>
      <c r="L84" s="81"/>
      <c r="M84" s="81"/>
      <c r="N84" s="574"/>
    </row>
    <row r="85" spans="1:19" s="84" customFormat="1">
      <c r="A85" s="874">
        <f>+A84+1</f>
        <v>28</v>
      </c>
      <c r="B85" s="270"/>
      <c r="C85" s="42"/>
      <c r="D85" s="572"/>
      <c r="E85" s="573"/>
      <c r="F85" s="573"/>
      <c r="G85" s="573"/>
      <c r="H85" s="573"/>
      <c r="I85" s="704"/>
      <c r="L85" s="574"/>
      <c r="M85" s="574"/>
      <c r="N85" s="574"/>
    </row>
    <row r="86" spans="1:19">
      <c r="A86" s="874">
        <f>+A85+1</f>
        <v>29</v>
      </c>
      <c r="B86" s="634" t="s">
        <v>227</v>
      </c>
      <c r="C86" s="631"/>
      <c r="D86" s="632"/>
      <c r="E86" s="632"/>
      <c r="F86" s="633"/>
      <c r="G86" s="635"/>
      <c r="H86" s="636"/>
      <c r="I86" s="702"/>
      <c r="J86" s="84"/>
      <c r="K86" s="84"/>
      <c r="L86" s="574"/>
      <c r="M86" s="574"/>
    </row>
    <row r="87" spans="1:19">
      <c r="A87" s="874">
        <f>+A86+1</f>
        <v>30</v>
      </c>
      <c r="B87" s="231" t="s">
        <v>167</v>
      </c>
      <c r="C87" s="231" t="s">
        <v>215</v>
      </c>
      <c r="D87" s="231" t="s">
        <v>155</v>
      </c>
      <c r="E87" s="231" t="s">
        <v>168</v>
      </c>
      <c r="F87" s="231" t="s">
        <v>166</v>
      </c>
      <c r="G87" s="231" t="s">
        <v>257</v>
      </c>
      <c r="H87" s="231" t="s">
        <v>169</v>
      </c>
      <c r="I87" s="231" t="s">
        <v>270</v>
      </c>
      <c r="J87" s="189"/>
      <c r="K87" s="189"/>
      <c r="L87" s="189"/>
      <c r="O87" s="575"/>
      <c r="P87" s="268"/>
      <c r="R87" s="575"/>
      <c r="S87" s="268"/>
    </row>
    <row r="88" spans="1:19" s="80" customFormat="1">
      <c r="A88" s="874">
        <f>+A87+1</f>
        <v>31</v>
      </c>
      <c r="C88" s="225" t="s">
        <v>1084</v>
      </c>
      <c r="D88" s="703" t="s">
        <v>1249</v>
      </c>
      <c r="H88" s="81"/>
      <c r="I88" s="189"/>
      <c r="J88" s="189"/>
      <c r="K88" s="189"/>
      <c r="L88" s="189"/>
      <c r="M88" s="45"/>
      <c r="N88" s="268"/>
      <c r="O88" s="268"/>
      <c r="P88" s="268"/>
    </row>
    <row r="89" spans="1:19" s="80" customFormat="1">
      <c r="A89" s="876">
        <f>+A88+0.1</f>
        <v>31.1</v>
      </c>
      <c r="C89" s="579" t="s">
        <v>1443</v>
      </c>
      <c r="D89" s="269">
        <f>+'WP10 Storm'!E45</f>
        <v>1281</v>
      </c>
      <c r="H89" s="268"/>
      <c r="I89" s="222" t="str">
        <f>+"WP10 Storm Ln "&amp;'WP10 Storm'!A45&amp;" Column "&amp;'WP10 Storm'!E6</f>
        <v xml:space="preserve">WP10 Storm Ln 8 Column D </v>
      </c>
      <c r="J89" s="189"/>
      <c r="K89" s="189"/>
      <c r="L89" s="189"/>
      <c r="M89" s="45"/>
      <c r="N89" s="268"/>
      <c r="O89" s="268"/>
      <c r="P89" s="268"/>
    </row>
    <row r="90" spans="1:19">
      <c r="A90" s="876">
        <f>+A89+0.1</f>
        <v>31.200000000000003</v>
      </c>
      <c r="B90" s="81"/>
      <c r="C90" s="579" t="s">
        <v>1080</v>
      </c>
      <c r="D90" s="269">
        <f>+'WP AJ1 MISO'!K61</f>
        <v>-9219.49</v>
      </c>
      <c r="F90" s="80"/>
      <c r="G90" s="80"/>
      <c r="H90" s="550"/>
      <c r="I90" s="222" t="str">
        <f>+"WP AJ1 MISO Ln "&amp;'WP AJ1 MISO'!A61&amp;" Column "&amp;'WP AJ1 MISO'!K8</f>
        <v>WP AJ1 MISO Ln 8 Column J</v>
      </c>
      <c r="J90" s="189"/>
      <c r="K90" s="189"/>
      <c r="L90" s="189"/>
      <c r="M90" s="45"/>
      <c r="O90" s="81"/>
      <c r="P90" s="81"/>
    </row>
    <row r="91" spans="1:19">
      <c r="A91" s="876">
        <f t="shared" ref="A91:A93" si="6">+A90+0.1</f>
        <v>31.300000000000004</v>
      </c>
      <c r="B91" s="81"/>
      <c r="C91" s="579" t="s">
        <v>1449</v>
      </c>
      <c r="D91" s="269">
        <f>-'WP AJ2 ITC'!F47</f>
        <v>-1772.72</v>
      </c>
      <c r="F91" s="80"/>
      <c r="G91" s="80"/>
      <c r="H91" s="550"/>
      <c r="I91" s="222" t="str">
        <f>"WP AJ2 ITC Ln "&amp;'WP AJ2 ITC'!A47&amp;" Column "&amp;'WP AJ2 ITC'!F6</f>
        <v>WP AJ2 ITC Ln 8 Column D</v>
      </c>
      <c r="J91" s="189"/>
      <c r="K91" s="189"/>
      <c r="L91" s="189"/>
      <c r="M91" s="45"/>
      <c r="O91" s="81"/>
      <c r="P91" s="81"/>
    </row>
    <row r="92" spans="1:19" s="956" customFormat="1">
      <c r="A92" s="876">
        <f t="shared" si="6"/>
        <v>31.400000000000006</v>
      </c>
      <c r="B92" s="957"/>
      <c r="C92" s="1312" t="s">
        <v>1450</v>
      </c>
      <c r="D92" s="269">
        <f>-'WP AJ4 LA Merger'!E42</f>
        <v>-20.5</v>
      </c>
      <c r="F92" s="80"/>
      <c r="G92" s="80"/>
      <c r="H92" s="958"/>
      <c r="I92" s="222" t="str">
        <f>+"WP AJ4 LA Merger Ln "&amp;'WP AJ4 LA Merger'!A42&amp;" Column "&amp;'WP AJ4 LA Merger'!E6</f>
        <v>WP AJ4 LA Merger Ln 8 Column D</v>
      </c>
      <c r="J92" s="189"/>
      <c r="L92" s="957"/>
      <c r="M92" s="959"/>
      <c r="N92" s="957"/>
      <c r="O92" s="957"/>
      <c r="P92" s="957"/>
    </row>
    <row r="93" spans="1:19" s="956" customFormat="1">
      <c r="A93" s="876">
        <f t="shared" si="6"/>
        <v>31.500000000000007</v>
      </c>
      <c r="B93" s="1320"/>
      <c r="C93" s="1318" t="s">
        <v>1272</v>
      </c>
      <c r="D93" s="195"/>
      <c r="E93" s="268"/>
      <c r="F93" s="268"/>
      <c r="G93" s="268"/>
      <c r="H93" s="268"/>
      <c r="I93" s="1317"/>
      <c r="J93" s="873"/>
      <c r="L93" s="957"/>
      <c r="M93" s="957"/>
      <c r="N93" s="957"/>
    </row>
    <row r="94" spans="1:19" s="956" customFormat="1">
      <c r="A94" s="1319" t="s">
        <v>1265</v>
      </c>
      <c r="B94" s="1320"/>
      <c r="C94" s="1318" t="s">
        <v>1272</v>
      </c>
      <c r="D94" s="195"/>
      <c r="E94" s="268"/>
      <c r="F94" s="268"/>
      <c r="G94" s="268"/>
      <c r="H94" s="268"/>
      <c r="I94" s="1317"/>
      <c r="J94" s="873"/>
      <c r="L94" s="957"/>
      <c r="M94" s="957"/>
      <c r="N94" s="957"/>
    </row>
    <row r="95" spans="1:19" s="956" customFormat="1">
      <c r="A95" s="1319" t="str">
        <f>+A88&amp;".x"</f>
        <v>31.x</v>
      </c>
      <c r="B95" s="1320"/>
      <c r="C95" s="1318" t="s">
        <v>1272</v>
      </c>
      <c r="D95" s="264"/>
      <c r="E95" s="268"/>
      <c r="F95" s="268"/>
      <c r="G95" s="268"/>
      <c r="H95" s="268"/>
      <c r="I95" s="1317"/>
      <c r="J95" s="873"/>
      <c r="L95" s="957"/>
      <c r="M95" s="957"/>
      <c r="N95" s="957"/>
    </row>
    <row r="96" spans="1:19">
      <c r="A96" s="874">
        <f>+A88+1</f>
        <v>32</v>
      </c>
      <c r="B96" s="81"/>
      <c r="C96" s="945" t="s">
        <v>781</v>
      </c>
      <c r="D96" s="167">
        <f>SUM(D89:D95)</f>
        <v>-9731.7099999999991</v>
      </c>
      <c r="E96" s="268"/>
      <c r="F96" s="268"/>
      <c r="G96" s="268"/>
      <c r="H96" s="550"/>
      <c r="I96" s="861" t="str">
        <f>+"Sum Ln "&amp;A88&amp;" Subparts"</f>
        <v>Sum Ln 31 Subparts</v>
      </c>
      <c r="J96" s="189"/>
      <c r="K96" s="189"/>
      <c r="L96" s="189"/>
      <c r="M96" s="45"/>
      <c r="O96" s="81"/>
      <c r="P96" s="81"/>
    </row>
    <row r="97" spans="1:19">
      <c r="A97" s="874">
        <f>+A96+1</f>
        <v>33</v>
      </c>
      <c r="C97" s="80"/>
      <c r="D97" s="80"/>
      <c r="E97" s="268"/>
      <c r="F97" s="268"/>
      <c r="G97" s="268"/>
      <c r="H97" s="268"/>
      <c r="J97" s="189"/>
      <c r="K97" s="189"/>
      <c r="L97" s="189"/>
    </row>
    <row r="98" spans="1:19" s="80" customFormat="1">
      <c r="A98" s="874">
        <f>+A97+1</f>
        <v>34</v>
      </c>
      <c r="C98" s="225" t="s">
        <v>1085</v>
      </c>
      <c r="D98" s="224"/>
      <c r="E98" s="268"/>
      <c r="F98" s="268"/>
      <c r="G98" s="268"/>
      <c r="H98" s="268"/>
      <c r="I98" s="222"/>
      <c r="J98" s="189"/>
      <c r="K98" s="189"/>
      <c r="L98" s="189"/>
      <c r="M98" s="45"/>
      <c r="N98" s="268"/>
      <c r="O98" s="268"/>
      <c r="P98" s="268"/>
    </row>
    <row r="99" spans="1:19" s="80" customFormat="1">
      <c r="A99" s="876">
        <f>+A98+0.1</f>
        <v>34.1</v>
      </c>
      <c r="C99" s="579" t="s">
        <v>1444</v>
      </c>
      <c r="D99" s="269">
        <f>+'WP10 Storm'!E58</f>
        <v>0</v>
      </c>
      <c r="E99" s="268"/>
      <c r="F99" s="268"/>
      <c r="G99" s="268"/>
      <c r="H99" s="268"/>
      <c r="I99" s="222" t="str">
        <f>+"WP10 Storm Ln "&amp;'WP10 Storm'!A58&amp;" Column "&amp;'WP10 Storm'!E6</f>
        <v xml:space="preserve">WP10 Storm Ln 21 Column D </v>
      </c>
      <c r="J99" s="189"/>
      <c r="K99" s="189"/>
      <c r="L99" s="189"/>
      <c r="M99" s="45"/>
      <c r="N99" s="268"/>
      <c r="O99" s="268"/>
      <c r="P99" s="268"/>
    </row>
    <row r="100" spans="1:19">
      <c r="A100" s="876">
        <f>+A99+0.1</f>
        <v>34.200000000000003</v>
      </c>
      <c r="B100" s="81"/>
      <c r="C100" s="579" t="s">
        <v>1080</v>
      </c>
      <c r="D100" s="269">
        <f>+'WP AJ1 MISO'!K74</f>
        <v>-11528.710000000001</v>
      </c>
      <c r="E100" s="550"/>
      <c r="F100" s="550"/>
      <c r="G100" s="550"/>
      <c r="H100" s="550"/>
      <c r="I100" s="222" t="str">
        <f>+"WP AJ1 MISO Ln "&amp;'WP AJ1 MISO'!A74&amp;" Column "&amp;'WP AJ1 MISO'!K8</f>
        <v>WP AJ1 MISO Ln 21 Column J</v>
      </c>
      <c r="J100" s="189"/>
      <c r="K100" s="189"/>
      <c r="L100" s="189"/>
      <c r="M100" s="45"/>
      <c r="O100" s="81"/>
      <c r="P100" s="81"/>
    </row>
    <row r="101" spans="1:19">
      <c r="A101" s="876">
        <f>+A100+0.1</f>
        <v>34.300000000000004</v>
      </c>
      <c r="B101" s="81"/>
      <c r="C101" s="579" t="s">
        <v>1449</v>
      </c>
      <c r="D101" s="269">
        <f>-'WP AJ2 ITC'!F60</f>
        <v>-19355.200000000004</v>
      </c>
      <c r="E101" s="550"/>
      <c r="F101" s="550"/>
      <c r="G101" s="550"/>
      <c r="H101" s="550"/>
      <c r="I101" s="1435" t="str">
        <f>"WP AJ2 ITC Ln "&amp;'WP AJ2 ITC'!A60&amp;" Column "&amp;'WP AJ2 ITC'!F6</f>
        <v>WP AJ2 ITC Ln 21 Column D</v>
      </c>
      <c r="J101" s="189"/>
      <c r="K101" s="189"/>
      <c r="L101" s="189"/>
      <c r="M101" s="45"/>
      <c r="O101" s="81"/>
      <c r="P101" s="81"/>
    </row>
    <row r="102" spans="1:19" s="956" customFormat="1">
      <c r="A102" s="876">
        <f>+A101+0.1</f>
        <v>34.400000000000006</v>
      </c>
      <c r="B102" s="957"/>
      <c r="C102" s="1312" t="s">
        <v>1450</v>
      </c>
      <c r="D102" s="269">
        <f>-'WP AJ4 LA Merger'!E55</f>
        <v>-52582.8</v>
      </c>
      <c r="E102" s="958"/>
      <c r="F102" s="958"/>
      <c r="G102" s="958"/>
      <c r="H102" s="958"/>
      <c r="I102" s="1435" t="str">
        <f>"WP AJ4 LA Merger Ln "&amp;'WP AJ4 LA Merger'!A55&amp;" Column "&amp;'WP AJ4 LA Merger'!E6</f>
        <v>WP AJ4 LA Merger Ln 21 Column D</v>
      </c>
      <c r="J102" s="189"/>
      <c r="L102" s="957"/>
      <c r="M102" s="959"/>
      <c r="N102" s="957"/>
      <c r="O102" s="957"/>
      <c r="P102" s="957"/>
    </row>
    <row r="103" spans="1:19" s="956" customFormat="1">
      <c r="A103" s="1319">
        <f>+A102+0.1</f>
        <v>34.500000000000007</v>
      </c>
      <c r="B103" s="1320"/>
      <c r="C103" s="1318" t="s">
        <v>1272</v>
      </c>
      <c r="D103" s="195"/>
      <c r="E103" s="268"/>
      <c r="F103" s="268"/>
      <c r="G103" s="268"/>
      <c r="H103" s="268"/>
      <c r="I103" s="1317"/>
      <c r="J103" s="873"/>
      <c r="L103" s="957"/>
      <c r="M103" s="957"/>
      <c r="N103" s="957"/>
    </row>
    <row r="104" spans="1:19" s="956" customFormat="1">
      <c r="A104" s="1319" t="s">
        <v>1265</v>
      </c>
      <c r="B104" s="1320"/>
      <c r="C104" s="1318" t="s">
        <v>1272</v>
      </c>
      <c r="D104" s="195"/>
      <c r="E104" s="268"/>
      <c r="F104" s="268"/>
      <c r="G104" s="268"/>
      <c r="H104" s="268"/>
      <c r="I104" s="1317"/>
      <c r="J104" s="873"/>
      <c r="L104" s="957"/>
      <c r="M104" s="957"/>
      <c r="N104" s="957"/>
    </row>
    <row r="105" spans="1:19" s="956" customFormat="1">
      <c r="A105" s="1319" t="str">
        <f>+A98&amp;".x"</f>
        <v>34.x</v>
      </c>
      <c r="B105" s="1320"/>
      <c r="C105" s="1490" t="s">
        <v>1272</v>
      </c>
      <c r="D105" s="264"/>
      <c r="E105" s="268"/>
      <c r="F105" s="268"/>
      <c r="G105" s="268"/>
      <c r="H105" s="268"/>
      <c r="I105" s="1317"/>
      <c r="J105" s="873"/>
      <c r="L105" s="957"/>
      <c r="M105" s="957"/>
      <c r="N105" s="957"/>
    </row>
    <row r="106" spans="1:19">
      <c r="A106" s="874">
        <f>+A98+1</f>
        <v>35</v>
      </c>
      <c r="B106" s="81"/>
      <c r="C106" s="945" t="s">
        <v>782</v>
      </c>
      <c r="D106" s="167">
        <f>SUM(D99:D105)</f>
        <v>-83466.710000000006</v>
      </c>
      <c r="E106" s="550"/>
      <c r="F106" s="550"/>
      <c r="G106" s="550"/>
      <c r="H106" s="550"/>
      <c r="I106" s="989" t="str">
        <f>+"Sum Ln "&amp;A98&amp;" Subparts"</f>
        <v>Sum Ln 34 Subparts</v>
      </c>
      <c r="J106" s="189"/>
      <c r="K106" s="189"/>
      <c r="L106" s="189"/>
      <c r="M106" s="45"/>
      <c r="O106" s="81"/>
      <c r="P106" s="81"/>
    </row>
    <row r="107" spans="1:19">
      <c r="A107" s="874">
        <f>+A106+1</f>
        <v>36</v>
      </c>
      <c r="B107" s="81"/>
      <c r="C107" s="626"/>
      <c r="D107" s="256"/>
      <c r="E107" s="269"/>
      <c r="F107" s="186"/>
      <c r="G107" s="269"/>
      <c r="H107" s="269"/>
      <c r="I107" s="273"/>
      <c r="J107" s="80"/>
      <c r="K107" s="189"/>
      <c r="L107" s="189"/>
      <c r="M107" s="268"/>
    </row>
    <row r="108" spans="1:19">
      <c r="A108" s="874">
        <f>+A107+1</f>
        <v>37</v>
      </c>
      <c r="C108" s="165" t="s">
        <v>1081</v>
      </c>
      <c r="D108" s="196"/>
      <c r="E108" s="196"/>
      <c r="F108" s="196"/>
      <c r="G108" s="196"/>
      <c r="H108" s="189"/>
      <c r="I108" s="705"/>
      <c r="J108" s="80"/>
      <c r="K108" s="189"/>
      <c r="L108" s="189"/>
      <c r="N108" s="196"/>
      <c r="O108" s="196"/>
      <c r="P108" s="196"/>
      <c r="R108" s="196"/>
      <c r="S108" s="196"/>
    </row>
    <row r="109" spans="1:19" ht="15.75">
      <c r="A109" s="876">
        <f>+A108+0.1</f>
        <v>37.1</v>
      </c>
      <c r="B109" s="81"/>
      <c r="C109" s="1473" t="s">
        <v>1402</v>
      </c>
      <c r="D109" s="195">
        <v>52016</v>
      </c>
      <c r="E109" s="81"/>
      <c r="G109" s="81"/>
      <c r="H109" s="81"/>
      <c r="I109" s="1317" t="s">
        <v>1403</v>
      </c>
      <c r="J109" s="80"/>
      <c r="K109" s="1555" t="s">
        <v>1458</v>
      </c>
      <c r="L109" s="189"/>
      <c r="M109" s="196"/>
      <c r="N109" s="268"/>
      <c r="O109" s="575"/>
      <c r="P109" s="268"/>
      <c r="R109" s="575"/>
      <c r="S109" s="268"/>
    </row>
    <row r="110" spans="1:19" s="956" customFormat="1" ht="15">
      <c r="A110" s="1319">
        <f>+A109+0.1</f>
        <v>37.200000000000003</v>
      </c>
      <c r="B110" s="1320"/>
      <c r="C110" s="1318" t="s">
        <v>1272</v>
      </c>
      <c r="D110" s="195"/>
      <c r="E110" s="268"/>
      <c r="F110" s="268"/>
      <c r="G110" s="268"/>
      <c r="H110" s="268"/>
      <c r="I110" s="1317"/>
      <c r="J110" s="873"/>
      <c r="K110" s="1556" t="s">
        <v>956</v>
      </c>
      <c r="L110" s="189"/>
      <c r="M110" s="957"/>
      <c r="N110" s="957"/>
    </row>
    <row r="111" spans="1:19" s="956" customFormat="1">
      <c r="A111" s="1319" t="s">
        <v>1265</v>
      </c>
      <c r="B111" s="1320"/>
      <c r="C111" s="1318" t="s">
        <v>1272</v>
      </c>
      <c r="D111" s="195"/>
      <c r="E111" s="268"/>
      <c r="F111" s="268"/>
      <c r="G111" s="268"/>
      <c r="H111" s="268"/>
      <c r="I111" s="1317"/>
      <c r="J111" s="873"/>
      <c r="K111" s="189"/>
      <c r="L111" s="189"/>
      <c r="M111" s="957"/>
      <c r="N111" s="957"/>
    </row>
    <row r="112" spans="1:19" s="956" customFormat="1">
      <c r="A112" s="1319" t="str">
        <f>+A108&amp;".x"</f>
        <v>37.x</v>
      </c>
      <c r="B112" s="1320"/>
      <c r="C112" s="1318" t="s">
        <v>1272</v>
      </c>
      <c r="D112" s="264"/>
      <c r="E112" s="268"/>
      <c r="F112" s="268"/>
      <c r="G112" s="268"/>
      <c r="H112" s="268"/>
      <c r="I112" s="1317"/>
      <c r="J112" s="873"/>
      <c r="K112" s="1665" t="s">
        <v>1460</v>
      </c>
      <c r="L112" s="1665"/>
      <c r="M112" s="957"/>
      <c r="N112" s="957"/>
    </row>
    <row r="113" spans="1:16" ht="13.15" customHeight="1">
      <c r="A113" s="874">
        <f>+A108+1</f>
        <v>38</v>
      </c>
      <c r="B113" s="81"/>
      <c r="C113" s="946" t="str">
        <f>+"Total "&amp;C108</f>
        <v>Total 9302 Miscellaneous General Expenses Adjustments (3)</v>
      </c>
      <c r="D113" s="203">
        <f>SUM(D109:D112)</f>
        <v>52016</v>
      </c>
      <c r="E113" s="268"/>
      <c r="F113" s="268"/>
      <c r="G113" s="268"/>
      <c r="H113" s="268"/>
      <c r="I113" s="989" t="str">
        <f>+"Sum Ln "&amp;A108&amp;" Subparts"</f>
        <v>Sum Ln 37 Subparts</v>
      </c>
      <c r="J113" s="80"/>
      <c r="K113" s="1665"/>
      <c r="L113" s="1665"/>
    </row>
    <row r="114" spans="1:16">
      <c r="A114" s="874">
        <f>+A113+1</f>
        <v>39</v>
      </c>
      <c r="B114" s="81"/>
      <c r="C114" s="81"/>
      <c r="D114" s="81"/>
      <c r="E114" s="81"/>
      <c r="F114" s="81"/>
      <c r="G114" s="81"/>
      <c r="H114" s="81"/>
      <c r="I114" s="223"/>
      <c r="J114" s="80"/>
      <c r="K114" s="1665"/>
      <c r="L114" s="1665"/>
      <c r="O114" s="81"/>
      <c r="P114" s="81"/>
    </row>
    <row r="115" spans="1:16">
      <c r="A115" s="874">
        <f>+A114+1</f>
        <v>40</v>
      </c>
      <c r="B115" s="270" t="s">
        <v>174</v>
      </c>
      <c r="C115" s="80"/>
      <c r="H115" s="531"/>
      <c r="I115" s="166"/>
      <c r="J115" s="80"/>
      <c r="K115" s="1665"/>
      <c r="L115" s="1665"/>
    </row>
    <row r="116" spans="1:16">
      <c r="A116" s="874">
        <f>+A115+1</f>
        <v>41</v>
      </c>
      <c r="B116" s="270"/>
      <c r="C116" s="725" t="s">
        <v>804</v>
      </c>
      <c r="H116" s="531"/>
      <c r="I116" s="166"/>
      <c r="J116" s="80"/>
      <c r="K116" s="1665"/>
      <c r="L116" s="1665"/>
    </row>
    <row r="117" spans="1:16">
      <c r="A117" s="876">
        <f>+A116+0.1</f>
        <v>41.1</v>
      </c>
      <c r="B117" s="270"/>
      <c r="C117" s="625" t="s">
        <v>1089</v>
      </c>
      <c r="D117" s="195">
        <v>102916</v>
      </c>
      <c r="H117" s="531"/>
      <c r="I117" s="1317" t="s">
        <v>1116</v>
      </c>
      <c r="J117" s="80"/>
      <c r="K117" s="1665"/>
      <c r="L117" s="1665"/>
    </row>
    <row r="118" spans="1:16">
      <c r="A118" s="876">
        <f>+A117+0.1</f>
        <v>41.2</v>
      </c>
      <c r="B118" s="270"/>
      <c r="C118" s="637" t="s">
        <v>783</v>
      </c>
      <c r="D118" s="195">
        <v>0</v>
      </c>
      <c r="H118" s="531"/>
      <c r="I118" s="1317" t="s">
        <v>871</v>
      </c>
      <c r="J118" s="80"/>
      <c r="K118" s="1665"/>
      <c r="L118" s="1665"/>
    </row>
    <row r="119" spans="1:16" s="956" customFormat="1">
      <c r="A119" s="1319">
        <f>+A118+0.1</f>
        <v>41.300000000000004</v>
      </c>
      <c r="B119" s="1320"/>
      <c r="C119" s="1318" t="s">
        <v>1272</v>
      </c>
      <c r="D119" s="195"/>
      <c r="E119" s="268"/>
      <c r="F119" s="268"/>
      <c r="G119" s="268"/>
      <c r="H119" s="268"/>
      <c r="I119" s="1317"/>
      <c r="J119" s="873"/>
      <c r="K119" s="1665"/>
      <c r="L119" s="1665"/>
      <c r="M119" s="957"/>
      <c r="N119" s="957"/>
    </row>
    <row r="120" spans="1:16" s="956" customFormat="1">
      <c r="A120" s="1319" t="s">
        <v>1265</v>
      </c>
      <c r="B120" s="1320"/>
      <c r="C120" s="1318" t="s">
        <v>1272</v>
      </c>
      <c r="D120" s="195"/>
      <c r="E120" s="268"/>
      <c r="F120" s="268"/>
      <c r="G120" s="268"/>
      <c r="H120" s="268"/>
      <c r="I120" s="1317"/>
      <c r="J120" s="873"/>
      <c r="L120" s="957"/>
      <c r="M120" s="957"/>
      <c r="N120" s="957"/>
    </row>
    <row r="121" spans="1:16" s="956" customFormat="1">
      <c r="A121" s="1319" t="str">
        <f>+A116&amp;".x"</f>
        <v>41.x</v>
      </c>
      <c r="B121" s="1320"/>
      <c r="C121" s="1318" t="s">
        <v>1272</v>
      </c>
      <c r="D121" s="264"/>
      <c r="E121" s="268"/>
      <c r="F121" s="268"/>
      <c r="G121" s="268"/>
      <c r="H121" s="268"/>
      <c r="I121" s="1317"/>
      <c r="J121" s="873"/>
      <c r="L121" s="957"/>
      <c r="M121" s="957"/>
      <c r="N121" s="957"/>
    </row>
    <row r="122" spans="1:16">
      <c r="A122" s="874">
        <f>+A116+1</f>
        <v>42</v>
      </c>
      <c r="B122" s="270"/>
      <c r="C122" s="947" t="str">
        <f>+"Total  "&amp;C116</f>
        <v>Total  Regulatory Commission Expense Account 928</v>
      </c>
      <c r="D122" s="167">
        <f>SUM(D117:D121)</f>
        <v>102916</v>
      </c>
      <c r="E122" s="81"/>
      <c r="F122" s="81"/>
      <c r="G122" s="81"/>
      <c r="H122" s="531"/>
      <c r="I122" s="989" t="str">
        <f>+"Sum Ln "&amp;A116&amp;" Subparts"</f>
        <v>Sum Ln 41 Subparts</v>
      </c>
      <c r="J122" s="80"/>
      <c r="L122" s="203"/>
    </row>
    <row r="123" spans="1:16">
      <c r="A123" s="874">
        <f>+A122+1</f>
        <v>43</v>
      </c>
      <c r="B123" s="81"/>
      <c r="C123" s="638"/>
      <c r="D123" s="167"/>
      <c r="E123" s="256"/>
      <c r="F123" s="531"/>
      <c r="G123" s="269"/>
      <c r="H123" s="269"/>
      <c r="I123" s="273"/>
      <c r="J123" s="80"/>
      <c r="K123" s="80"/>
      <c r="L123" s="268"/>
      <c r="M123" s="268"/>
    </row>
    <row r="124" spans="1:16">
      <c r="A124" s="874">
        <f>+A123+1</f>
        <v>44</v>
      </c>
      <c r="B124" s="634" t="s">
        <v>197</v>
      </c>
      <c r="C124" s="631"/>
      <c r="D124" s="632"/>
      <c r="E124" s="632"/>
      <c r="F124" s="633"/>
      <c r="G124" s="635"/>
      <c r="H124" s="636"/>
      <c r="I124" s="707"/>
      <c r="J124" s="80"/>
      <c r="K124" s="43"/>
      <c r="L124" s="43"/>
      <c r="M124" s="43"/>
    </row>
    <row r="125" spans="1:16" s="44" customFormat="1" ht="13.15" customHeight="1">
      <c r="A125" s="874">
        <f t="shared" ref="A125:A151" si="7">+A124+1</f>
        <v>45</v>
      </c>
      <c r="B125" s="231" t="s">
        <v>167</v>
      </c>
      <c r="C125" s="231" t="s">
        <v>215</v>
      </c>
      <c r="D125" s="231" t="s">
        <v>155</v>
      </c>
      <c r="E125" s="231" t="s">
        <v>168</v>
      </c>
      <c r="F125" s="231" t="s">
        <v>166</v>
      </c>
      <c r="G125" s="231" t="s">
        <v>257</v>
      </c>
      <c r="H125" s="231" t="s">
        <v>169</v>
      </c>
      <c r="I125" s="231" t="s">
        <v>270</v>
      </c>
      <c r="J125" s="80"/>
      <c r="K125" s="43"/>
      <c r="L125" s="43"/>
      <c r="M125" s="43"/>
      <c r="N125" s="43"/>
    </row>
    <row r="126" spans="1:16" s="44" customFormat="1" ht="13.9" customHeight="1">
      <c r="A126" s="874">
        <f t="shared" si="7"/>
        <v>46</v>
      </c>
      <c r="B126" s="574" t="s">
        <v>607</v>
      </c>
      <c r="C126" s="638"/>
      <c r="D126" s="167"/>
      <c r="E126" s="256"/>
      <c r="F126" s="531"/>
      <c r="G126" s="269"/>
      <c r="H126" s="269"/>
      <c r="I126" s="273"/>
      <c r="J126" s="80"/>
      <c r="K126" s="80"/>
      <c r="L126" s="268"/>
      <c r="M126" s="268"/>
      <c r="N126" s="43"/>
    </row>
    <row r="127" spans="1:16">
      <c r="A127" s="874">
        <f t="shared" si="7"/>
        <v>47</v>
      </c>
      <c r="B127" s="81"/>
      <c r="C127" s="272" t="s">
        <v>1086</v>
      </c>
      <c r="D127" s="280"/>
      <c r="E127" s="256"/>
      <c r="F127" s="531"/>
      <c r="G127" s="269"/>
      <c r="H127" s="269"/>
      <c r="I127" s="80"/>
      <c r="J127" s="80"/>
      <c r="K127" s="80"/>
      <c r="L127" s="268"/>
      <c r="M127" s="268"/>
    </row>
    <row r="128" spans="1:16">
      <c r="A128" s="876">
        <f>+A127+0.1</f>
        <v>47.1</v>
      </c>
      <c r="B128" s="81"/>
      <c r="C128" s="579" t="s">
        <v>1079</v>
      </c>
      <c r="D128" s="280">
        <f>+'WP10 Storm'!E50</f>
        <v>0</v>
      </c>
      <c r="E128" s="256"/>
      <c r="F128" s="531"/>
      <c r="G128" s="269"/>
      <c r="H128" s="269"/>
      <c r="I128" s="222" t="str">
        <f>+"WP10 Storm Ln "&amp;'WP10 Storm'!A50&amp;" Column "&amp;'WP10 Storm'!E6</f>
        <v xml:space="preserve">WP10 Storm Ln 13 Column D </v>
      </c>
      <c r="J128" s="80"/>
      <c r="K128" s="80"/>
      <c r="L128" s="268"/>
      <c r="M128" s="268"/>
    </row>
    <row r="129" spans="1:16">
      <c r="A129" s="876">
        <f>+A128+0.1</f>
        <v>47.2</v>
      </c>
      <c r="B129" s="81"/>
      <c r="C129" s="579" t="s">
        <v>1080</v>
      </c>
      <c r="D129" s="1474">
        <f>+'WP AJ1 MISO'!K66</f>
        <v>-336.21000000000004</v>
      </c>
      <c r="E129" s="256"/>
      <c r="F129" s="531"/>
      <c r="G129" s="269"/>
      <c r="H129" s="269"/>
      <c r="I129" s="222" t="str">
        <f>+"WP AJ1 MISO Ln "&amp;'WP AJ1 MISO'!A66&amp;" Column "&amp;'WP AJ1 MISO'!K8</f>
        <v>WP AJ1 MISO Ln 13 Column J</v>
      </c>
      <c r="J129" s="80"/>
      <c r="K129" s="80"/>
      <c r="L129" s="268"/>
      <c r="M129" s="268"/>
    </row>
    <row r="130" spans="1:16">
      <c r="A130" s="876">
        <f>+A129+0.1</f>
        <v>47.300000000000004</v>
      </c>
      <c r="B130" s="81"/>
      <c r="C130" s="579" t="s">
        <v>1449</v>
      </c>
      <c r="D130" s="1474">
        <f>-'WP AJ2 ITC'!F52</f>
        <v>-640.85</v>
      </c>
      <c r="E130" s="256"/>
      <c r="F130" s="531"/>
      <c r="G130" s="269"/>
      <c r="H130" s="269"/>
      <c r="I130" s="222" t="str">
        <f>"WP AJ2 ITC Ln "&amp;'WP AJ2 ITC'!A52&amp;" Column "&amp;'WP AJ2 ITC'!F6</f>
        <v>WP AJ2 ITC Ln 13 Column D</v>
      </c>
      <c r="J130" s="80"/>
      <c r="K130" s="80"/>
      <c r="L130" s="268"/>
      <c r="M130" s="268"/>
    </row>
    <row r="131" spans="1:16" s="956" customFormat="1">
      <c r="A131" s="876">
        <f t="shared" ref="A131:A132" si="8">+A130+0.1</f>
        <v>47.400000000000006</v>
      </c>
      <c r="B131" s="957"/>
      <c r="C131" s="1312" t="s">
        <v>1450</v>
      </c>
      <c r="D131" s="1474">
        <f>-'WP AJ4 LA Merger'!E47</f>
        <v>0</v>
      </c>
      <c r="E131" s="744"/>
      <c r="F131" s="960"/>
      <c r="G131" s="961"/>
      <c r="H131" s="961"/>
      <c r="I131" s="1435" t="str">
        <f>"WP AJ4 LA Merger Ln "&amp;'WP AJ4 LA Merger'!A47&amp;" Column "&amp;'WP AJ4 LA Merger'!E6</f>
        <v>WP AJ4 LA Merger Ln 13 Column D</v>
      </c>
      <c r="J131" s="80"/>
      <c r="L131" s="957"/>
      <c r="M131" s="962"/>
      <c r="N131" s="957"/>
    </row>
    <row r="132" spans="1:16" s="956" customFormat="1">
      <c r="A132" s="1319">
        <f t="shared" si="8"/>
        <v>47.500000000000007</v>
      </c>
      <c r="B132" s="1320"/>
      <c r="C132" s="1318" t="s">
        <v>1272</v>
      </c>
      <c r="D132" s="195"/>
      <c r="E132" s="268"/>
      <c r="F132" s="268"/>
      <c r="G132" s="268"/>
      <c r="H132" s="268"/>
      <c r="I132" s="1317"/>
      <c r="J132" s="873"/>
      <c r="L132" s="957"/>
      <c r="M132" s="957"/>
      <c r="N132" s="957"/>
    </row>
    <row r="133" spans="1:16" s="956" customFormat="1">
      <c r="A133" s="1319" t="s">
        <v>1265</v>
      </c>
      <c r="B133" s="1320"/>
      <c r="C133" s="1318" t="s">
        <v>1272</v>
      </c>
      <c r="D133" s="195"/>
      <c r="E133" s="268"/>
      <c r="F133" s="268"/>
      <c r="G133" s="268"/>
      <c r="H133" s="268"/>
      <c r="I133" s="1317"/>
      <c r="J133" s="873"/>
      <c r="L133" s="957"/>
      <c r="M133" s="957"/>
      <c r="N133" s="957"/>
    </row>
    <row r="134" spans="1:16" s="956" customFormat="1">
      <c r="A134" s="1319" t="str">
        <f>+A127&amp;".x"</f>
        <v>47.x</v>
      </c>
      <c r="B134" s="1320"/>
      <c r="C134" s="1318" t="s">
        <v>1272</v>
      </c>
      <c r="D134" s="264"/>
      <c r="E134" s="268"/>
      <c r="F134" s="268"/>
      <c r="G134" s="268"/>
      <c r="H134" s="268"/>
      <c r="I134" s="1317"/>
      <c r="J134" s="873"/>
      <c r="L134" s="957"/>
      <c r="M134" s="957"/>
      <c r="N134" s="957"/>
    </row>
    <row r="135" spans="1:16">
      <c r="A135" s="874">
        <f>+A127+1</f>
        <v>48</v>
      </c>
      <c r="B135" s="81"/>
      <c r="C135" s="945" t="s">
        <v>784</v>
      </c>
      <c r="D135" s="167">
        <f>SUM(D128:D134)</f>
        <v>-977.06000000000006</v>
      </c>
      <c r="E135" s="531"/>
      <c r="F135" s="531"/>
      <c r="G135" s="269"/>
      <c r="H135" s="269"/>
      <c r="I135" s="995" t="str">
        <f>+"Sum Ln "&amp;A127&amp;" Subparts"</f>
        <v>Sum Ln 47 Subparts</v>
      </c>
      <c r="J135" s="80"/>
      <c r="K135" s="80"/>
      <c r="L135" s="268"/>
      <c r="M135" s="268"/>
    </row>
    <row r="136" spans="1:16">
      <c r="A136" s="874">
        <f t="shared" si="7"/>
        <v>49</v>
      </c>
      <c r="B136" s="81"/>
      <c r="C136" s="273"/>
      <c r="D136" s="280"/>
      <c r="E136" s="256"/>
      <c r="F136" s="531"/>
      <c r="G136" s="269"/>
      <c r="H136" s="269"/>
      <c r="I136" s="273"/>
      <c r="J136" s="80"/>
      <c r="K136" s="80"/>
      <c r="L136" s="268"/>
      <c r="M136" s="268"/>
    </row>
    <row r="137" spans="1:16">
      <c r="A137" s="874">
        <f t="shared" si="7"/>
        <v>50</v>
      </c>
      <c r="B137" s="634" t="s">
        <v>139</v>
      </c>
      <c r="C137" s="631"/>
      <c r="D137" s="632"/>
      <c r="E137" s="632"/>
      <c r="F137" s="633"/>
      <c r="G137" s="635"/>
      <c r="H137" s="636"/>
      <c r="I137" s="702"/>
      <c r="J137" s="80"/>
      <c r="K137" s="81"/>
    </row>
    <row r="138" spans="1:16">
      <c r="A138" s="874">
        <f t="shared" si="7"/>
        <v>51</v>
      </c>
      <c r="B138" s="46"/>
      <c r="C138" s="656"/>
      <c r="D138" s="190"/>
      <c r="E138" s="190"/>
      <c r="F138" s="657"/>
      <c r="G138" s="45"/>
      <c r="H138" s="566"/>
      <c r="I138" s="709"/>
      <c r="J138" s="80"/>
      <c r="K138" s="81"/>
      <c r="O138" s="81"/>
      <c r="P138" s="81"/>
    </row>
    <row r="139" spans="1:16">
      <c r="A139" s="874">
        <f t="shared" si="7"/>
        <v>52</v>
      </c>
      <c r="B139" s="46"/>
      <c r="C139" s="225" t="s">
        <v>1087</v>
      </c>
      <c r="D139" s="268"/>
      <c r="E139" s="190"/>
      <c r="F139" s="657"/>
      <c r="G139" s="45"/>
      <c r="H139" s="566"/>
      <c r="I139" s="80"/>
      <c r="J139" s="80"/>
      <c r="K139" s="81"/>
      <c r="O139" s="81"/>
      <c r="P139" s="81"/>
    </row>
    <row r="140" spans="1:16">
      <c r="A140" s="876">
        <f>+A139+0.1</f>
        <v>52.1</v>
      </c>
      <c r="B140" s="46"/>
      <c r="C140" s="579" t="s">
        <v>1079</v>
      </c>
      <c r="D140" s="1474">
        <f>+'WP10 Storm'!E51</f>
        <v>0</v>
      </c>
      <c r="E140" s="190"/>
      <c r="F140" s="657"/>
      <c r="G140" s="45"/>
      <c r="H140" s="566"/>
      <c r="I140" s="222" t="str">
        <f>+"WP10 Storm Ln "&amp;'WP10 Storm'!A51&amp;" Column "&amp;'WP10 Storm'!E6</f>
        <v xml:space="preserve">WP10 Storm Ln 14 Column D </v>
      </c>
      <c r="J140" s="80"/>
      <c r="K140" s="81"/>
      <c r="O140" s="81"/>
      <c r="P140" s="81"/>
    </row>
    <row r="141" spans="1:16">
      <c r="A141" s="876">
        <f>+A140+0.1</f>
        <v>52.2</v>
      </c>
      <c r="B141" s="46"/>
      <c r="C141" s="579" t="s">
        <v>1080</v>
      </c>
      <c r="D141" s="155">
        <f>+'WP AJ1 MISO'!K67</f>
        <v>-221.98000000000036</v>
      </c>
      <c r="E141" s="190"/>
      <c r="F141" s="657"/>
      <c r="G141" s="45"/>
      <c r="H141" s="566"/>
      <c r="I141" s="222" t="str">
        <f>+"WP AJ1 MISO Ln "&amp;'WP AJ1 MISO'!A67&amp;" Column "&amp;'WP AJ1 MISO'!K8</f>
        <v>WP AJ1 MISO Ln 14 Column J</v>
      </c>
      <c r="J141" s="80"/>
      <c r="K141" s="81"/>
      <c r="O141" s="81"/>
      <c r="P141" s="81"/>
    </row>
    <row r="142" spans="1:16">
      <c r="A142" s="876">
        <f>+A141+0.1</f>
        <v>52.300000000000004</v>
      </c>
      <c r="B142" s="46"/>
      <c r="C142" s="579" t="s">
        <v>1451</v>
      </c>
      <c r="D142" s="155">
        <f>-'WP AJ2 ITC'!F53</f>
        <v>403.5299999999998</v>
      </c>
      <c r="E142" s="190"/>
      <c r="F142" s="657"/>
      <c r="G142" s="45"/>
      <c r="H142" s="566"/>
      <c r="I142" s="222" t="str">
        <f>"WP AJ2 ITC Ln "&amp;'WP AJ2 ITC'!A53&amp;" Column "&amp;'WP AJ2 ITC'!F6</f>
        <v>WP AJ2 ITC Ln 14 Column D</v>
      </c>
      <c r="J142" s="80"/>
      <c r="K142" s="81"/>
      <c r="O142" s="81"/>
      <c r="P142" s="81"/>
    </row>
    <row r="143" spans="1:16" s="956" customFormat="1">
      <c r="A143" s="876">
        <f t="shared" ref="A143:A144" si="9">+A142+0.1</f>
        <v>52.400000000000006</v>
      </c>
      <c r="B143" s="963"/>
      <c r="C143" s="1312" t="s">
        <v>1452</v>
      </c>
      <c r="D143" s="1475">
        <f>-'WP AJ4 LA Merger'!E48</f>
        <v>-2155.1800000000003</v>
      </c>
      <c r="E143" s="964"/>
      <c r="F143" s="965"/>
      <c r="G143" s="959"/>
      <c r="H143" s="966"/>
      <c r="I143" s="1435" t="str">
        <f>"WP AJ4 LA Merger Ln "&amp;'WP AJ4 LA Merger'!A48&amp;" Column "&amp;'WP AJ4 LA Merger'!E6</f>
        <v>WP AJ4 LA Merger Ln 14 Column D</v>
      </c>
      <c r="J143" s="80"/>
      <c r="L143" s="957"/>
      <c r="M143" s="957"/>
      <c r="N143" s="957"/>
      <c r="O143" s="957"/>
      <c r="P143" s="957"/>
    </row>
    <row r="144" spans="1:16" s="956" customFormat="1">
      <c r="A144" s="1319">
        <f t="shared" si="9"/>
        <v>52.500000000000007</v>
      </c>
      <c r="B144" s="1320"/>
      <c r="C144" s="1318" t="s">
        <v>1272</v>
      </c>
      <c r="D144" s="195"/>
      <c r="E144" s="268"/>
      <c r="F144" s="268"/>
      <c r="G144" s="268"/>
      <c r="H144" s="268"/>
      <c r="I144" s="1317"/>
      <c r="J144" s="873"/>
      <c r="L144" s="957"/>
      <c r="M144" s="957"/>
      <c r="N144" s="957"/>
    </row>
    <row r="145" spans="1:16" s="956" customFormat="1">
      <c r="A145" s="1319" t="s">
        <v>1265</v>
      </c>
      <c r="B145" s="1320"/>
      <c r="C145" s="1318" t="s">
        <v>1272</v>
      </c>
      <c r="D145" s="195"/>
      <c r="E145" s="268"/>
      <c r="F145" s="268"/>
      <c r="G145" s="268"/>
      <c r="H145" s="268"/>
      <c r="I145" s="1317"/>
      <c r="J145" s="873"/>
      <c r="L145" s="957"/>
      <c r="M145" s="957"/>
      <c r="N145" s="957"/>
    </row>
    <row r="146" spans="1:16" s="956" customFormat="1">
      <c r="A146" s="1319" t="str">
        <f>+A139&amp;".x"</f>
        <v>52.x</v>
      </c>
      <c r="B146" s="1320"/>
      <c r="C146" s="1318" t="s">
        <v>1272</v>
      </c>
      <c r="D146" s="264"/>
      <c r="E146" s="268"/>
      <c r="F146" s="268"/>
      <c r="G146" s="268"/>
      <c r="H146" s="268"/>
      <c r="I146" s="1317"/>
      <c r="J146" s="873"/>
      <c r="L146" s="957"/>
      <c r="M146" s="957"/>
      <c r="N146" s="957"/>
    </row>
    <row r="147" spans="1:16">
      <c r="A147" s="874">
        <f>+A139+1</f>
        <v>53</v>
      </c>
      <c r="B147" s="46"/>
      <c r="C147" s="945" t="s">
        <v>847</v>
      </c>
      <c r="D147" s="167">
        <f>SUM(D140:D146)</f>
        <v>-1973.6300000000008</v>
      </c>
      <c r="E147" s="190"/>
      <c r="F147" s="657"/>
      <c r="G147" s="45"/>
      <c r="H147" s="566"/>
      <c r="I147" s="995" t="str">
        <f>+"Sum Ln "&amp;A139&amp;" Subparts"</f>
        <v>Sum Ln 52 Subparts</v>
      </c>
      <c r="J147" s="80"/>
      <c r="K147" s="81"/>
      <c r="O147" s="81"/>
      <c r="P147" s="81"/>
    </row>
    <row r="148" spans="1:16">
      <c r="A148" s="874">
        <f t="shared" si="7"/>
        <v>54</v>
      </c>
      <c r="B148" s="46"/>
      <c r="C148" s="656"/>
      <c r="D148" s="190"/>
      <c r="E148" s="190"/>
      <c r="F148" s="657"/>
      <c r="G148" s="45"/>
      <c r="H148" s="566"/>
      <c r="I148" s="709"/>
      <c r="J148" s="80"/>
      <c r="K148" s="81"/>
      <c r="O148" s="81"/>
      <c r="P148" s="81"/>
    </row>
    <row r="149" spans="1:16">
      <c r="A149" s="874">
        <f t="shared" si="7"/>
        <v>55</v>
      </c>
      <c r="B149" s="634" t="s">
        <v>780</v>
      </c>
      <c r="C149" s="631"/>
      <c r="D149" s="632"/>
      <c r="E149" s="632"/>
      <c r="F149" s="633"/>
      <c r="G149" s="635"/>
      <c r="H149" s="636"/>
      <c r="I149" s="702"/>
      <c r="J149" s="80"/>
      <c r="K149" s="606"/>
      <c r="L149" s="281"/>
      <c r="M149" s="550"/>
    </row>
    <row r="150" spans="1:16">
      <c r="A150" s="874">
        <f t="shared" si="7"/>
        <v>56</v>
      </c>
      <c r="D150" s="716" t="s">
        <v>757</v>
      </c>
      <c r="E150" s="271"/>
      <c r="F150" s="716" t="s">
        <v>614</v>
      </c>
      <c r="J150" s="80"/>
      <c r="K150" s="606"/>
      <c r="L150" s="281"/>
      <c r="M150" s="550"/>
    </row>
    <row r="151" spans="1:16" ht="15">
      <c r="A151" s="874">
        <f t="shared" si="7"/>
        <v>57</v>
      </c>
      <c r="C151" s="628" t="s">
        <v>177</v>
      </c>
      <c r="D151" s="546" t="s">
        <v>814</v>
      </c>
      <c r="E151" s="271"/>
      <c r="F151" s="546" t="s">
        <v>267</v>
      </c>
      <c r="G151" s="276"/>
      <c r="H151" s="268"/>
      <c r="I151" s="268"/>
      <c r="J151" s="949"/>
      <c r="K151" s="606"/>
      <c r="L151" s="281"/>
      <c r="M151" s="550"/>
    </row>
    <row r="152" spans="1:16">
      <c r="A152" s="876">
        <f>+A151+0.1</f>
        <v>57.1</v>
      </c>
      <c r="B152" s="274"/>
      <c r="C152" s="626" t="s">
        <v>739</v>
      </c>
      <c r="D152" s="269">
        <f>+'WP04 PIS'!H23</f>
        <v>3547348</v>
      </c>
      <c r="E152" s="571"/>
      <c r="F152" s="269">
        <f>+'WP04 PIS'!H21</f>
        <v>3547348</v>
      </c>
      <c r="G152" s="545"/>
      <c r="H152" s="269"/>
      <c r="I152" s="166" t="str">
        <f>+"WP04 PIS Ln "&amp;'WP04 PIS'!A23&amp;" &amp; Ln "&amp;'WP04 PIS'!A21&amp;" Col "&amp;'WP04 PIS'!H5</f>
        <v>WP04 PIS Ln 18 &amp; Ln 16 Col G</v>
      </c>
      <c r="J152" s="80"/>
      <c r="K152" s="606"/>
      <c r="L152" s="281"/>
      <c r="M152" s="550"/>
    </row>
    <row r="153" spans="1:16">
      <c r="A153" s="876">
        <f>+A152+0.1</f>
        <v>57.2</v>
      </c>
      <c r="B153" s="274"/>
      <c r="C153" s="626" t="s">
        <v>486</v>
      </c>
      <c r="D153" s="269">
        <f>+'WP04 PIS'!I23</f>
        <v>0</v>
      </c>
      <c r="E153" s="571"/>
      <c r="F153" s="269">
        <f>+'WP04 PIS'!I21</f>
        <v>0</v>
      </c>
      <c r="G153" s="545"/>
      <c r="H153" s="269"/>
      <c r="I153" s="166" t="str">
        <f>+"WP04 PIS Ln "&amp;'WP04 PIS'!A23&amp;" &amp; Ln "&amp;'WP04 PIS'!A21&amp;" Col "&amp;'WP04 PIS'!I5</f>
        <v>WP04 PIS Ln 18 &amp; Ln 16 Col H</v>
      </c>
      <c r="J153" s="606"/>
      <c r="K153" s="80"/>
      <c r="L153" s="268"/>
      <c r="M153" s="268"/>
    </row>
    <row r="154" spans="1:16" s="80" customFormat="1">
      <c r="A154" s="876">
        <f>+A153+0.1</f>
        <v>57.300000000000004</v>
      </c>
      <c r="B154" s="274"/>
      <c r="C154" s="626" t="s">
        <v>925</v>
      </c>
      <c r="D154" s="269">
        <f>+'WP15 Radials'!G8</f>
        <v>0</v>
      </c>
      <c r="E154" s="972"/>
      <c r="F154" s="269">
        <f>+'WP15 Radials'!F8</f>
        <v>0</v>
      </c>
      <c r="G154" s="545"/>
      <c r="H154" s="269"/>
      <c r="I154" s="166" t="str">
        <f>+"WP15 Radials Ln"&amp;'WP15 Radials'!A8&amp;" Col "&amp;'WP15 Radials'!G5&amp;" &amp; "&amp;'WP15 Radials'!F5</f>
        <v>WP15 Radials Ln3 Col F &amp; E</v>
      </c>
      <c r="K154" s="197"/>
      <c r="L154" s="45"/>
      <c r="M154" s="45"/>
      <c r="N154" s="268"/>
      <c r="O154" s="268"/>
      <c r="P154" s="268"/>
    </row>
    <row r="155" spans="1:16">
      <c r="A155" s="876">
        <f>+A154+0.1</f>
        <v>57.400000000000006</v>
      </c>
      <c r="B155" s="274"/>
      <c r="C155" s="626" t="s">
        <v>497</v>
      </c>
      <c r="D155" s="569">
        <f>+'WP16 Interconn'!P19</f>
        <v>0</v>
      </c>
      <c r="E155" s="571"/>
      <c r="F155" s="569">
        <f>+'WP16 Interconn'!O19</f>
        <v>0</v>
      </c>
      <c r="G155" s="545"/>
      <c r="H155" s="269"/>
      <c r="I155" s="166" t="str">
        <f>+"WP16 Interconn Ln "&amp;'WP16 Interconn'!A19&amp;" Col "&amp;'WP16 Interconn'!P5&amp;" &amp; "&amp;'WP16 Interconn'!O5</f>
        <v>WP16 Interconn Ln 7 Col O &amp; N</v>
      </c>
      <c r="J155" s="269"/>
      <c r="K155" s="197"/>
      <c r="L155" s="45"/>
      <c r="M155" s="45"/>
      <c r="O155" s="81"/>
      <c r="P155" s="81"/>
    </row>
    <row r="156" spans="1:16">
      <c r="A156" s="874">
        <f>+A151+1</f>
        <v>58</v>
      </c>
      <c r="B156" s="274"/>
      <c r="C156" s="945" t="str">
        <f>+"Total "&amp;C151</f>
        <v>Total Excluded Transmission Facilities</v>
      </c>
      <c r="D156" s="269">
        <f>SUM(D152:D155)</f>
        <v>3547348</v>
      </c>
      <c r="E156" s="531"/>
      <c r="F156" s="531">
        <f>SUM(F152:F155)</f>
        <v>3547348</v>
      </c>
      <c r="G156" s="531"/>
      <c r="H156" s="531"/>
      <c r="I156" s="861" t="str">
        <f>+"Sum Ln "&amp;A151&amp;" Subparts"</f>
        <v>Sum Ln 57 Subparts</v>
      </c>
      <c r="J156" s="949"/>
      <c r="K156" s="197"/>
      <c r="L156" s="45"/>
      <c r="M156" s="45"/>
      <c r="O156" s="81"/>
      <c r="P156" s="81"/>
    </row>
    <row r="157" spans="1:16">
      <c r="B157" s="268"/>
      <c r="C157" s="268"/>
      <c r="D157" s="268"/>
      <c r="E157" s="268"/>
      <c r="F157" s="268"/>
      <c r="G157" s="268"/>
      <c r="H157" s="268"/>
      <c r="I157" s="222"/>
      <c r="J157" s="269"/>
      <c r="K157" s="197"/>
      <c r="L157" s="45"/>
      <c r="M157" s="45"/>
      <c r="O157" s="81"/>
      <c r="P157" s="81"/>
    </row>
    <row r="158" spans="1:16">
      <c r="A158" s="577" t="s">
        <v>225</v>
      </c>
      <c r="B158" s="81"/>
      <c r="C158" s="625"/>
      <c r="D158" s="617"/>
      <c r="E158" s="616"/>
      <c r="F158" s="616"/>
      <c r="G158" s="616"/>
      <c r="H158" s="616"/>
      <c r="I158" s="706"/>
      <c r="J158" s="269"/>
      <c r="K158" s="197"/>
      <c r="L158" s="45"/>
      <c r="M158" s="45"/>
      <c r="O158" s="81"/>
      <c r="P158" s="81"/>
    </row>
    <row r="159" spans="1:16" ht="40.15" customHeight="1">
      <c r="A159" s="1041" t="s">
        <v>271</v>
      </c>
      <c r="B159" s="1667" t="s">
        <v>1430</v>
      </c>
      <c r="C159" s="1667"/>
      <c r="D159" s="1667"/>
      <c r="E159" s="1667"/>
      <c r="F159" s="1667"/>
      <c r="G159" s="1667"/>
      <c r="H159" s="1667"/>
      <c r="I159" s="1667"/>
      <c r="J159" s="715"/>
      <c r="O159" s="81"/>
      <c r="P159" s="81"/>
    </row>
    <row r="160" spans="1:16" ht="27" customHeight="1">
      <c r="A160" s="1176" t="s">
        <v>615</v>
      </c>
      <c r="B160" s="1657" t="s">
        <v>1277</v>
      </c>
      <c r="C160" s="1657"/>
      <c r="D160" s="1657"/>
      <c r="E160" s="1657"/>
      <c r="F160" s="1657"/>
      <c r="G160" s="1657"/>
      <c r="H160" s="1657"/>
      <c r="I160" s="1657"/>
      <c r="J160" s="715"/>
      <c r="O160" s="81"/>
      <c r="P160" s="81"/>
    </row>
    <row r="161" spans="1:17">
      <c r="A161" s="1176" t="s">
        <v>616</v>
      </c>
      <c r="B161" s="1666" t="str">
        <f>+"See Appendix A Note "&amp;'Appendix A'!A327</f>
        <v>See Appendix A Note X</v>
      </c>
      <c r="C161" s="1666"/>
      <c r="D161" s="948"/>
      <c r="E161" s="550"/>
      <c r="F161" s="550"/>
      <c r="G161" s="550"/>
      <c r="H161" s="550"/>
      <c r="I161" s="1177"/>
    </row>
    <row r="162" spans="1:17" ht="28.15" customHeight="1">
      <c r="A162" s="1176" t="s">
        <v>617</v>
      </c>
      <c r="B162" s="1664" t="s">
        <v>1289</v>
      </c>
      <c r="C162" s="1664"/>
      <c r="D162" s="1664"/>
      <c r="E162" s="1664"/>
      <c r="F162" s="1664"/>
      <c r="G162" s="1664"/>
      <c r="H162" s="1664"/>
      <c r="I162" s="1664"/>
    </row>
    <row r="163" spans="1:17" ht="67.150000000000006" customHeight="1">
      <c r="A163" s="1176" t="s">
        <v>618</v>
      </c>
      <c r="B163" s="1661" t="s">
        <v>1174</v>
      </c>
      <c r="C163" s="1661"/>
      <c r="D163" s="1661"/>
      <c r="E163" s="1661"/>
      <c r="F163" s="1661"/>
      <c r="G163" s="1661"/>
      <c r="H163" s="1661"/>
      <c r="I163" s="1661"/>
      <c r="J163" s="1166"/>
      <c r="K163" s="1166"/>
      <c r="L163" s="1166"/>
      <c r="M163" s="1166"/>
      <c r="N163" s="1166"/>
      <c r="O163" s="1166"/>
      <c r="P163" s="1166"/>
      <c r="Q163" s="1166"/>
    </row>
    <row r="164" spans="1:17">
      <c r="B164" s="1661"/>
      <c r="C164" s="1661"/>
      <c r="D164" s="1661"/>
      <c r="E164" s="1661"/>
      <c r="F164" s="1661"/>
      <c r="G164" s="1661"/>
      <c r="H164" s="1661"/>
      <c r="I164" s="1661"/>
      <c r="J164" s="1661"/>
      <c r="K164" s="1661"/>
      <c r="L164" s="1661"/>
      <c r="M164" s="1661"/>
      <c r="N164" s="1661"/>
      <c r="O164" s="1661"/>
      <c r="P164" s="1661"/>
      <c r="Q164" s="1661"/>
    </row>
    <row r="165" spans="1:17">
      <c r="B165" s="1662"/>
      <c r="C165" s="1662"/>
      <c r="D165" s="1662"/>
      <c r="E165" s="1662"/>
      <c r="F165" s="1662"/>
      <c r="G165" s="1662"/>
      <c r="H165" s="1662"/>
      <c r="I165" s="1662"/>
      <c r="J165" s="1662"/>
      <c r="K165" s="1662"/>
      <c r="L165" s="1662"/>
      <c r="M165" s="1662"/>
      <c r="N165" s="1662"/>
      <c r="O165" s="1662"/>
      <c r="P165" s="1662"/>
      <c r="Q165" s="1662"/>
    </row>
    <row r="166" spans="1:17" ht="15">
      <c r="B166" s="1663"/>
      <c r="C166" s="1663"/>
      <c r="D166" s="1663"/>
      <c r="E166" s="1663"/>
      <c r="F166" s="1663"/>
      <c r="G166" s="1663"/>
      <c r="H166" s="1663"/>
      <c r="I166" s="1663"/>
      <c r="J166" s="1663"/>
      <c r="K166" s="1663"/>
      <c r="L166" s="1663"/>
      <c r="M166" s="1663"/>
      <c r="N166" s="1663"/>
      <c r="O166" s="1663"/>
      <c r="P166" s="1663"/>
      <c r="Q166" s="1663"/>
    </row>
  </sheetData>
  <mergeCells count="12">
    <mergeCell ref="A1:I1"/>
    <mergeCell ref="B160:I160"/>
    <mergeCell ref="B164:Q164"/>
    <mergeCell ref="B165:Q165"/>
    <mergeCell ref="B166:Q166"/>
    <mergeCell ref="B163:I163"/>
    <mergeCell ref="B162:I162"/>
    <mergeCell ref="K112:L119"/>
    <mergeCell ref="B161:C161"/>
    <mergeCell ref="B159:I159"/>
    <mergeCell ref="A3:I3"/>
    <mergeCell ref="A2:I2"/>
  </mergeCells>
  <printOptions horizontalCentered="1"/>
  <pageMargins left="0.7" right="0.7" top="0.7" bottom="0.7" header="0.3" footer="0.5"/>
  <pageSetup scale="70" fitToHeight="19" orientation="landscape" r:id="rId1"/>
  <headerFooter>
    <oddFooter>&amp;CPage &amp;P of &amp;N&amp;R&amp;A</oddFooter>
  </headerFooter>
  <rowBreaks count="2" manualBreakCount="2">
    <brk id="107" max="8" man="1"/>
    <brk id="1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activeCell="C26" sqref="C26"/>
    </sheetView>
  </sheetViews>
  <sheetFormatPr defaultColWidth="8.85546875" defaultRowHeight="12.75"/>
  <cols>
    <col min="1" max="1" width="6.42578125" style="44" bestFit="1" customWidth="1"/>
    <col min="2" max="2" width="33.42578125" style="44" customWidth="1"/>
    <col min="3" max="3" width="14.85546875" style="256" customWidth="1"/>
    <col min="4" max="4" width="26.28515625" style="771" customWidth="1"/>
    <col min="5" max="5" width="10.85546875" style="44" customWidth="1"/>
    <col min="6" max="6" width="18.140625" style="43" customWidth="1"/>
    <col min="7" max="7" width="20.28515625" style="43" customWidth="1"/>
    <col min="8" max="8" width="8.85546875" style="44"/>
    <col min="9" max="9" width="21.140625" style="44" customWidth="1"/>
    <col min="10" max="10" width="19.140625" style="44" customWidth="1"/>
    <col min="11" max="16384" width="8.85546875" style="44"/>
  </cols>
  <sheetData>
    <row r="1" spans="1:10">
      <c r="A1" s="1668" t="str">
        <f>+'MISO Cover'!C6</f>
        <v>Entergy New Orleans, Inc.</v>
      </c>
      <c r="B1" s="1668"/>
      <c r="C1" s="1668"/>
      <c r="D1" s="1668"/>
      <c r="E1" s="182"/>
      <c r="F1" s="568"/>
      <c r="G1" s="568"/>
      <c r="H1" s="182"/>
      <c r="I1" s="182"/>
      <c r="J1" s="182"/>
    </row>
    <row r="2" spans="1:10" s="526" customFormat="1">
      <c r="A2" s="1670" t="s">
        <v>960</v>
      </c>
      <c r="B2" s="1670"/>
      <c r="C2" s="1670"/>
      <c r="D2" s="1670"/>
      <c r="E2" s="514"/>
      <c r="F2" s="880"/>
      <c r="G2" s="880"/>
      <c r="H2" s="789"/>
    </row>
    <row r="3" spans="1:10">
      <c r="A3" s="1669" t="str">
        <f>+'MISO Cover'!K4</f>
        <v>For  the 12 Months Ended 12/31/2014</v>
      </c>
      <c r="B3" s="1669"/>
      <c r="C3" s="1669"/>
      <c r="D3" s="1669"/>
      <c r="E3" s="515"/>
      <c r="F3" s="881"/>
      <c r="G3" s="881"/>
      <c r="H3" s="790"/>
      <c r="I3" s="790"/>
      <c r="J3" s="790"/>
    </row>
    <row r="4" spans="1:10">
      <c r="A4" s="770"/>
      <c r="B4" s="770"/>
      <c r="C4" s="770"/>
      <c r="D4" s="770"/>
      <c r="E4" s="770"/>
      <c r="F4" s="881"/>
      <c r="G4" s="881"/>
      <c r="H4" s="790"/>
      <c r="I4" s="790"/>
      <c r="J4" s="790"/>
    </row>
    <row r="5" spans="1:10">
      <c r="B5" s="504" t="s">
        <v>167</v>
      </c>
      <c r="C5" s="505" t="s">
        <v>215</v>
      </c>
      <c r="D5" s="504" t="s">
        <v>155</v>
      </c>
      <c r="E5" s="504"/>
      <c r="F5" s="862"/>
      <c r="G5" s="862"/>
      <c r="H5" s="504"/>
      <c r="I5" s="504"/>
      <c r="J5" s="504"/>
    </row>
    <row r="6" spans="1:10" s="506" customFormat="1">
      <c r="A6" s="506" t="s">
        <v>525</v>
      </c>
      <c r="B6" s="1500" t="s">
        <v>213</v>
      </c>
      <c r="C6" s="1501" t="s">
        <v>227</v>
      </c>
      <c r="D6" s="1501" t="s">
        <v>241</v>
      </c>
      <c r="E6" s="507"/>
      <c r="F6" s="882"/>
      <c r="G6" s="883"/>
      <c r="H6" s="791"/>
      <c r="I6" s="791"/>
      <c r="J6" s="791"/>
    </row>
    <row r="7" spans="1:10">
      <c r="A7" s="207">
        <v>1</v>
      </c>
      <c r="B7" s="512" t="s">
        <v>163</v>
      </c>
      <c r="C7" s="505"/>
      <c r="D7" s="509"/>
      <c r="E7" s="509"/>
      <c r="F7" s="884"/>
      <c r="G7" s="884"/>
      <c r="H7" s="504"/>
      <c r="I7" s="504"/>
      <c r="J7" s="504"/>
    </row>
    <row r="8" spans="1:10">
      <c r="A8" s="207">
        <f>+A7+0.1</f>
        <v>1.1000000000000001</v>
      </c>
      <c r="B8" s="508" t="s">
        <v>417</v>
      </c>
      <c r="C8" s="510">
        <v>18185</v>
      </c>
      <c r="D8" s="710" t="s">
        <v>902</v>
      </c>
      <c r="E8" s="511"/>
      <c r="F8" s="884"/>
      <c r="G8" s="884"/>
      <c r="H8" s="504"/>
      <c r="I8" s="504"/>
      <c r="J8" s="504"/>
    </row>
    <row r="9" spans="1:10">
      <c r="A9" s="207">
        <f>+A8+0.1</f>
        <v>1.2000000000000002</v>
      </c>
      <c r="B9" s="659" t="s">
        <v>418</v>
      </c>
      <c r="C9" s="660">
        <v>1693666</v>
      </c>
      <c r="D9" s="710" t="s">
        <v>1038</v>
      </c>
      <c r="E9" s="511"/>
      <c r="F9" s="884"/>
      <c r="G9" s="884"/>
      <c r="H9" s="504"/>
      <c r="I9" s="504"/>
      <c r="J9" s="504"/>
    </row>
    <row r="10" spans="1:10">
      <c r="A10" s="207">
        <f>+A7+1</f>
        <v>2</v>
      </c>
      <c r="B10" s="986" t="s">
        <v>214</v>
      </c>
      <c r="C10" s="987">
        <f>+C8+C9</f>
        <v>1711851</v>
      </c>
      <c r="D10" s="988" t="str">
        <f>+"Sum Ln "&amp;A7&amp;" Subparts"</f>
        <v>Sum Ln 1 Subparts</v>
      </c>
    </row>
    <row r="11" spans="1:10">
      <c r="A11" s="207">
        <f>+A10+1</f>
        <v>3</v>
      </c>
      <c r="D11" s="579"/>
    </row>
    <row r="12" spans="1:10">
      <c r="A12" s="207">
        <f>+A11+1</f>
        <v>4</v>
      </c>
      <c r="B12" s="512" t="s">
        <v>164</v>
      </c>
      <c r="D12" s="579"/>
    </row>
    <row r="13" spans="1:10">
      <c r="A13" s="207">
        <f>+A12+0.01</f>
        <v>4.01</v>
      </c>
      <c r="B13" s="508" t="s">
        <v>417</v>
      </c>
      <c r="C13" s="209">
        <v>9703684</v>
      </c>
      <c r="D13" s="710" t="s">
        <v>903</v>
      </c>
    </row>
    <row r="14" spans="1:10">
      <c r="A14" s="207">
        <f t="shared" ref="A14:A24" si="0">+A13+0.01</f>
        <v>4.0199999999999996</v>
      </c>
      <c r="B14" s="44" t="s">
        <v>419</v>
      </c>
      <c r="C14" s="209">
        <v>2262730</v>
      </c>
      <c r="D14" s="710" t="s">
        <v>1038</v>
      </c>
    </row>
    <row r="15" spans="1:10">
      <c r="A15" s="207">
        <f t="shared" si="0"/>
        <v>4.0299999999999994</v>
      </c>
      <c r="B15" s="44" t="s">
        <v>420</v>
      </c>
      <c r="C15" s="79">
        <f>+C9</f>
        <v>1693666</v>
      </c>
      <c r="D15" s="710" t="str">
        <f>+"Line "&amp;A9</f>
        <v>Line 1.2</v>
      </c>
    </row>
    <row r="16" spans="1:10">
      <c r="A16" s="207">
        <f t="shared" si="0"/>
        <v>4.0399999999999991</v>
      </c>
      <c r="B16" s="44" t="s">
        <v>421</v>
      </c>
      <c r="C16" s="209">
        <v>73</v>
      </c>
      <c r="D16" s="710" t="s">
        <v>1038</v>
      </c>
    </row>
    <row r="17" spans="1:10">
      <c r="A17" s="207">
        <f t="shared" si="0"/>
        <v>4.0499999999999989</v>
      </c>
      <c r="B17" s="44" t="s">
        <v>422</v>
      </c>
      <c r="C17" s="209">
        <v>1709226</v>
      </c>
      <c r="D17" s="710" t="s">
        <v>1038</v>
      </c>
    </row>
    <row r="18" spans="1:10">
      <c r="A18" s="207">
        <f t="shared" si="0"/>
        <v>4.0599999999999987</v>
      </c>
      <c r="B18" s="44" t="s">
        <v>423</v>
      </c>
      <c r="C18" s="209">
        <v>1520966</v>
      </c>
      <c r="D18" s="710" t="s">
        <v>1038</v>
      </c>
    </row>
    <row r="19" spans="1:10">
      <c r="A19" s="207">
        <f t="shared" si="0"/>
        <v>4.0699999999999985</v>
      </c>
      <c r="B19" s="44" t="s">
        <v>424</v>
      </c>
      <c r="C19" s="209">
        <v>187229</v>
      </c>
      <c r="D19" s="710" t="s">
        <v>1038</v>
      </c>
    </row>
    <row r="20" spans="1:10">
      <c r="A20" s="207">
        <f t="shared" si="0"/>
        <v>4.0799999999999983</v>
      </c>
      <c r="B20" s="44" t="s">
        <v>425</v>
      </c>
      <c r="C20" s="209">
        <v>159286</v>
      </c>
      <c r="D20" s="710" t="s">
        <v>1038</v>
      </c>
    </row>
    <row r="21" spans="1:10">
      <c r="A21" s="207">
        <f t="shared" si="0"/>
        <v>4.0899999999999981</v>
      </c>
      <c r="B21" s="44" t="s">
        <v>522</v>
      </c>
      <c r="C21" s="209">
        <v>6151917</v>
      </c>
      <c r="D21" s="710" t="s">
        <v>1038</v>
      </c>
    </row>
    <row r="22" spans="1:10">
      <c r="A22" s="902">
        <f t="shared" si="0"/>
        <v>4.0999999999999979</v>
      </c>
      <c r="B22" s="44" t="s">
        <v>426</v>
      </c>
      <c r="C22" s="209">
        <v>0</v>
      </c>
      <c r="D22" s="710" t="s">
        <v>1038</v>
      </c>
      <c r="E22" s="509"/>
      <c r="F22" s="884"/>
      <c r="G22" s="884"/>
      <c r="H22" s="504"/>
      <c r="I22" s="504"/>
      <c r="J22" s="504"/>
    </row>
    <row r="23" spans="1:10">
      <c r="A23" s="902">
        <f t="shared" si="0"/>
        <v>4.1099999999999977</v>
      </c>
      <c r="B23" s="44" t="s">
        <v>427</v>
      </c>
      <c r="C23" s="209">
        <v>0</v>
      </c>
      <c r="D23" s="710" t="s">
        <v>1038</v>
      </c>
      <c r="E23" s="509"/>
      <c r="F23" s="884"/>
      <c r="G23" s="884"/>
      <c r="H23" s="504"/>
      <c r="I23" s="504"/>
      <c r="J23" s="504"/>
    </row>
    <row r="24" spans="1:10">
      <c r="A24" s="1302">
        <f t="shared" si="0"/>
        <v>4.1199999999999974</v>
      </c>
      <c r="B24" s="792" t="s">
        <v>1272</v>
      </c>
      <c r="C24" s="209"/>
      <c r="D24" s="710"/>
      <c r="E24" s="509"/>
      <c r="F24" s="884"/>
      <c r="G24" s="884"/>
      <c r="H24" s="504"/>
      <c r="I24" s="504"/>
      <c r="J24" s="504"/>
    </row>
    <row r="25" spans="1:10">
      <c r="A25" s="1302" t="s">
        <v>1266</v>
      </c>
      <c r="B25" s="792" t="s">
        <v>1272</v>
      </c>
      <c r="C25" s="209"/>
      <c r="D25" s="710"/>
      <c r="E25" s="509"/>
      <c r="F25" s="884"/>
      <c r="G25" s="884"/>
      <c r="H25" s="504"/>
      <c r="I25" s="504"/>
      <c r="J25" s="504"/>
    </row>
    <row r="26" spans="1:10">
      <c r="A26" s="1302" t="s">
        <v>1267</v>
      </c>
      <c r="B26" s="1293" t="s">
        <v>1272</v>
      </c>
      <c r="C26" s="264"/>
      <c r="D26" s="710"/>
      <c r="E26" s="509"/>
      <c r="F26" s="884"/>
      <c r="G26" s="884"/>
      <c r="H26" s="504"/>
      <c r="I26" s="504"/>
      <c r="J26" s="504"/>
    </row>
    <row r="27" spans="1:10">
      <c r="A27" s="207">
        <f>+A12+1</f>
        <v>5</v>
      </c>
      <c r="B27" s="986" t="s">
        <v>106</v>
      </c>
      <c r="C27" s="79">
        <f>SUM(C13:C26)</f>
        <v>23388777</v>
      </c>
      <c r="D27" s="988" t="str">
        <f>+"Sum Ln "&amp;A12&amp;" Subparts"</f>
        <v>Sum Ln 4 Subparts</v>
      </c>
    </row>
    <row r="28" spans="1:10">
      <c r="A28" s="207">
        <f>+A27+1</f>
        <v>6</v>
      </c>
      <c r="D28" s="284"/>
    </row>
    <row r="29" spans="1:10">
      <c r="A29" s="207">
        <f>+A28+1</f>
        <v>7</v>
      </c>
      <c r="B29" s="513" t="s">
        <v>796</v>
      </c>
      <c r="D29" s="284"/>
    </row>
    <row r="30" spans="1:10">
      <c r="A30" s="207">
        <f>+A29+0.1</f>
        <v>7.1</v>
      </c>
      <c r="B30" s="508" t="s">
        <v>417</v>
      </c>
      <c r="C30" s="209">
        <v>1680110</v>
      </c>
      <c r="D30" s="710" t="s">
        <v>904</v>
      </c>
    </row>
    <row r="31" spans="1:10">
      <c r="A31" s="207">
        <f>+A30+0.1</f>
        <v>7.1999999999999993</v>
      </c>
      <c r="B31" s="44" t="s">
        <v>522</v>
      </c>
      <c r="C31" s="79">
        <f>+C21</f>
        <v>6151917</v>
      </c>
      <c r="D31" s="710" t="str">
        <f>+"Line "&amp;A21</f>
        <v>Line 4.09</v>
      </c>
    </row>
    <row r="32" spans="1:10">
      <c r="A32" s="207">
        <f>+A31+0.1</f>
        <v>7.2999999999999989</v>
      </c>
      <c r="B32" s="559" t="s">
        <v>427</v>
      </c>
      <c r="C32" s="569">
        <f>+C23</f>
        <v>0</v>
      </c>
      <c r="D32" s="710" t="str">
        <f>+"Line "&amp;A23</f>
        <v>Line 4.11</v>
      </c>
    </row>
    <row r="33" spans="1:4">
      <c r="A33" s="207">
        <f>+A29+1</f>
        <v>8</v>
      </c>
      <c r="B33" s="986" t="str">
        <f>+"Total "&amp;B29</f>
        <v>Total A&amp;G Wages Expense</v>
      </c>
      <c r="C33" s="987">
        <f>SUM(C30:C32)</f>
        <v>7832027</v>
      </c>
      <c r="D33" s="988" t="str">
        <f>+"Sum Ln "&amp;A29&amp;" Subparts"</f>
        <v>Sum Ln 7 Subparts</v>
      </c>
    </row>
    <row r="34" spans="1:4">
      <c r="A34" s="771"/>
    </row>
    <row r="35" spans="1:4">
      <c r="A35" s="43" t="s">
        <v>592</v>
      </c>
      <c r="B35" s="43"/>
    </row>
    <row r="36" spans="1:4">
      <c r="A36" s="228" t="s">
        <v>271</v>
      </c>
      <c r="B36" s="43" t="s">
        <v>813</v>
      </c>
    </row>
    <row r="37" spans="1:4">
      <c r="A37" s="771"/>
    </row>
  </sheetData>
  <mergeCells count="3">
    <mergeCell ref="A1:D1"/>
    <mergeCell ref="A3:D3"/>
    <mergeCell ref="A2:D2"/>
  </mergeCells>
  <printOptions horizontalCentered="1"/>
  <pageMargins left="0.5" right="0.5" top="0.5" bottom="0.75" header="0.3" footer="0.5"/>
  <pageSetup orientation="portrait" r:id="rId1"/>
  <headerFooter>
    <oddFooter>&amp;CPage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2"/>
  <sheetViews>
    <sheetView topLeftCell="D10" zoomScaleNormal="100" zoomScaleSheetLayoutView="75" workbookViewId="0">
      <selection activeCell="E35" sqref="E35"/>
    </sheetView>
  </sheetViews>
  <sheetFormatPr defaultColWidth="8.85546875" defaultRowHeight="12.75"/>
  <cols>
    <col min="1" max="1" width="6.42578125" style="526" customWidth="1"/>
    <col min="2" max="2" width="9.42578125" style="526" customWidth="1"/>
    <col min="3" max="3" width="12.42578125" style="526" bestFit="1" customWidth="1"/>
    <col min="4" max="4" width="16.42578125" style="526" bestFit="1" customWidth="1"/>
    <col min="5" max="5" width="12.42578125" style="526" bestFit="1" customWidth="1"/>
    <col min="6" max="6" width="15.42578125" style="256" customWidth="1"/>
    <col min="7" max="7" width="14.140625" style="256" bestFit="1" customWidth="1"/>
    <col min="8" max="8" width="11.42578125" style="526" bestFit="1" customWidth="1"/>
    <col min="9" max="9" width="12.28515625" style="526" bestFit="1" customWidth="1"/>
    <col min="10" max="10" width="14.28515625" style="526" customWidth="1"/>
    <col min="11" max="11" width="12.42578125" style="526" bestFit="1" customWidth="1"/>
    <col min="12" max="12" width="15.85546875" style="526" bestFit="1" customWidth="1"/>
    <col min="13" max="13" width="14.28515625" style="526" customWidth="1"/>
    <col min="14" max="26" width="8.85546875" style="526"/>
    <col min="27" max="27" width="11.5703125" style="526" customWidth="1"/>
    <col min="28" max="16384" width="8.85546875" style="526"/>
  </cols>
  <sheetData>
    <row r="1" spans="1:12">
      <c r="A1" s="1660" t="str">
        <f>+'MISO Cover'!C6</f>
        <v>Entergy New Orleans, Inc.</v>
      </c>
      <c r="B1" s="1660"/>
      <c r="C1" s="1660"/>
      <c r="D1" s="1660"/>
      <c r="E1" s="1660"/>
      <c r="F1" s="1660"/>
      <c r="G1" s="1660"/>
      <c r="H1" s="1660"/>
      <c r="I1" s="1660"/>
      <c r="J1" s="1660"/>
      <c r="K1" s="1660"/>
      <c r="L1" s="1660"/>
    </row>
    <row r="2" spans="1:12">
      <c r="A2" s="1672" t="s">
        <v>987</v>
      </c>
      <c r="B2" s="1672"/>
      <c r="C2" s="1672"/>
      <c r="D2" s="1672"/>
      <c r="E2" s="1672"/>
      <c r="F2" s="1672"/>
      <c r="G2" s="1672"/>
      <c r="H2" s="1672"/>
      <c r="I2" s="1672"/>
      <c r="J2" s="1672"/>
      <c r="K2" s="1672"/>
      <c r="L2" s="1672"/>
    </row>
    <row r="3" spans="1:12">
      <c r="A3" s="1673" t="str">
        <f>+'MISO Cover'!K4</f>
        <v>For  the 12 Months Ended 12/31/2014</v>
      </c>
      <c r="B3" s="1673"/>
      <c r="C3" s="1673"/>
      <c r="D3" s="1673"/>
      <c r="E3" s="1673"/>
      <c r="F3" s="1673"/>
      <c r="G3" s="1673"/>
      <c r="H3" s="1673"/>
      <c r="I3" s="1673"/>
      <c r="J3" s="1673"/>
      <c r="K3" s="1673"/>
      <c r="L3" s="1673"/>
    </row>
    <row r="4" spans="1:12">
      <c r="A4" s="536"/>
      <c r="B4" s="536"/>
      <c r="C4" s="536"/>
      <c r="D4" s="536"/>
      <c r="E4" s="536"/>
    </row>
    <row r="5" spans="1:12" s="541" customFormat="1">
      <c r="A5" s="646" t="s">
        <v>525</v>
      </c>
      <c r="B5" s="629" t="s">
        <v>167</v>
      </c>
      <c r="C5" s="629" t="s">
        <v>215</v>
      </c>
      <c r="D5" s="646" t="s">
        <v>155</v>
      </c>
      <c r="E5" s="646" t="s">
        <v>168</v>
      </c>
      <c r="F5" s="646" t="s">
        <v>166</v>
      </c>
      <c r="G5" s="646" t="s">
        <v>257</v>
      </c>
      <c r="H5" s="646" t="s">
        <v>169</v>
      </c>
      <c r="I5" s="646" t="s">
        <v>270</v>
      </c>
      <c r="J5" s="646" t="s">
        <v>159</v>
      </c>
      <c r="K5" s="647" t="s">
        <v>160</v>
      </c>
      <c r="L5" s="647" t="s">
        <v>171</v>
      </c>
    </row>
    <row r="6" spans="1:12" s="541" customFormat="1" ht="15.6" customHeight="1">
      <c r="A6" s="726">
        <v>1</v>
      </c>
      <c r="B6" s="648" t="s">
        <v>1039</v>
      </c>
      <c r="C6" s="629"/>
      <c r="D6" s="646"/>
      <c r="E6" s="646"/>
      <c r="F6" s="629" t="s">
        <v>833</v>
      </c>
      <c r="G6" s="646"/>
      <c r="H6" s="646"/>
      <c r="I6" s="646"/>
      <c r="J6" s="646"/>
      <c r="K6" s="647"/>
      <c r="L6" s="714" t="s">
        <v>854</v>
      </c>
    </row>
    <row r="7" spans="1:12" s="542" customFormat="1" ht="30" customHeight="1">
      <c r="A7" s="726">
        <f>+A6+1</f>
        <v>2</v>
      </c>
      <c r="B7" s="526"/>
      <c r="C7" s="582" t="s">
        <v>709</v>
      </c>
      <c r="D7" s="582" t="s">
        <v>832</v>
      </c>
      <c r="E7" s="1500" t="s">
        <v>738</v>
      </c>
      <c r="F7" s="1500" t="s">
        <v>708</v>
      </c>
      <c r="G7" s="1500" t="s">
        <v>237</v>
      </c>
      <c r="H7" s="1500" t="s">
        <v>739</v>
      </c>
      <c r="I7" s="1500" t="s">
        <v>486</v>
      </c>
      <c r="J7" s="1500" t="s">
        <v>121</v>
      </c>
      <c r="K7" s="1500" t="s">
        <v>297</v>
      </c>
      <c r="L7" s="1500" t="s">
        <v>214</v>
      </c>
    </row>
    <row r="8" spans="1:12" s="538" customFormat="1">
      <c r="A8" s="726">
        <f>+A7+1</f>
        <v>3</v>
      </c>
      <c r="B8" s="533" t="s">
        <v>241</v>
      </c>
      <c r="C8" s="168" t="s">
        <v>821</v>
      </c>
      <c r="D8" s="168"/>
      <c r="E8" s="168"/>
      <c r="F8" s="168" t="s">
        <v>820</v>
      </c>
      <c r="G8" s="168" t="s">
        <v>822</v>
      </c>
      <c r="H8" s="168"/>
      <c r="I8" s="168"/>
      <c r="J8" s="168" t="s">
        <v>823</v>
      </c>
      <c r="K8" s="168" t="s">
        <v>824</v>
      </c>
      <c r="L8" s="534"/>
    </row>
    <row r="9" spans="1:12" s="534" customFormat="1">
      <c r="A9" s="726">
        <f t="shared" ref="A9:A20" si="0">+A8+1</f>
        <v>4</v>
      </c>
      <c r="B9" s="1396" t="s">
        <v>137</v>
      </c>
      <c r="C9" s="722">
        <v>80468142</v>
      </c>
      <c r="D9" s="722">
        <v>165007260</v>
      </c>
      <c r="E9" s="722">
        <v>142369</v>
      </c>
      <c r="F9" s="531">
        <f t="shared" ref="F9:F21" si="1">+D9+E9</f>
        <v>165149629</v>
      </c>
      <c r="G9" s="722">
        <v>89641046.480000019</v>
      </c>
      <c r="H9" s="722">
        <v>3547348</v>
      </c>
      <c r="I9" s="722">
        <v>0</v>
      </c>
      <c r="J9" s="722">
        <v>509248018</v>
      </c>
      <c r="K9" s="722">
        <v>44097391</v>
      </c>
      <c r="L9" s="535">
        <f>+C9+D9+G9+J9+K9</f>
        <v>888461857.48000002</v>
      </c>
    </row>
    <row r="10" spans="1:12">
      <c r="A10" s="726">
        <f t="shared" si="0"/>
        <v>5</v>
      </c>
      <c r="B10" s="1396" t="s">
        <v>127</v>
      </c>
      <c r="C10" s="722">
        <v>80530064</v>
      </c>
      <c r="D10" s="722">
        <v>165405646</v>
      </c>
      <c r="E10" s="722">
        <v>142369</v>
      </c>
      <c r="F10" s="531">
        <f t="shared" si="1"/>
        <v>165548015</v>
      </c>
      <c r="G10" s="722">
        <v>90233901.470000014</v>
      </c>
      <c r="H10" s="722">
        <v>3547348</v>
      </c>
      <c r="I10" s="722">
        <v>0</v>
      </c>
      <c r="J10" s="722">
        <v>510988847</v>
      </c>
      <c r="K10" s="722">
        <v>44114885</v>
      </c>
      <c r="L10" s="535">
        <f t="shared" ref="L10:L20" si="2">+C10+D10+G10+J10+K10</f>
        <v>891273343.47000003</v>
      </c>
    </row>
    <row r="11" spans="1:12">
      <c r="A11" s="726">
        <f t="shared" si="0"/>
        <v>6</v>
      </c>
      <c r="B11" s="1396" t="s">
        <v>128</v>
      </c>
      <c r="C11" s="722">
        <v>81447372</v>
      </c>
      <c r="D11" s="722">
        <v>165409378</v>
      </c>
      <c r="E11" s="722">
        <v>142369</v>
      </c>
      <c r="F11" s="531">
        <f t="shared" si="1"/>
        <v>165551747</v>
      </c>
      <c r="G11" s="722">
        <v>90356893.960000008</v>
      </c>
      <c r="H11" s="722">
        <v>3547348</v>
      </c>
      <c r="I11" s="722">
        <v>0</v>
      </c>
      <c r="J11" s="722">
        <v>513361677</v>
      </c>
      <c r="K11" s="722">
        <v>44123043</v>
      </c>
      <c r="L11" s="535">
        <f t="shared" si="2"/>
        <v>894698363.96000004</v>
      </c>
    </row>
    <row r="12" spans="1:12">
      <c r="A12" s="726">
        <f t="shared" si="0"/>
        <v>7</v>
      </c>
      <c r="B12" s="1396" t="s">
        <v>129</v>
      </c>
      <c r="C12" s="722">
        <v>81964467</v>
      </c>
      <c r="D12" s="722">
        <v>165410645</v>
      </c>
      <c r="E12" s="722">
        <v>142369</v>
      </c>
      <c r="F12" s="531">
        <f t="shared" si="1"/>
        <v>165553014</v>
      </c>
      <c r="G12" s="722">
        <v>93466961.980000004</v>
      </c>
      <c r="H12" s="722">
        <v>3547348</v>
      </c>
      <c r="I12" s="722">
        <v>0</v>
      </c>
      <c r="J12" s="722">
        <v>514300735</v>
      </c>
      <c r="K12" s="722">
        <v>44123312</v>
      </c>
      <c r="L12" s="535">
        <f t="shared" si="2"/>
        <v>899266120.98000002</v>
      </c>
    </row>
    <row r="13" spans="1:12">
      <c r="A13" s="726">
        <f t="shared" si="0"/>
        <v>8</v>
      </c>
      <c r="B13" s="1396" t="s">
        <v>130</v>
      </c>
      <c r="C13" s="722">
        <v>82752544</v>
      </c>
      <c r="D13" s="722">
        <v>165413479</v>
      </c>
      <c r="E13" s="722">
        <v>142369</v>
      </c>
      <c r="F13" s="531">
        <f t="shared" si="1"/>
        <v>165555848</v>
      </c>
      <c r="G13" s="722">
        <v>102490851.36</v>
      </c>
      <c r="H13" s="722">
        <v>3547348</v>
      </c>
      <c r="I13" s="722">
        <v>0</v>
      </c>
      <c r="J13" s="722">
        <v>522488828</v>
      </c>
      <c r="K13" s="722">
        <v>44150707</v>
      </c>
      <c r="L13" s="535">
        <f t="shared" si="2"/>
        <v>917296409.36000001</v>
      </c>
    </row>
    <row r="14" spans="1:12">
      <c r="A14" s="726">
        <f t="shared" si="0"/>
        <v>9</v>
      </c>
      <c r="B14" s="1396" t="s">
        <v>126</v>
      </c>
      <c r="C14" s="722">
        <v>82762772</v>
      </c>
      <c r="D14" s="722">
        <v>165616242</v>
      </c>
      <c r="E14" s="722">
        <v>142369</v>
      </c>
      <c r="F14" s="531">
        <f t="shared" si="1"/>
        <v>165758611</v>
      </c>
      <c r="G14" s="722">
        <v>102607861.67</v>
      </c>
      <c r="H14" s="722">
        <v>3547348</v>
      </c>
      <c r="I14" s="722">
        <v>0</v>
      </c>
      <c r="J14" s="722">
        <v>524267608</v>
      </c>
      <c r="K14" s="722">
        <v>44158319</v>
      </c>
      <c r="L14" s="535">
        <f t="shared" si="2"/>
        <v>919412802.67000008</v>
      </c>
    </row>
    <row r="15" spans="1:12">
      <c r="A15" s="726">
        <f t="shared" si="0"/>
        <v>10</v>
      </c>
      <c r="B15" s="1396" t="s">
        <v>131</v>
      </c>
      <c r="C15" s="722">
        <v>82811722</v>
      </c>
      <c r="D15" s="722">
        <v>165616242</v>
      </c>
      <c r="E15" s="722">
        <v>142369</v>
      </c>
      <c r="F15" s="531">
        <f t="shared" si="1"/>
        <v>165758611</v>
      </c>
      <c r="G15" s="722">
        <v>102610855.86</v>
      </c>
      <c r="H15" s="722">
        <v>3547348</v>
      </c>
      <c r="I15" s="722">
        <v>0</v>
      </c>
      <c r="J15" s="722">
        <v>526202333</v>
      </c>
      <c r="K15" s="722">
        <v>44228621</v>
      </c>
      <c r="L15" s="535">
        <f t="shared" si="2"/>
        <v>921469773.86000001</v>
      </c>
    </row>
    <row r="16" spans="1:12">
      <c r="A16" s="726">
        <f t="shared" si="0"/>
        <v>11</v>
      </c>
      <c r="B16" s="1396" t="s">
        <v>132</v>
      </c>
      <c r="C16" s="722">
        <v>82860026</v>
      </c>
      <c r="D16" s="722">
        <v>164211014</v>
      </c>
      <c r="E16" s="722">
        <v>142369</v>
      </c>
      <c r="F16" s="531">
        <f t="shared" si="1"/>
        <v>164353383</v>
      </c>
      <c r="G16" s="722">
        <v>102665056.44</v>
      </c>
      <c r="H16" s="722">
        <v>3547348</v>
      </c>
      <c r="I16" s="722">
        <v>0</v>
      </c>
      <c r="J16" s="722">
        <v>529209322</v>
      </c>
      <c r="K16" s="722">
        <v>44269275</v>
      </c>
      <c r="L16" s="535">
        <f t="shared" si="2"/>
        <v>923214693.44000006</v>
      </c>
    </row>
    <row r="17" spans="1:14">
      <c r="A17" s="726">
        <f t="shared" si="0"/>
        <v>12</v>
      </c>
      <c r="B17" s="1396" t="s">
        <v>133</v>
      </c>
      <c r="C17" s="722">
        <v>83105689</v>
      </c>
      <c r="D17" s="722">
        <v>164229306</v>
      </c>
      <c r="E17" s="722">
        <v>142369</v>
      </c>
      <c r="F17" s="531">
        <f t="shared" si="1"/>
        <v>164371675</v>
      </c>
      <c r="G17" s="722">
        <v>102686811.20999999</v>
      </c>
      <c r="H17" s="722">
        <v>3547348</v>
      </c>
      <c r="I17" s="722">
        <v>0</v>
      </c>
      <c r="J17" s="722">
        <v>530488717</v>
      </c>
      <c r="K17" s="722">
        <v>44456777</v>
      </c>
      <c r="L17" s="535">
        <f t="shared" si="2"/>
        <v>924967300.21000004</v>
      </c>
    </row>
    <row r="18" spans="1:14">
      <c r="A18" s="726">
        <f t="shared" si="0"/>
        <v>13</v>
      </c>
      <c r="B18" s="1396" t="s">
        <v>134</v>
      </c>
      <c r="C18" s="722">
        <v>83084302</v>
      </c>
      <c r="D18" s="722">
        <v>164229306</v>
      </c>
      <c r="E18" s="722">
        <v>142369</v>
      </c>
      <c r="F18" s="531">
        <f t="shared" si="1"/>
        <v>164371675</v>
      </c>
      <c r="G18" s="722">
        <v>100505083.55999999</v>
      </c>
      <c r="H18" s="722">
        <v>3547348</v>
      </c>
      <c r="I18" s="722">
        <v>0</v>
      </c>
      <c r="J18" s="722">
        <v>535605241</v>
      </c>
      <c r="K18" s="722">
        <v>44455057</v>
      </c>
      <c r="L18" s="535">
        <f t="shared" si="2"/>
        <v>927878989.55999994</v>
      </c>
    </row>
    <row r="19" spans="1:14">
      <c r="A19" s="726">
        <f t="shared" si="0"/>
        <v>14</v>
      </c>
      <c r="B19" s="1396" t="s">
        <v>135</v>
      </c>
      <c r="C19" s="722">
        <v>83099745</v>
      </c>
      <c r="D19" s="722">
        <v>164215781</v>
      </c>
      <c r="E19" s="722">
        <v>142369</v>
      </c>
      <c r="F19" s="531">
        <f t="shared" si="1"/>
        <v>164358150</v>
      </c>
      <c r="G19" s="722">
        <v>100747067.45999999</v>
      </c>
      <c r="H19" s="722">
        <v>3547348</v>
      </c>
      <c r="I19" s="722">
        <v>0</v>
      </c>
      <c r="J19" s="722">
        <v>536882073</v>
      </c>
      <c r="K19" s="722">
        <v>44484600</v>
      </c>
      <c r="L19" s="535">
        <f t="shared" si="2"/>
        <v>929429266.46000004</v>
      </c>
    </row>
    <row r="20" spans="1:14">
      <c r="A20" s="726">
        <f t="shared" si="0"/>
        <v>15</v>
      </c>
      <c r="B20" s="1396" t="s">
        <v>136</v>
      </c>
      <c r="C20" s="722">
        <v>83106911</v>
      </c>
      <c r="D20" s="722">
        <v>164215781</v>
      </c>
      <c r="E20" s="722">
        <v>142369</v>
      </c>
      <c r="F20" s="531">
        <f t="shared" si="1"/>
        <v>164358150</v>
      </c>
      <c r="G20" s="722">
        <v>103320762.72999999</v>
      </c>
      <c r="H20" s="722">
        <v>3547348</v>
      </c>
      <c r="I20" s="722">
        <v>0</v>
      </c>
      <c r="J20" s="722">
        <v>539315013</v>
      </c>
      <c r="K20" s="722">
        <v>44567837</v>
      </c>
      <c r="L20" s="535">
        <f t="shared" si="2"/>
        <v>934526304.73000002</v>
      </c>
    </row>
    <row r="21" spans="1:14">
      <c r="A21" s="726">
        <f t="shared" ref="A21:A28" si="3">+A20+1</f>
        <v>16</v>
      </c>
      <c r="B21" s="1396" t="s">
        <v>137</v>
      </c>
      <c r="C21" s="722">
        <v>83109111</v>
      </c>
      <c r="D21" s="722">
        <v>164277061</v>
      </c>
      <c r="E21" s="722">
        <v>142369</v>
      </c>
      <c r="F21" s="531">
        <f t="shared" si="1"/>
        <v>164419430</v>
      </c>
      <c r="G21" s="722">
        <v>104723800.50999999</v>
      </c>
      <c r="H21" s="722">
        <v>3547348</v>
      </c>
      <c r="I21" s="722">
        <v>0</v>
      </c>
      <c r="J21" s="722">
        <v>540222757</v>
      </c>
      <c r="K21" s="722">
        <v>43362689</v>
      </c>
      <c r="L21" s="535">
        <f>+C21+D21+G21+J21+K21</f>
        <v>935695418.50999999</v>
      </c>
    </row>
    <row r="22" spans="1:14">
      <c r="A22" s="726">
        <f t="shared" si="3"/>
        <v>17</v>
      </c>
      <c r="B22" s="539" t="s">
        <v>241</v>
      </c>
      <c r="C22" s="168" t="s">
        <v>788</v>
      </c>
      <c r="D22" s="168"/>
      <c r="E22" s="168"/>
      <c r="F22" s="168" t="s">
        <v>834</v>
      </c>
      <c r="G22" s="1436" t="s">
        <v>1405</v>
      </c>
      <c r="H22" s="1436"/>
      <c r="I22" s="168"/>
      <c r="J22" s="168" t="s">
        <v>826</v>
      </c>
      <c r="K22" s="168" t="s">
        <v>825</v>
      </c>
      <c r="L22" s="534"/>
    </row>
    <row r="23" spans="1:14" s="534" customFormat="1">
      <c r="A23" s="726">
        <f t="shared" si="3"/>
        <v>18</v>
      </c>
      <c r="B23" s="539" t="s">
        <v>710</v>
      </c>
      <c r="C23" s="1397">
        <f>SUM(C9:C21)/13</f>
        <v>82392528.230769232</v>
      </c>
      <c r="D23" s="1397">
        <f t="shared" ref="D23:L23" si="4">SUM(D9:D21)/13</f>
        <v>164865933.92307693</v>
      </c>
      <c r="E23" s="1397">
        <f t="shared" si="4"/>
        <v>142369</v>
      </c>
      <c r="F23" s="1397">
        <f t="shared" si="4"/>
        <v>165008302.92307693</v>
      </c>
      <c r="G23" s="1397">
        <f t="shared" si="4"/>
        <v>98927458.053076923</v>
      </c>
      <c r="H23" s="1397">
        <f t="shared" si="4"/>
        <v>3547348</v>
      </c>
      <c r="I23" s="1397">
        <f t="shared" si="4"/>
        <v>0</v>
      </c>
      <c r="J23" s="1397">
        <f t="shared" si="4"/>
        <v>525583166.84615386</v>
      </c>
      <c r="K23" s="1397">
        <f t="shared" si="4"/>
        <v>44199424.07692308</v>
      </c>
      <c r="L23" s="1397">
        <f t="shared" si="4"/>
        <v>915968511.13</v>
      </c>
      <c r="N23" s="526"/>
    </row>
    <row r="24" spans="1:14">
      <c r="A24" s="726">
        <f t="shared" si="3"/>
        <v>19</v>
      </c>
      <c r="B24" s="540"/>
      <c r="F24" s="526"/>
      <c r="G24" s="526"/>
    </row>
    <row r="25" spans="1:14">
      <c r="A25" s="726">
        <f t="shared" si="3"/>
        <v>20</v>
      </c>
      <c r="B25" s="540"/>
      <c r="F25" s="526"/>
      <c r="G25" s="526"/>
    </row>
    <row r="26" spans="1:14">
      <c r="A26" s="726">
        <f t="shared" si="3"/>
        <v>21</v>
      </c>
      <c r="B26" s="648" t="s">
        <v>985</v>
      </c>
      <c r="C26" s="649"/>
      <c r="D26" s="650"/>
      <c r="E26" s="650"/>
      <c r="F26" s="650"/>
      <c r="G26" s="650"/>
      <c r="H26" s="650"/>
      <c r="I26" s="650"/>
      <c r="J26" s="650"/>
      <c r="K26" s="542"/>
      <c r="L26" s="542"/>
    </row>
    <row r="27" spans="1:14" s="542" customFormat="1" ht="30" customHeight="1">
      <c r="A27" s="726">
        <f t="shared" si="3"/>
        <v>22</v>
      </c>
      <c r="B27" s="526"/>
      <c r="C27" s="582" t="s">
        <v>709</v>
      </c>
      <c r="D27" s="582" t="s">
        <v>832</v>
      </c>
      <c r="E27" s="1500" t="s">
        <v>738</v>
      </c>
      <c r="F27" s="1500" t="s">
        <v>708</v>
      </c>
      <c r="G27" s="1500" t="s">
        <v>237</v>
      </c>
      <c r="H27" s="1500" t="s">
        <v>739</v>
      </c>
      <c r="I27" s="1500" t="s">
        <v>486</v>
      </c>
      <c r="J27" s="1500" t="s">
        <v>121</v>
      </c>
      <c r="K27" s="1500" t="s">
        <v>297</v>
      </c>
      <c r="L27" s="1500" t="s">
        <v>214</v>
      </c>
      <c r="N27" s="526"/>
    </row>
    <row r="28" spans="1:14">
      <c r="A28" s="726">
        <f t="shared" si="3"/>
        <v>23</v>
      </c>
      <c r="B28" s="537" t="str">
        <f>+B9</f>
        <v>Dec</v>
      </c>
      <c r="C28" s="722">
        <v>60881277</v>
      </c>
      <c r="D28" s="722">
        <v>165371124</v>
      </c>
      <c r="E28" s="722">
        <v>122937</v>
      </c>
      <c r="F28" s="531">
        <f t="shared" ref="F28:F40" si="5">+D28+E28</f>
        <v>165494061</v>
      </c>
      <c r="G28" s="722">
        <v>58696526.739999995</v>
      </c>
      <c r="H28" s="722">
        <v>2882529</v>
      </c>
      <c r="I28" s="722">
        <v>0</v>
      </c>
      <c r="J28" s="722">
        <v>141131125</v>
      </c>
      <c r="K28" s="722">
        <v>-1184304</v>
      </c>
      <c r="L28" s="535">
        <f t="shared" ref="L28:L39" si="6">+C28+D28+G28+J28+K28</f>
        <v>424895748.74000001</v>
      </c>
      <c r="M28" s="256"/>
    </row>
    <row r="29" spans="1:14">
      <c r="A29" s="726">
        <f t="shared" ref="A29:A42" si="7">+A28+1</f>
        <v>24</v>
      </c>
      <c r="B29" s="537" t="str">
        <f t="shared" ref="B29:B40" si="8">+B10</f>
        <v>Jan</v>
      </c>
      <c r="C29" s="722">
        <v>61246252</v>
      </c>
      <c r="D29" s="722">
        <v>165776454</v>
      </c>
      <c r="E29" s="722">
        <v>124638</v>
      </c>
      <c r="F29" s="531">
        <f t="shared" si="5"/>
        <v>165901092</v>
      </c>
      <c r="G29" s="722">
        <v>58911037.450000003</v>
      </c>
      <c r="H29" s="722">
        <v>2885682</v>
      </c>
      <c r="I29" s="722">
        <v>0</v>
      </c>
      <c r="J29" s="722">
        <v>142091803</v>
      </c>
      <c r="K29" s="722">
        <v>-1043895</v>
      </c>
      <c r="L29" s="535">
        <f t="shared" si="6"/>
        <v>426981651.44999999</v>
      </c>
    </row>
    <row r="30" spans="1:14">
      <c r="A30" s="726">
        <f t="shared" si="7"/>
        <v>25</v>
      </c>
      <c r="B30" s="537" t="str">
        <f t="shared" si="8"/>
        <v>Feb</v>
      </c>
      <c r="C30" s="722">
        <v>61611945</v>
      </c>
      <c r="D30" s="722">
        <v>166213357</v>
      </c>
      <c r="E30" s="722">
        <v>126338</v>
      </c>
      <c r="F30" s="531">
        <f t="shared" si="5"/>
        <v>166339695</v>
      </c>
      <c r="G30" s="722">
        <v>59061033.899999999</v>
      </c>
      <c r="H30" s="722">
        <v>2888834</v>
      </c>
      <c r="I30" s="722">
        <v>0</v>
      </c>
      <c r="J30" s="722">
        <v>143098573</v>
      </c>
      <c r="K30" s="722">
        <v>-903144</v>
      </c>
      <c r="L30" s="535">
        <f t="shared" si="6"/>
        <v>429081764.89999998</v>
      </c>
    </row>
    <row r="31" spans="1:14">
      <c r="A31" s="726">
        <f t="shared" si="7"/>
        <v>26</v>
      </c>
      <c r="B31" s="537" t="str">
        <f t="shared" si="8"/>
        <v>Mar</v>
      </c>
      <c r="C31" s="722">
        <v>61994784</v>
      </c>
      <c r="D31" s="722">
        <v>166612484</v>
      </c>
      <c r="E31" s="722">
        <v>128039</v>
      </c>
      <c r="F31" s="531">
        <f t="shared" si="5"/>
        <v>166740523</v>
      </c>
      <c r="G31" s="722">
        <v>59298099.539999999</v>
      </c>
      <c r="H31" s="722">
        <v>2891986</v>
      </c>
      <c r="I31" s="722">
        <v>0</v>
      </c>
      <c r="J31" s="722">
        <v>144194723</v>
      </c>
      <c r="K31" s="722">
        <v>-762943</v>
      </c>
      <c r="L31" s="535">
        <f t="shared" si="6"/>
        <v>431337147.54000002</v>
      </c>
    </row>
    <row r="32" spans="1:14">
      <c r="A32" s="726">
        <f t="shared" si="7"/>
        <v>27</v>
      </c>
      <c r="B32" s="537" t="str">
        <f t="shared" si="8"/>
        <v>Apr</v>
      </c>
      <c r="C32" s="722">
        <v>62358212</v>
      </c>
      <c r="D32" s="722">
        <v>166996380</v>
      </c>
      <c r="E32" s="722">
        <v>129740</v>
      </c>
      <c r="F32" s="531">
        <f t="shared" si="5"/>
        <v>167126120</v>
      </c>
      <c r="G32" s="722">
        <v>59310880.270000003</v>
      </c>
      <c r="H32" s="722">
        <v>2895138</v>
      </c>
      <c r="I32" s="722">
        <v>0</v>
      </c>
      <c r="J32" s="722">
        <v>145119287</v>
      </c>
      <c r="K32" s="722">
        <v>-642459</v>
      </c>
      <c r="L32" s="535">
        <f t="shared" si="6"/>
        <v>433142300.26999998</v>
      </c>
    </row>
    <row r="33" spans="1:15">
      <c r="A33" s="726">
        <f t="shared" si="7"/>
        <v>28</v>
      </c>
      <c r="B33" s="537" t="str">
        <f t="shared" si="8"/>
        <v>May</v>
      </c>
      <c r="C33" s="722">
        <v>62720118</v>
      </c>
      <c r="D33" s="722">
        <v>167359576</v>
      </c>
      <c r="E33" s="722">
        <v>131440</v>
      </c>
      <c r="F33" s="531">
        <f t="shared" si="5"/>
        <v>167491016</v>
      </c>
      <c r="G33" s="722">
        <v>59608373.160000004</v>
      </c>
      <c r="H33" s="722">
        <v>2898290</v>
      </c>
      <c r="I33" s="722">
        <v>0</v>
      </c>
      <c r="J33" s="722">
        <v>146399775</v>
      </c>
      <c r="K33" s="722">
        <v>-501859</v>
      </c>
      <c r="L33" s="535">
        <f t="shared" si="6"/>
        <v>435585983.16000003</v>
      </c>
    </row>
    <row r="34" spans="1:15">
      <c r="A34" s="726">
        <f t="shared" si="7"/>
        <v>29</v>
      </c>
      <c r="B34" s="537" t="str">
        <f t="shared" si="8"/>
        <v>Jun</v>
      </c>
      <c r="C34" s="722">
        <v>63078641</v>
      </c>
      <c r="D34" s="722">
        <v>167793107</v>
      </c>
      <c r="E34" s="722">
        <v>133141</v>
      </c>
      <c r="F34" s="531">
        <f t="shared" si="5"/>
        <v>167926248</v>
      </c>
      <c r="G34" s="722">
        <v>59855097.509999998</v>
      </c>
      <c r="H34" s="722">
        <v>2901443</v>
      </c>
      <c r="I34" s="722">
        <v>0</v>
      </c>
      <c r="J34" s="722">
        <v>147761209</v>
      </c>
      <c r="K34" s="722">
        <v>-362262</v>
      </c>
      <c r="L34" s="535">
        <f t="shared" si="6"/>
        <v>438125792.50999999</v>
      </c>
    </row>
    <row r="35" spans="1:15">
      <c r="A35" s="726">
        <f t="shared" si="7"/>
        <v>30</v>
      </c>
      <c r="B35" s="537" t="str">
        <f t="shared" si="8"/>
        <v>Jul</v>
      </c>
      <c r="C35" s="722">
        <v>63435941</v>
      </c>
      <c r="D35" s="722">
        <v>166751747</v>
      </c>
      <c r="E35" s="722">
        <v>134841</v>
      </c>
      <c r="F35" s="531">
        <f t="shared" si="5"/>
        <v>166886588</v>
      </c>
      <c r="G35" s="722">
        <v>60091896.289999999</v>
      </c>
      <c r="H35" s="722">
        <v>2904595</v>
      </c>
      <c r="I35" s="722">
        <v>0</v>
      </c>
      <c r="J35" s="722">
        <v>148932967</v>
      </c>
      <c r="K35" s="722">
        <v>-219568</v>
      </c>
      <c r="L35" s="535">
        <f t="shared" si="6"/>
        <v>438992983.29000002</v>
      </c>
    </row>
    <row r="36" spans="1:15">
      <c r="A36" s="726">
        <f t="shared" si="7"/>
        <v>31</v>
      </c>
      <c r="B36" s="537" t="str">
        <f t="shared" si="8"/>
        <v>Aug</v>
      </c>
      <c r="C36" s="722">
        <v>63793311</v>
      </c>
      <c r="D36" s="722">
        <v>167169885</v>
      </c>
      <c r="E36" s="722">
        <v>136542</v>
      </c>
      <c r="F36" s="531">
        <f t="shared" si="5"/>
        <v>167306427</v>
      </c>
      <c r="G36" s="722">
        <v>60333868.890000001</v>
      </c>
      <c r="H36" s="722">
        <v>2907747</v>
      </c>
      <c r="I36" s="722">
        <v>0</v>
      </c>
      <c r="J36" s="722">
        <v>150110244</v>
      </c>
      <c r="K36" s="722">
        <v>-141871</v>
      </c>
      <c r="L36" s="535">
        <f t="shared" si="6"/>
        <v>441265437.88999999</v>
      </c>
    </row>
    <row r="37" spans="1:15">
      <c r="A37" s="726">
        <f t="shared" si="7"/>
        <v>32</v>
      </c>
      <c r="B37" s="537" t="str">
        <f t="shared" si="8"/>
        <v>Sep</v>
      </c>
      <c r="C37" s="722">
        <v>64154051</v>
      </c>
      <c r="D37" s="722">
        <v>167575498</v>
      </c>
      <c r="E37" s="722">
        <v>138243</v>
      </c>
      <c r="F37" s="531">
        <f t="shared" si="5"/>
        <v>167713741</v>
      </c>
      <c r="G37" s="722">
        <v>60528800.890000008</v>
      </c>
      <c r="H37" s="722">
        <v>2910899</v>
      </c>
      <c r="I37" s="722">
        <v>0</v>
      </c>
      <c r="J37" s="722">
        <v>151159776</v>
      </c>
      <c r="K37" s="722">
        <v>-13156</v>
      </c>
      <c r="L37" s="535">
        <f t="shared" si="6"/>
        <v>443404969.88999999</v>
      </c>
    </row>
    <row r="38" spans="1:15">
      <c r="A38" s="726">
        <f t="shared" si="7"/>
        <v>33</v>
      </c>
      <c r="B38" s="537" t="str">
        <f t="shared" si="8"/>
        <v>Oct</v>
      </c>
      <c r="C38" s="722">
        <v>64514857</v>
      </c>
      <c r="D38" s="722">
        <v>167974730</v>
      </c>
      <c r="E38" s="722">
        <v>139943</v>
      </c>
      <c r="F38" s="531">
        <f t="shared" si="5"/>
        <v>168114673</v>
      </c>
      <c r="G38" s="722">
        <v>60708357.100000001</v>
      </c>
      <c r="H38" s="722">
        <v>2914051</v>
      </c>
      <c r="I38" s="722">
        <v>0</v>
      </c>
      <c r="J38" s="722">
        <v>152538863</v>
      </c>
      <c r="K38" s="722">
        <v>74755</v>
      </c>
      <c r="L38" s="535">
        <f t="shared" si="6"/>
        <v>445811562.10000002</v>
      </c>
    </row>
    <row r="39" spans="1:15">
      <c r="A39" s="726">
        <f t="shared" si="7"/>
        <v>34</v>
      </c>
      <c r="B39" s="537" t="str">
        <f t="shared" si="8"/>
        <v>Nov</v>
      </c>
      <c r="C39" s="722">
        <v>64872972</v>
      </c>
      <c r="D39" s="722">
        <v>168406463</v>
      </c>
      <c r="E39" s="722">
        <v>141644</v>
      </c>
      <c r="F39" s="531">
        <f t="shared" si="5"/>
        <v>168548107</v>
      </c>
      <c r="G39" s="722">
        <v>60908020.539999999</v>
      </c>
      <c r="H39" s="722">
        <v>2917204</v>
      </c>
      <c r="I39" s="722">
        <v>0</v>
      </c>
      <c r="J39" s="722">
        <v>153795267</v>
      </c>
      <c r="K39" s="722">
        <v>218296</v>
      </c>
      <c r="L39" s="535">
        <f t="shared" si="6"/>
        <v>448201018.54000002</v>
      </c>
      <c r="M39" s="885"/>
    </row>
    <row r="40" spans="1:15">
      <c r="A40" s="726">
        <f t="shared" si="7"/>
        <v>35</v>
      </c>
      <c r="B40" s="537" t="str">
        <f t="shared" si="8"/>
        <v>Dec</v>
      </c>
      <c r="C40" s="722">
        <v>65228437</v>
      </c>
      <c r="D40" s="722">
        <v>168809816</v>
      </c>
      <c r="E40" s="722">
        <v>143344</v>
      </c>
      <c r="F40" s="531">
        <f t="shared" si="5"/>
        <v>168953160</v>
      </c>
      <c r="G40" s="722">
        <v>61099144.329999998</v>
      </c>
      <c r="H40" s="722">
        <v>2920356</v>
      </c>
      <c r="I40" s="722">
        <v>0</v>
      </c>
      <c r="J40" s="722">
        <v>154756044</v>
      </c>
      <c r="K40" s="722">
        <v>-1235165</v>
      </c>
      <c r="L40" s="532">
        <f>+C40+D40+G40+J40+K40</f>
        <v>448658276.32999998</v>
      </c>
      <c r="M40" s="950"/>
      <c r="O40" s="827"/>
    </row>
    <row r="41" spans="1:15" s="534" customFormat="1">
      <c r="A41" s="726">
        <f t="shared" si="7"/>
        <v>36</v>
      </c>
      <c r="B41" s="539" t="s">
        <v>241</v>
      </c>
      <c r="C41" s="168" t="s">
        <v>827</v>
      </c>
      <c r="D41" s="168"/>
      <c r="E41" s="168"/>
      <c r="F41" s="168" t="s">
        <v>835</v>
      </c>
      <c r="G41" s="1436" t="s">
        <v>1404</v>
      </c>
      <c r="H41" s="1436"/>
      <c r="I41" s="651"/>
      <c r="J41" s="168" t="s">
        <v>828</v>
      </c>
      <c r="K41" s="168" t="s">
        <v>829</v>
      </c>
      <c r="M41" s="950"/>
      <c r="N41" s="526"/>
      <c r="O41" s="951"/>
    </row>
    <row r="42" spans="1:15">
      <c r="A42" s="726">
        <f t="shared" si="7"/>
        <v>37</v>
      </c>
      <c r="B42" s="539" t="s">
        <v>710</v>
      </c>
      <c r="C42" s="1397">
        <f>SUM(C28:C40)/13</f>
        <v>63068522.92307692</v>
      </c>
      <c r="D42" s="1397">
        <f t="shared" ref="D42:L42" si="9">SUM(D28:D40)/13</f>
        <v>167139278.53846154</v>
      </c>
      <c r="E42" s="1397">
        <f t="shared" si="9"/>
        <v>133140.76923076922</v>
      </c>
      <c r="F42" s="1397">
        <f t="shared" si="9"/>
        <v>167272419.30769232</v>
      </c>
      <c r="G42" s="1397">
        <f t="shared" si="9"/>
        <v>59877779.739230767</v>
      </c>
      <c r="H42" s="1397">
        <f t="shared" si="9"/>
        <v>2901442.6153846155</v>
      </c>
      <c r="I42" s="1397">
        <f t="shared" si="9"/>
        <v>0</v>
      </c>
      <c r="J42" s="1397">
        <f t="shared" si="9"/>
        <v>147776127.38461539</v>
      </c>
      <c r="K42" s="1397">
        <f t="shared" si="9"/>
        <v>-516736.53846153844</v>
      </c>
      <c r="L42" s="1397">
        <f t="shared" si="9"/>
        <v>437344972.04692304</v>
      </c>
      <c r="M42" s="950"/>
      <c r="O42" s="534"/>
    </row>
    <row r="43" spans="1:15">
      <c r="A43" s="727"/>
      <c r="D43" s="530"/>
      <c r="E43" s="530"/>
      <c r="M43" s="952"/>
      <c r="O43" s="827"/>
    </row>
    <row r="44" spans="1:15">
      <c r="A44" s="526" t="s">
        <v>592</v>
      </c>
      <c r="D44" s="531"/>
      <c r="E44" s="531"/>
      <c r="M44" s="535"/>
    </row>
    <row r="45" spans="1:15" ht="26.45" customHeight="1">
      <c r="A45" s="994" t="s">
        <v>271</v>
      </c>
      <c r="B45" s="1671" t="s">
        <v>830</v>
      </c>
      <c r="C45" s="1671"/>
      <c r="D45" s="1671"/>
      <c r="E45" s="1671"/>
      <c r="F45" s="1671"/>
      <c r="G45" s="1671"/>
      <c r="H45" s="1671"/>
      <c r="I45" s="1671"/>
      <c r="J45" s="1671"/>
      <c r="K45" s="1671"/>
      <c r="L45" s="1671"/>
    </row>
    <row r="46" spans="1:15">
      <c r="D46" s="531"/>
      <c r="E46" s="531"/>
    </row>
    <row r="47" spans="1:15">
      <c r="E47" s="531"/>
    </row>
    <row r="48" spans="1:15">
      <c r="E48" s="531"/>
    </row>
    <row r="49" spans="4:5">
      <c r="E49" s="530"/>
    </row>
    <row r="50" spans="4:5">
      <c r="E50" s="530"/>
    </row>
    <row r="51" spans="4:5">
      <c r="D51" s="530"/>
      <c r="E51" s="530"/>
    </row>
    <row r="52" spans="4:5">
      <c r="D52" s="530"/>
      <c r="E52" s="530"/>
    </row>
  </sheetData>
  <mergeCells count="4">
    <mergeCell ref="B45:L45"/>
    <mergeCell ref="A2:L2"/>
    <mergeCell ref="A1:L1"/>
    <mergeCell ref="A3:L3"/>
  </mergeCells>
  <printOptions horizontalCentered="1"/>
  <pageMargins left="0.7" right="0.7" top="0.7" bottom="0.7" header="0.3" footer="0.5"/>
  <pageSetup scale="80" orientation="landscape" r:id="rId1"/>
  <headerFooter>
    <oddFooter>&amp;CPage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activeCell="D40" sqref="D40"/>
    </sheetView>
  </sheetViews>
  <sheetFormatPr defaultColWidth="9.140625" defaultRowHeight="12.75"/>
  <cols>
    <col min="1" max="1" width="5.7109375" style="231" customWidth="1"/>
    <col min="2" max="2" width="9.85546875" style="231" customWidth="1"/>
    <col min="3" max="3" width="20.5703125" style="66" customWidth="1"/>
    <col min="4" max="4" width="20.140625" style="66" customWidth="1"/>
    <col min="5" max="5" width="13" style="66" bestFit="1" customWidth="1"/>
    <col min="6" max="16384" width="9.140625" style="66"/>
  </cols>
  <sheetData>
    <row r="1" spans="1:7" s="786" customFormat="1">
      <c r="A1" s="1674" t="str">
        <f>+'MISO Cover'!C6</f>
        <v>Entergy New Orleans, Inc.</v>
      </c>
      <c r="B1" s="1674"/>
      <c r="C1" s="1674"/>
      <c r="D1" s="1674"/>
      <c r="E1" s="615"/>
      <c r="F1" s="615"/>
      <c r="G1" s="615"/>
    </row>
    <row r="2" spans="1:7">
      <c r="A2" s="1672" t="s">
        <v>961</v>
      </c>
      <c r="B2" s="1672"/>
      <c r="C2" s="1672"/>
      <c r="D2" s="1672"/>
    </row>
    <row r="3" spans="1:7" s="175" customFormat="1">
      <c r="A3" s="1675" t="str">
        <f>+'MISO Cover'!K4</f>
        <v>For  the 12 Months Ended 12/31/2014</v>
      </c>
      <c r="B3" s="1675"/>
      <c r="C3" s="1675"/>
      <c r="D3" s="1675"/>
      <c r="E3" s="213"/>
      <c r="F3" s="213"/>
      <c r="G3" s="213"/>
    </row>
    <row r="4" spans="1:7" s="175" customFormat="1">
      <c r="A4" s="774"/>
      <c r="B4" s="774"/>
      <c r="C4" s="774"/>
      <c r="D4" s="774"/>
      <c r="E4" s="213"/>
      <c r="F4" s="213"/>
      <c r="G4" s="213"/>
    </row>
    <row r="5" spans="1:7" ht="15" customHeight="1">
      <c r="A5" s="614"/>
      <c r="B5" s="614"/>
      <c r="C5" s="614"/>
      <c r="D5" s="614"/>
    </row>
    <row r="6" spans="1:7">
      <c r="A6" s="231" t="s">
        <v>525</v>
      </c>
      <c r="B6" s="231" t="s">
        <v>167</v>
      </c>
      <c r="C6" s="231" t="s">
        <v>215</v>
      </c>
      <c r="D6" s="233" t="s">
        <v>155</v>
      </c>
    </row>
    <row r="7" spans="1:7" ht="28.15" customHeight="1">
      <c r="A7" s="231">
        <v>1</v>
      </c>
      <c r="B7" s="66" t="s">
        <v>750</v>
      </c>
      <c r="C7" s="550" t="s">
        <v>1157</v>
      </c>
      <c r="D7" s="231" t="s">
        <v>513</v>
      </c>
    </row>
    <row r="8" spans="1:7">
      <c r="A8" s="231">
        <f>+A7+1</f>
        <v>2</v>
      </c>
      <c r="B8" s="232"/>
      <c r="C8" s="200"/>
      <c r="D8" s="234"/>
    </row>
    <row r="9" spans="1:7">
      <c r="A9" s="231">
        <f t="shared" ref="A9:A22" si="0">+A8+1</f>
        <v>3</v>
      </c>
      <c r="B9" s="66" t="s">
        <v>127</v>
      </c>
      <c r="C9" s="721">
        <v>-94550.77</v>
      </c>
      <c r="D9" s="234">
        <f>+C9</f>
        <v>-94550.77</v>
      </c>
      <c r="F9" s="720"/>
    </row>
    <row r="10" spans="1:7">
      <c r="A10" s="231">
        <f t="shared" si="0"/>
        <v>4</v>
      </c>
      <c r="B10" s="66" t="s">
        <v>128</v>
      </c>
      <c r="C10" s="721">
        <v>-3270.01</v>
      </c>
      <c r="D10" s="234">
        <f>+D9+C10</f>
        <v>-97820.78</v>
      </c>
    </row>
    <row r="11" spans="1:7">
      <c r="A11" s="231">
        <f t="shared" si="0"/>
        <v>5</v>
      </c>
      <c r="B11" s="66" t="s">
        <v>129</v>
      </c>
      <c r="C11" s="721">
        <v>341945.72999999992</v>
      </c>
      <c r="D11" s="234">
        <f t="shared" ref="D11:D20" si="1">+D10+C11</f>
        <v>244124.94999999992</v>
      </c>
    </row>
    <row r="12" spans="1:7">
      <c r="A12" s="231">
        <f t="shared" si="0"/>
        <v>6</v>
      </c>
      <c r="B12" s="66" t="s">
        <v>130</v>
      </c>
      <c r="C12" s="721">
        <v>-186394.38999999998</v>
      </c>
      <c r="D12" s="234">
        <f t="shared" si="1"/>
        <v>57730.559999999939</v>
      </c>
    </row>
    <row r="13" spans="1:7">
      <c r="A13" s="231">
        <f t="shared" si="0"/>
        <v>7</v>
      </c>
      <c r="B13" s="66" t="s">
        <v>126</v>
      </c>
      <c r="C13" s="721">
        <v>123787.67000000001</v>
      </c>
      <c r="D13" s="234">
        <f t="shared" si="1"/>
        <v>181518.22999999995</v>
      </c>
    </row>
    <row r="14" spans="1:7">
      <c r="A14" s="231">
        <f t="shared" si="0"/>
        <v>8</v>
      </c>
      <c r="B14" s="66" t="s">
        <v>131</v>
      </c>
      <c r="C14" s="721">
        <v>742406</v>
      </c>
      <c r="D14" s="234">
        <f t="shared" si="1"/>
        <v>923924.23</v>
      </c>
    </row>
    <row r="15" spans="1:7">
      <c r="A15" s="231">
        <f t="shared" si="0"/>
        <v>9</v>
      </c>
      <c r="B15" s="66" t="s">
        <v>132</v>
      </c>
      <c r="C15" s="721">
        <v>742406</v>
      </c>
      <c r="D15" s="234">
        <f t="shared" si="1"/>
        <v>1666330.23</v>
      </c>
    </row>
    <row r="16" spans="1:7">
      <c r="A16" s="231">
        <f t="shared" si="0"/>
        <v>10</v>
      </c>
      <c r="B16" s="66" t="s">
        <v>133</v>
      </c>
      <c r="C16" s="721">
        <v>742406</v>
      </c>
      <c r="D16" s="234">
        <f t="shared" si="1"/>
        <v>2408736.23</v>
      </c>
    </row>
    <row r="17" spans="1:4">
      <c r="A17" s="231">
        <f t="shared" si="0"/>
        <v>11</v>
      </c>
      <c r="B17" s="66" t="s">
        <v>134</v>
      </c>
      <c r="C17" s="721">
        <v>742406</v>
      </c>
      <c r="D17" s="234">
        <f t="shared" si="1"/>
        <v>3151142.23</v>
      </c>
    </row>
    <row r="18" spans="1:4">
      <c r="A18" s="231">
        <f t="shared" si="0"/>
        <v>12</v>
      </c>
      <c r="B18" s="66" t="s">
        <v>135</v>
      </c>
      <c r="C18" s="721">
        <v>742406</v>
      </c>
      <c r="D18" s="234">
        <f t="shared" si="1"/>
        <v>3893548.23</v>
      </c>
    </row>
    <row r="19" spans="1:4">
      <c r="A19" s="231">
        <f t="shared" si="0"/>
        <v>13</v>
      </c>
      <c r="B19" s="66" t="s">
        <v>136</v>
      </c>
      <c r="C19" s="721">
        <v>742406</v>
      </c>
      <c r="D19" s="234">
        <f t="shared" si="1"/>
        <v>4635954.2300000004</v>
      </c>
    </row>
    <row r="20" spans="1:4">
      <c r="A20" s="231">
        <f t="shared" si="0"/>
        <v>14</v>
      </c>
      <c r="B20" s="66" t="s">
        <v>137</v>
      </c>
      <c r="C20" s="886">
        <v>742406</v>
      </c>
      <c r="D20" s="887">
        <f t="shared" si="1"/>
        <v>5378360.2300000004</v>
      </c>
    </row>
    <row r="21" spans="1:4">
      <c r="A21" s="231">
        <f t="shared" si="0"/>
        <v>15</v>
      </c>
      <c r="B21" s="66" t="s">
        <v>214</v>
      </c>
      <c r="C21" s="167">
        <f>SUM(C9:C20)</f>
        <v>5378360.2300000004</v>
      </c>
    </row>
    <row r="22" spans="1:4">
      <c r="A22" s="231">
        <f t="shared" si="0"/>
        <v>16</v>
      </c>
      <c r="B22" s="66" t="s">
        <v>771</v>
      </c>
      <c r="C22" s="235"/>
      <c r="D22" s="234">
        <f>+SUM(D9:D20)/12</f>
        <v>1862416.4833333334</v>
      </c>
    </row>
    <row r="23" spans="1:4" ht="13.5" customHeight="1">
      <c r="B23" s="66"/>
      <c r="C23" s="81"/>
      <c r="D23" s="232"/>
    </row>
    <row r="24" spans="1:4" s="268" customFormat="1">
      <c r="A24" s="166" t="s">
        <v>592</v>
      </c>
      <c r="C24" s="189"/>
    </row>
    <row r="25" spans="1:4" s="268" customFormat="1" ht="27.6" customHeight="1">
      <c r="A25" s="1664" t="s">
        <v>855</v>
      </c>
      <c r="B25" s="1664"/>
      <c r="C25" s="1664"/>
      <c r="D25" s="1664"/>
    </row>
    <row r="26" spans="1:4" s="268" customFormat="1" ht="40.9" customHeight="1">
      <c r="A26" s="1657" t="s">
        <v>1153</v>
      </c>
      <c r="B26" s="1657"/>
      <c r="C26" s="1657"/>
      <c r="D26" s="1657"/>
    </row>
    <row r="27" spans="1:4" s="268" customFormat="1">
      <c r="A27" s="224"/>
      <c r="B27" s="224"/>
      <c r="D27" s="189"/>
    </row>
    <row r="28" spans="1:4" s="268" customFormat="1">
      <c r="A28" s="224"/>
      <c r="B28" s="224"/>
      <c r="D28" s="189"/>
    </row>
    <row r="29" spans="1:4" s="268" customFormat="1">
      <c r="A29" s="224"/>
      <c r="B29" s="224"/>
      <c r="D29" s="189"/>
    </row>
    <row r="30" spans="1:4" s="268" customFormat="1">
      <c r="A30" s="224"/>
      <c r="B30" s="224"/>
      <c r="D30" s="189"/>
    </row>
    <row r="31" spans="1:4" s="268" customFormat="1">
      <c r="A31" s="224"/>
      <c r="B31" s="224"/>
      <c r="D31" s="189"/>
    </row>
    <row r="32" spans="1:4" s="268" customFormat="1">
      <c r="A32" s="224"/>
      <c r="B32" s="224"/>
      <c r="D32" s="189"/>
    </row>
    <row r="33" spans="1:4" s="268" customFormat="1">
      <c r="A33" s="224"/>
      <c r="B33" s="224"/>
      <c r="D33" s="189"/>
    </row>
    <row r="34" spans="1:4" s="268" customFormat="1">
      <c r="A34" s="224"/>
      <c r="B34" s="224"/>
      <c r="D34" s="189"/>
    </row>
    <row r="35" spans="1:4" s="268" customFormat="1">
      <c r="A35" s="224"/>
      <c r="B35" s="224"/>
      <c r="D35" s="189"/>
    </row>
    <row r="36" spans="1:4" s="268" customFormat="1">
      <c r="A36" s="224"/>
      <c r="B36" s="224"/>
      <c r="D36" s="189"/>
    </row>
    <row r="37" spans="1:4" s="268" customFormat="1">
      <c r="A37" s="224"/>
      <c r="B37" s="224"/>
      <c r="D37" s="189"/>
    </row>
    <row r="38" spans="1:4" s="268" customFormat="1">
      <c r="A38" s="224"/>
      <c r="B38" s="224"/>
      <c r="D38" s="189"/>
    </row>
    <row r="39" spans="1:4" s="268" customFormat="1">
      <c r="A39" s="224"/>
      <c r="B39" s="224"/>
      <c r="D39" s="189"/>
    </row>
    <row r="40" spans="1:4" s="268" customFormat="1">
      <c r="A40" s="224"/>
      <c r="B40" s="224"/>
      <c r="D40" s="189"/>
    </row>
    <row r="41" spans="1:4" s="268" customFormat="1">
      <c r="A41" s="224"/>
      <c r="B41" s="224"/>
      <c r="D41" s="189"/>
    </row>
    <row r="42" spans="1:4" s="268" customFormat="1">
      <c r="A42" s="224"/>
      <c r="B42" s="224"/>
      <c r="D42" s="189"/>
    </row>
    <row r="43" spans="1:4" s="268" customFormat="1">
      <c r="A43" s="224"/>
      <c r="B43" s="224"/>
      <c r="D43" s="186"/>
    </row>
    <row r="44" spans="1:4" s="268" customFormat="1">
      <c r="A44" s="224"/>
      <c r="B44" s="224"/>
      <c r="D44" s="186"/>
    </row>
    <row r="45" spans="1:4" s="268" customFormat="1">
      <c r="A45" s="224"/>
      <c r="B45" s="224"/>
      <c r="D45" s="186"/>
    </row>
    <row r="46" spans="1:4" s="268" customFormat="1">
      <c r="A46" s="224"/>
      <c r="B46" s="224"/>
      <c r="D46" s="186"/>
    </row>
    <row r="47" spans="1:4" s="268" customFormat="1">
      <c r="A47" s="224"/>
      <c r="B47" s="224"/>
      <c r="D47" s="186"/>
    </row>
    <row r="48" spans="1:4" s="268" customFormat="1">
      <c r="A48" s="224"/>
      <c r="B48" s="224"/>
      <c r="D48" s="186"/>
    </row>
    <row r="49" spans="1:3" s="268" customFormat="1">
      <c r="A49" s="224"/>
      <c r="B49" s="224"/>
    </row>
    <row r="50" spans="1:3" s="268" customFormat="1">
      <c r="A50" s="224"/>
      <c r="B50" s="224"/>
    </row>
    <row r="51" spans="1:3" s="268" customFormat="1">
      <c r="A51" s="224"/>
      <c r="B51" s="224"/>
    </row>
    <row r="52" spans="1:3" s="268" customFormat="1">
      <c r="A52" s="224"/>
      <c r="B52" s="224"/>
      <c r="C52" s="224"/>
    </row>
    <row r="53" spans="1:3" s="268" customFormat="1">
      <c r="A53" s="224"/>
      <c r="B53" s="224"/>
    </row>
    <row r="54" spans="1:3" s="268" customFormat="1">
      <c r="A54" s="224"/>
      <c r="B54" s="224"/>
    </row>
    <row r="55" spans="1:3" s="268" customFormat="1">
      <c r="A55" s="224"/>
      <c r="B55" s="224"/>
    </row>
    <row r="56" spans="1:3" s="268" customFormat="1">
      <c r="A56" s="224"/>
      <c r="B56" s="224"/>
    </row>
    <row r="57" spans="1:3" s="268" customFormat="1">
      <c r="A57" s="224"/>
      <c r="B57" s="224"/>
    </row>
    <row r="58" spans="1:3" s="268" customFormat="1">
      <c r="A58" s="224"/>
      <c r="B58" s="224"/>
      <c r="C58" s="233"/>
    </row>
    <row r="59" spans="1:3" s="268" customFormat="1">
      <c r="A59" s="224"/>
      <c r="B59" s="224"/>
      <c r="C59" s="224"/>
    </row>
    <row r="60" spans="1:3" s="268" customFormat="1">
      <c r="A60" s="224"/>
      <c r="B60" s="224"/>
      <c r="C60" s="224"/>
    </row>
    <row r="61" spans="1:3" s="268" customFormat="1">
      <c r="A61" s="224"/>
      <c r="B61" s="224"/>
      <c r="C61" s="224"/>
    </row>
    <row r="62" spans="1:3" s="268" customFormat="1">
      <c r="A62" s="224"/>
      <c r="B62" s="224"/>
      <c r="C62" s="238"/>
    </row>
    <row r="63" spans="1:3" s="268" customFormat="1">
      <c r="A63" s="224"/>
      <c r="B63" s="224"/>
      <c r="C63" s="237"/>
    </row>
    <row r="64" spans="1:3" s="268" customFormat="1">
      <c r="A64" s="224"/>
      <c r="B64" s="224"/>
      <c r="C64" s="237"/>
    </row>
    <row r="65" spans="1:4" s="268" customFormat="1">
      <c r="A65" s="224"/>
      <c r="B65" s="224"/>
      <c r="C65" s="237"/>
    </row>
    <row r="66" spans="1:4" s="268" customFormat="1">
      <c r="A66" s="224"/>
      <c r="B66" s="224"/>
      <c r="C66" s="237"/>
    </row>
    <row r="67" spans="1:4" s="268" customFormat="1">
      <c r="A67" s="224"/>
      <c r="B67" s="224"/>
      <c r="C67" s="237"/>
    </row>
    <row r="68" spans="1:4" s="268" customFormat="1">
      <c r="A68" s="224"/>
      <c r="B68" s="224"/>
      <c r="C68" s="237"/>
    </row>
    <row r="69" spans="1:4" s="268" customFormat="1">
      <c r="A69" s="224"/>
      <c r="B69" s="224"/>
      <c r="C69" s="237"/>
    </row>
    <row r="70" spans="1:4" s="268" customFormat="1">
      <c r="A70" s="224"/>
      <c r="B70" s="224"/>
      <c r="C70" s="237"/>
    </row>
    <row r="71" spans="1:4" s="268" customFormat="1">
      <c r="A71" s="224"/>
      <c r="B71" s="224"/>
      <c r="C71" s="237"/>
    </row>
    <row r="72" spans="1:4" s="268" customFormat="1">
      <c r="A72" s="224"/>
      <c r="B72" s="224"/>
      <c r="C72" s="237"/>
    </row>
    <row r="73" spans="1:4" s="268" customFormat="1">
      <c r="A73" s="224"/>
      <c r="B73" s="224"/>
      <c r="C73" s="237"/>
    </row>
    <row r="74" spans="1:4" s="268" customFormat="1">
      <c r="A74" s="224"/>
      <c r="B74" s="224"/>
      <c r="C74" s="237"/>
    </row>
    <row r="75" spans="1:4" s="268" customFormat="1">
      <c r="A75" s="224"/>
      <c r="B75" s="224"/>
      <c r="C75" s="186"/>
      <c r="D75" s="186"/>
    </row>
    <row r="76" spans="1:4" s="268" customFormat="1">
      <c r="A76" s="224"/>
      <c r="B76" s="224"/>
    </row>
    <row r="77" spans="1:4" s="268" customFormat="1">
      <c r="B77" s="224"/>
    </row>
    <row r="78" spans="1:4" s="268" customFormat="1"/>
    <row r="79" spans="1:4" s="268" customFormat="1">
      <c r="A79" s="224"/>
      <c r="C79" s="224"/>
    </row>
    <row r="80" spans="1:4" s="268" customFormat="1">
      <c r="A80" s="224"/>
      <c r="B80" s="224"/>
      <c r="C80" s="224"/>
    </row>
    <row r="81" spans="1:34" s="268" customFormat="1">
      <c r="A81" s="224"/>
      <c r="B81" s="224"/>
      <c r="C81" s="224"/>
    </row>
    <row r="82" spans="1:34" s="268" customFormat="1">
      <c r="A82" s="224"/>
      <c r="B82" s="224"/>
      <c r="C82" s="224"/>
    </row>
    <row r="83" spans="1:34" s="268" customFormat="1">
      <c r="A83" s="224"/>
      <c r="B83" s="224"/>
    </row>
    <row r="84" spans="1:34" s="268" customFormat="1">
      <c r="A84" s="224"/>
      <c r="B84" s="200"/>
    </row>
    <row r="85" spans="1:34" s="268" customFormat="1">
      <c r="A85" s="224"/>
      <c r="B85" s="224"/>
      <c r="C85" s="236"/>
    </row>
    <row r="86" spans="1:34" s="268" customFormat="1">
      <c r="A86" s="224"/>
      <c r="B86" s="224"/>
    </row>
    <row r="87" spans="1:34" s="268" customFormat="1">
      <c r="A87" s="224"/>
      <c r="B87" s="224"/>
    </row>
    <row r="88" spans="1:34">
      <c r="A88" s="239"/>
      <c r="B88" s="224"/>
      <c r="C88" s="268"/>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row>
    <row r="89" spans="1:34">
      <c r="A89" s="239"/>
      <c r="B89" s="239"/>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row>
    <row r="90" spans="1:34">
      <c r="A90" s="239"/>
      <c r="B90" s="239"/>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row>
    <row r="91" spans="1:34">
      <c r="A91" s="239"/>
      <c r="B91" s="239"/>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row>
    <row r="92" spans="1:34">
      <c r="A92" s="239"/>
      <c r="B92" s="239"/>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row>
    <row r="93" spans="1:34">
      <c r="A93" s="239"/>
      <c r="B93" s="239"/>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row>
    <row r="94" spans="1:34">
      <c r="A94" s="239"/>
      <c r="B94" s="239"/>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row>
    <row r="95" spans="1:34">
      <c r="A95" s="239"/>
      <c r="B95" s="239"/>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row>
    <row r="96" spans="1:34">
      <c r="A96" s="239"/>
      <c r="B96" s="239"/>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row>
    <row r="97" spans="1:34">
      <c r="A97" s="239"/>
      <c r="B97" s="239"/>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row>
    <row r="98" spans="1:34">
      <c r="A98" s="239"/>
      <c r="B98" s="239"/>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row>
    <row r="99" spans="1:34">
      <c r="A99" s="239"/>
      <c r="B99" s="239"/>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row>
    <row r="100" spans="1:34">
      <c r="A100" s="239"/>
      <c r="B100" s="239"/>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row>
    <row r="101" spans="1:34">
      <c r="A101" s="239"/>
      <c r="B101" s="239"/>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row>
    <row r="102" spans="1:34">
      <c r="A102" s="239"/>
      <c r="B102" s="239"/>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row>
    <row r="103" spans="1:34">
      <c r="A103" s="239"/>
      <c r="B103" s="239"/>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row>
    <row r="104" spans="1:34">
      <c r="A104" s="239"/>
      <c r="B104" s="239"/>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row>
    <row r="105" spans="1:34">
      <c r="A105" s="239"/>
      <c r="B105" s="239"/>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row>
    <row r="106" spans="1:34">
      <c r="A106" s="239"/>
      <c r="B106" s="239"/>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row>
    <row r="107" spans="1:34">
      <c r="A107" s="239"/>
      <c r="B107" s="239"/>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row>
    <row r="108" spans="1:34">
      <c r="A108" s="239"/>
      <c r="B108" s="239"/>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row>
    <row r="109" spans="1:34">
      <c r="A109" s="239"/>
      <c r="B109" s="239"/>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row>
    <row r="110" spans="1:34">
      <c r="A110" s="239"/>
      <c r="B110" s="239"/>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row>
    <row r="111" spans="1:34">
      <c r="A111" s="239"/>
      <c r="B111" s="239"/>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row>
    <row r="112" spans="1:34">
      <c r="A112" s="239"/>
      <c r="B112" s="239"/>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c r="A113" s="239"/>
      <c r="B113" s="239"/>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c r="A114" s="239"/>
      <c r="B114" s="239"/>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c r="A115" s="239"/>
      <c r="B115" s="239"/>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c r="A116" s="239"/>
      <c r="B116" s="239"/>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c r="A117" s="239"/>
      <c r="B117" s="239"/>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row r="118" spans="1:34">
      <c r="A118" s="239"/>
      <c r="B118" s="239"/>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row>
    <row r="119" spans="1:34">
      <c r="A119" s="239"/>
      <c r="B119" s="239"/>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row>
    <row r="120" spans="1:34">
      <c r="A120" s="239"/>
      <c r="B120" s="239"/>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row>
    <row r="121" spans="1:34">
      <c r="A121" s="239"/>
      <c r="B121" s="239"/>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row>
    <row r="122" spans="1:34">
      <c r="A122" s="239"/>
      <c r="B122" s="239"/>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row>
    <row r="123" spans="1:34">
      <c r="A123" s="239"/>
      <c r="B123" s="239"/>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row>
    <row r="124" spans="1:34">
      <c r="A124" s="239"/>
      <c r="B124" s="239"/>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row>
    <row r="125" spans="1:34">
      <c r="A125" s="239"/>
      <c r="B125" s="239"/>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row>
    <row r="126" spans="1:34">
      <c r="A126" s="239"/>
      <c r="B126" s="239"/>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row>
    <row r="127" spans="1:34">
      <c r="A127" s="239"/>
      <c r="B127" s="239"/>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row>
    <row r="128" spans="1:34">
      <c r="A128" s="239"/>
      <c r="B128" s="239"/>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row>
    <row r="129" spans="1:34">
      <c r="A129" s="239"/>
      <c r="B129" s="239"/>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row>
    <row r="130" spans="1:34">
      <c r="A130" s="239"/>
      <c r="B130" s="239"/>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row>
    <row r="131" spans="1:34">
      <c r="A131" s="239"/>
      <c r="B131" s="239"/>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row>
    <row r="132" spans="1:34">
      <c r="A132" s="239"/>
      <c r="B132" s="239"/>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row>
    <row r="133" spans="1:34">
      <c r="A133" s="239"/>
      <c r="B133" s="239"/>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row>
    <row r="134" spans="1:34">
      <c r="A134" s="239"/>
      <c r="B134" s="239"/>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row>
    <row r="135" spans="1:34">
      <c r="A135" s="239"/>
      <c r="B135" s="239"/>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row>
    <row r="136" spans="1:34">
      <c r="A136" s="239"/>
      <c r="B136" s="239"/>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row>
    <row r="137" spans="1:34">
      <c r="A137" s="239"/>
      <c r="B137" s="239"/>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row>
    <row r="138" spans="1:34">
      <c r="A138" s="239"/>
      <c r="B138" s="239"/>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row>
    <row r="139" spans="1:34">
      <c r="A139" s="239"/>
      <c r="B139" s="239"/>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row>
    <row r="140" spans="1:34">
      <c r="A140" s="239"/>
      <c r="B140" s="239"/>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row>
    <row r="141" spans="1:34">
      <c r="A141" s="239"/>
      <c r="B141" s="239"/>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row>
    <row r="142" spans="1:34">
      <c r="A142" s="239"/>
      <c r="B142" s="239"/>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row>
    <row r="143" spans="1:34">
      <c r="A143" s="239"/>
      <c r="B143" s="239"/>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row>
    <row r="144" spans="1:34">
      <c r="A144" s="239"/>
      <c r="B144" s="239"/>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row>
    <row r="145" spans="1:34" s="231" customFormat="1">
      <c r="A145" s="239"/>
      <c r="B145" s="239"/>
      <c r="C145" s="81"/>
      <c r="D145" s="81"/>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row>
    <row r="146" spans="1:34">
      <c r="A146" s="239"/>
      <c r="B146" s="239"/>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row>
    <row r="147" spans="1:34">
      <c r="A147" s="224"/>
      <c r="B147" s="239"/>
      <c r="C147" s="81"/>
      <c r="D147" s="268"/>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row>
    <row r="148" spans="1:34">
      <c r="A148" s="224"/>
      <c r="B148" s="224"/>
      <c r="C148" s="268"/>
      <c r="D148" s="268"/>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row>
    <row r="149" spans="1:34">
      <c r="A149" s="224"/>
      <c r="B149" s="224"/>
      <c r="C149" s="268"/>
      <c r="D149" s="268"/>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row>
    <row r="150" spans="1:34">
      <c r="A150" s="224"/>
      <c r="B150" s="224"/>
      <c r="C150" s="268"/>
      <c r="D150" s="268"/>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row>
    <row r="151" spans="1:34">
      <c r="A151" s="224"/>
      <c r="B151" s="224"/>
      <c r="C151" s="268"/>
      <c r="D151" s="268"/>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row>
    <row r="152" spans="1:34">
      <c r="A152" s="224"/>
      <c r="B152" s="224"/>
      <c r="C152" s="268"/>
      <c r="D152" s="268"/>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row>
    <row r="153" spans="1:34">
      <c r="A153" s="224"/>
      <c r="B153" s="224"/>
      <c r="C153" s="268"/>
      <c r="D153" s="268"/>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row>
    <row r="154" spans="1:34">
      <c r="A154" s="224"/>
      <c r="B154" s="224"/>
      <c r="C154" s="268"/>
      <c r="D154" s="268"/>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row>
    <row r="155" spans="1:34">
      <c r="A155" s="224"/>
      <c r="B155" s="224"/>
      <c r="C155" s="268"/>
      <c r="D155" s="268"/>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row>
    <row r="156" spans="1:34">
      <c r="A156" s="239"/>
      <c r="B156" s="224"/>
      <c r="C156" s="268"/>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row>
    <row r="157" spans="1:34">
      <c r="A157" s="239"/>
      <c r="B157" s="239"/>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row>
    <row r="158" spans="1:34">
      <c r="A158" s="239"/>
      <c r="B158" s="239"/>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row>
    <row r="159" spans="1:34">
      <c r="A159" s="239"/>
      <c r="B159" s="239"/>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row>
    <row r="160" spans="1:34">
      <c r="A160" s="239"/>
      <c r="B160" s="239"/>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row>
    <row r="161" spans="1:34">
      <c r="A161" s="239"/>
      <c r="B161" s="239"/>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row>
    <row r="162" spans="1:34">
      <c r="A162" s="239"/>
      <c r="B162" s="239"/>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row>
    <row r="163" spans="1:34">
      <c r="A163" s="239"/>
      <c r="B163" s="239"/>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row>
    <row r="164" spans="1:34">
      <c r="A164" s="239"/>
      <c r="B164" s="239"/>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row>
    <row r="165" spans="1:34">
      <c r="A165" s="239"/>
      <c r="B165" s="239"/>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196"/>
  <sheetViews>
    <sheetView zoomScale="90" zoomScaleNormal="90" workbookViewId="0">
      <selection activeCell="A7" sqref="A7:N194"/>
    </sheetView>
  </sheetViews>
  <sheetFormatPr defaultColWidth="9.140625" defaultRowHeight="12.75"/>
  <cols>
    <col min="1" max="1" width="5.7109375" style="746" customWidth="1"/>
    <col min="2" max="2" width="8.5703125" style="746" customWidth="1"/>
    <col min="3" max="3" width="30.5703125" style="746" customWidth="1"/>
    <col min="4" max="4" width="15.28515625" style="746" customWidth="1"/>
    <col min="5" max="5" width="15.42578125" style="182" customWidth="1"/>
    <col min="6" max="6" width="14" style="182" customWidth="1"/>
    <col min="7" max="7" width="14" style="568" customWidth="1"/>
    <col min="8" max="8" width="16.85546875" style="568" bestFit="1" customWidth="1"/>
    <col min="9" max="11" width="14" style="568" customWidth="1"/>
    <col min="12" max="12" width="16.85546875" style="568" bestFit="1" customWidth="1"/>
    <col min="13" max="13" width="14" style="568" customWidth="1"/>
    <col min="14" max="14" width="72.5703125" style="568" customWidth="1"/>
    <col min="15" max="17" width="9.140625" style="182"/>
    <col min="18" max="18" width="10.28515625" style="182" bestFit="1" customWidth="1"/>
    <col min="19" max="16384" width="9.140625" style="182"/>
  </cols>
  <sheetData>
    <row r="1" spans="1:17">
      <c r="A1" s="1688" t="str">
        <f>+'MISO Cover'!C6</f>
        <v>Entergy New Orleans, Inc.</v>
      </c>
      <c r="B1" s="1688"/>
      <c r="C1" s="1688"/>
      <c r="D1" s="1688"/>
      <c r="E1" s="1688"/>
      <c r="F1" s="1688"/>
      <c r="G1" s="1688"/>
      <c r="H1" s="1688"/>
      <c r="I1" s="1688"/>
      <c r="J1" s="1688"/>
      <c r="K1" s="1688"/>
      <c r="L1" s="1688"/>
      <c r="M1" s="1688"/>
      <c r="N1" s="1688"/>
    </row>
    <row r="2" spans="1:17" s="568" customFormat="1" ht="15" customHeight="1">
      <c r="A2" s="1689" t="s">
        <v>988</v>
      </c>
      <c r="B2" s="1689"/>
      <c r="C2" s="1689"/>
      <c r="D2" s="1689"/>
      <c r="E2" s="1689"/>
      <c r="F2" s="1689"/>
      <c r="G2" s="1689"/>
      <c r="H2" s="1689"/>
      <c r="I2" s="1689"/>
      <c r="J2" s="1689"/>
      <c r="K2" s="1689"/>
      <c r="L2" s="1689"/>
      <c r="M2" s="1689"/>
      <c r="N2" s="1689"/>
    </row>
    <row r="3" spans="1:17">
      <c r="A3" s="1688" t="str">
        <f>+'MISO Cover'!K4</f>
        <v>For  the 12 Months Ended 12/31/2014</v>
      </c>
      <c r="B3" s="1688"/>
      <c r="C3" s="1688"/>
      <c r="D3" s="1688"/>
      <c r="E3" s="1688"/>
      <c r="F3" s="1688"/>
      <c r="G3" s="1688"/>
      <c r="H3" s="1688"/>
      <c r="I3" s="1688"/>
      <c r="J3" s="1688"/>
      <c r="K3" s="1688"/>
      <c r="L3" s="1688"/>
      <c r="M3" s="1688"/>
      <c r="N3" s="1688"/>
      <c r="O3" s="213"/>
      <c r="P3" s="213"/>
      <c r="Q3" s="213"/>
    </row>
    <row r="4" spans="1:17">
      <c r="A4" s="1691" t="s">
        <v>251</v>
      </c>
      <c r="B4" s="1451"/>
      <c r="C4" s="1451"/>
      <c r="D4" s="1451"/>
      <c r="O4" s="213"/>
      <c r="P4" s="213"/>
      <c r="Q4" s="213"/>
    </row>
    <row r="5" spans="1:17" s="568" customFormat="1">
      <c r="A5" s="1691"/>
      <c r="B5" s="1452" t="s">
        <v>167</v>
      </c>
      <c r="C5" s="1452" t="s">
        <v>215</v>
      </c>
      <c r="D5" s="1452" t="s">
        <v>155</v>
      </c>
      <c r="E5" s="1452" t="s">
        <v>168</v>
      </c>
      <c r="F5" s="1452" t="s">
        <v>166</v>
      </c>
      <c r="G5" s="1452" t="s">
        <v>257</v>
      </c>
      <c r="H5" s="1452" t="s">
        <v>169</v>
      </c>
      <c r="I5" s="1452" t="s">
        <v>270</v>
      </c>
      <c r="J5" s="1452" t="s">
        <v>711</v>
      </c>
      <c r="K5" s="1452" t="s">
        <v>160</v>
      </c>
      <c r="L5" s="1452" t="s">
        <v>171</v>
      </c>
      <c r="M5" s="1452" t="s">
        <v>199</v>
      </c>
      <c r="N5" s="1452" t="s">
        <v>200</v>
      </c>
    </row>
    <row r="6" spans="1:17" ht="15">
      <c r="A6" s="999"/>
      <c r="B6" s="1451"/>
      <c r="C6" s="1451"/>
      <c r="D6" s="1451"/>
      <c r="E6" s="1462"/>
      <c r="F6" s="1680" t="s">
        <v>716</v>
      </c>
      <c r="G6" s="1680"/>
      <c r="H6" s="1680"/>
      <c r="I6" s="1681"/>
      <c r="J6" s="1679" t="s">
        <v>717</v>
      </c>
      <c r="K6" s="1680"/>
      <c r="L6" s="1680"/>
      <c r="M6" s="1681"/>
      <c r="O6" s="1453"/>
    </row>
    <row r="7" spans="1:17" ht="35.450000000000003" customHeight="1">
      <c r="A7" s="999">
        <v>1</v>
      </c>
      <c r="B7" s="182"/>
      <c r="C7" s="999"/>
      <c r="D7" s="1535" t="s">
        <v>266</v>
      </c>
      <c r="E7" s="1536" t="s">
        <v>261</v>
      </c>
      <c r="F7" s="1540" t="s">
        <v>714</v>
      </c>
      <c r="G7" s="1537" t="s">
        <v>715</v>
      </c>
      <c r="H7" s="1537" t="s">
        <v>247</v>
      </c>
      <c r="I7" s="1536" t="s">
        <v>248</v>
      </c>
      <c r="J7" s="1540" t="s">
        <v>714</v>
      </c>
      <c r="K7" s="1537" t="s">
        <v>715</v>
      </c>
      <c r="L7" s="1538" t="s">
        <v>247</v>
      </c>
      <c r="M7" s="1536" t="s">
        <v>248</v>
      </c>
      <c r="N7" s="1454" t="s">
        <v>719</v>
      </c>
    </row>
    <row r="8" spans="1:17" ht="15">
      <c r="A8" s="999">
        <f>+A7+1</f>
        <v>2</v>
      </c>
      <c r="B8" s="1455"/>
      <c r="C8" s="999"/>
      <c r="D8" s="999"/>
      <c r="E8" s="1463"/>
      <c r="F8" s="1679" t="s">
        <v>732</v>
      </c>
      <c r="G8" s="1680"/>
      <c r="H8" s="1680"/>
      <c r="I8" s="1681"/>
      <c r="J8" s="1679" t="s">
        <v>1032</v>
      </c>
      <c r="K8" s="1680"/>
      <c r="L8" s="1680"/>
      <c r="M8" s="1681"/>
      <c r="N8" s="182"/>
    </row>
    <row r="9" spans="1:17">
      <c r="A9" s="999">
        <f t="shared" ref="A9:A17" si="0">+A8+1</f>
        <v>3</v>
      </c>
      <c r="C9" s="999"/>
      <c r="D9" s="999"/>
      <c r="E9" s="1466" t="s">
        <v>238</v>
      </c>
      <c r="F9" s="1465">
        <f t="shared" ref="F9:M9" si="1">+F100</f>
        <v>36147731.835000008</v>
      </c>
      <c r="G9" s="990">
        <f t="shared" si="1"/>
        <v>0</v>
      </c>
      <c r="H9" s="990">
        <f t="shared" si="1"/>
        <v>15063180.589999996</v>
      </c>
      <c r="I9" s="1456">
        <f t="shared" si="1"/>
        <v>4066230.74</v>
      </c>
      <c r="J9" s="1465">
        <f t="shared" si="1"/>
        <v>38142886.729999989</v>
      </c>
      <c r="K9" s="990">
        <f t="shared" si="1"/>
        <v>0</v>
      </c>
      <c r="L9" s="990">
        <f t="shared" si="1"/>
        <v>15719191.590000002</v>
      </c>
      <c r="M9" s="1456">
        <f t="shared" si="1"/>
        <v>3900097.5999999996</v>
      </c>
      <c r="N9" s="990" t="str">
        <f>+"Ln "&amp;A100</f>
        <v>Ln 15</v>
      </c>
    </row>
    <row r="10" spans="1:17">
      <c r="A10" s="999">
        <f t="shared" si="0"/>
        <v>4</v>
      </c>
      <c r="C10" s="999"/>
      <c r="D10" s="999"/>
      <c r="E10" s="1466" t="s">
        <v>432</v>
      </c>
      <c r="F10" s="973">
        <v>0</v>
      </c>
      <c r="G10" s="973">
        <v>0</v>
      </c>
      <c r="H10" s="973">
        <v>0</v>
      </c>
      <c r="I10" s="1456">
        <v>0</v>
      </c>
      <c r="J10" s="1465">
        <v>0</v>
      </c>
      <c r="K10" s="990">
        <v>0</v>
      </c>
      <c r="L10" s="990">
        <v>0</v>
      </c>
      <c r="M10" s="1456">
        <v>0</v>
      </c>
      <c r="N10" s="568" t="s">
        <v>1457</v>
      </c>
    </row>
    <row r="11" spans="1:17">
      <c r="A11" s="999">
        <f t="shared" si="0"/>
        <v>5</v>
      </c>
      <c r="C11" s="999"/>
      <c r="D11" s="999"/>
      <c r="E11" s="1466" t="s">
        <v>239</v>
      </c>
      <c r="F11" s="973">
        <f>+F143</f>
        <v>-40754942.085000001</v>
      </c>
      <c r="G11" s="973">
        <f t="shared" ref="G11:M11" si="2">+G143</f>
        <v>-15661.825000000001</v>
      </c>
      <c r="H11" s="973">
        <f t="shared" si="2"/>
        <v>-113510712.53999998</v>
      </c>
      <c r="I11" s="1456">
        <f t="shared" si="2"/>
        <v>-5912343.5499999998</v>
      </c>
      <c r="J11" s="1465">
        <f t="shared" si="2"/>
        <v>-65192240.740000002</v>
      </c>
      <c r="K11" s="990">
        <f t="shared" si="2"/>
        <v>-31323.65</v>
      </c>
      <c r="L11" s="990">
        <f t="shared" si="2"/>
        <v>-101655348.58000001</v>
      </c>
      <c r="M11" s="1456">
        <f t="shared" si="2"/>
        <v>-5519246.3599999994</v>
      </c>
      <c r="N11" s="990" t="str">
        <f>+"Ln "&amp;A143</f>
        <v>Ln 21</v>
      </c>
    </row>
    <row r="12" spans="1:17" ht="15">
      <c r="A12" s="999">
        <f t="shared" si="0"/>
        <v>6</v>
      </c>
      <c r="C12" s="999"/>
      <c r="D12" s="999"/>
      <c r="E12" s="1466" t="s">
        <v>240</v>
      </c>
      <c r="F12" s="1457">
        <f>+F186</f>
        <v>-46767128.454999998</v>
      </c>
      <c r="G12" s="1457">
        <f t="shared" ref="G12:M12" si="3">+G186</f>
        <v>-2965338.22</v>
      </c>
      <c r="H12" s="1457">
        <f t="shared" si="3"/>
        <v>-1290540.3</v>
      </c>
      <c r="I12" s="1458">
        <f t="shared" si="3"/>
        <v>0</v>
      </c>
      <c r="J12" s="1541">
        <f t="shared" si="3"/>
        <v>-53700211.399999999</v>
      </c>
      <c r="K12" s="1464">
        <f t="shared" si="3"/>
        <v>-2613639.94</v>
      </c>
      <c r="L12" s="1464">
        <f t="shared" si="3"/>
        <v>-1038093.74</v>
      </c>
      <c r="M12" s="1458">
        <f t="shared" si="3"/>
        <v>0</v>
      </c>
      <c r="N12" s="990" t="str">
        <f>+"Ln "&amp;A186</f>
        <v>Ln 27</v>
      </c>
    </row>
    <row r="13" spans="1:17">
      <c r="A13" s="999">
        <f t="shared" si="0"/>
        <v>7</v>
      </c>
      <c r="C13" s="999"/>
      <c r="D13" s="999"/>
      <c r="E13" s="1466" t="s">
        <v>713</v>
      </c>
      <c r="F13" s="1459">
        <f t="shared" ref="F13:M13" si="4">+SUM(F9:F12)</f>
        <v>-51374338.704999991</v>
      </c>
      <c r="G13" s="1459">
        <f t="shared" si="4"/>
        <v>-2981000.0450000004</v>
      </c>
      <c r="H13" s="1459">
        <f t="shared" si="4"/>
        <v>-99738072.249999985</v>
      </c>
      <c r="I13" s="1460">
        <f t="shared" si="4"/>
        <v>-1846112.8099999996</v>
      </c>
      <c r="J13" s="1542">
        <f t="shared" si="4"/>
        <v>-80749565.410000011</v>
      </c>
      <c r="K13" s="1461">
        <f t="shared" si="4"/>
        <v>-2644963.59</v>
      </c>
      <c r="L13" s="1461">
        <f t="shared" si="4"/>
        <v>-86974250.730000004</v>
      </c>
      <c r="M13" s="1460">
        <f t="shared" si="4"/>
        <v>-1619148.7599999998</v>
      </c>
      <c r="N13" s="1461" t="str">
        <f>+"Sum of Ln "&amp;A9&amp;" + "&amp;A10&amp;" + "&amp;A11&amp;" + "&amp;A12</f>
        <v>Sum of Ln 3 + 4 + 5 + 6</v>
      </c>
    </row>
    <row r="14" spans="1:17">
      <c r="A14" s="999">
        <f t="shared" si="0"/>
        <v>8</v>
      </c>
      <c r="B14" s="182"/>
      <c r="C14" s="999"/>
      <c r="D14" s="999"/>
      <c r="E14" s="1466"/>
      <c r="F14" s="1459"/>
      <c r="G14" s="1459"/>
      <c r="H14" s="1459"/>
      <c r="I14" s="1460"/>
      <c r="J14" s="1542"/>
      <c r="K14" s="1461"/>
      <c r="L14" s="1461"/>
      <c r="M14" s="1460"/>
    </row>
    <row r="15" spans="1:17" ht="15">
      <c r="A15" s="999">
        <f t="shared" si="0"/>
        <v>9</v>
      </c>
      <c r="B15" s="1451"/>
      <c r="C15" s="1451"/>
      <c r="D15" s="1451"/>
      <c r="E15" s="1462"/>
      <c r="F15" s="1680" t="s">
        <v>716</v>
      </c>
      <c r="G15" s="1680"/>
      <c r="H15" s="1680"/>
      <c r="I15" s="1681"/>
      <c r="J15" s="1679" t="s">
        <v>717</v>
      </c>
      <c r="K15" s="1680"/>
      <c r="L15" s="1680"/>
      <c r="M15" s="1681"/>
    </row>
    <row r="16" spans="1:17" ht="30">
      <c r="A16" s="999">
        <f t="shared" si="0"/>
        <v>10</v>
      </c>
      <c r="C16" s="999"/>
      <c r="D16" s="1535" t="s">
        <v>266</v>
      </c>
      <c r="E16" s="1536" t="s">
        <v>261</v>
      </c>
      <c r="F16" s="1535" t="s">
        <v>714</v>
      </c>
      <c r="G16" s="1535" t="s">
        <v>715</v>
      </c>
      <c r="H16" s="1535" t="s">
        <v>247</v>
      </c>
      <c r="I16" s="1536" t="s">
        <v>248</v>
      </c>
      <c r="J16" s="1537" t="s">
        <v>714</v>
      </c>
      <c r="K16" s="1537" t="s">
        <v>715</v>
      </c>
      <c r="L16" s="1537" t="s">
        <v>247</v>
      </c>
      <c r="M16" s="1536" t="s">
        <v>248</v>
      </c>
      <c r="N16" s="1454" t="s">
        <v>149</v>
      </c>
    </row>
    <row r="17" spans="1:14" ht="15">
      <c r="A17" s="999">
        <f t="shared" si="0"/>
        <v>11</v>
      </c>
      <c r="B17" s="1455" t="s">
        <v>238</v>
      </c>
      <c r="C17" s="999"/>
      <c r="D17" s="999"/>
      <c r="E17" s="1463"/>
      <c r="F17" s="1680" t="str">
        <f>F8</f>
        <v>Average of BOY/EOY (Col (C+D)/2)</v>
      </c>
      <c r="G17" s="1680"/>
      <c r="H17" s="1680"/>
      <c r="I17" s="1681"/>
      <c r="J17" s="1680" t="str">
        <f>J8</f>
        <v>EOY (Col D)</v>
      </c>
      <c r="K17" s="1680"/>
      <c r="L17" s="1680"/>
      <c r="M17" s="1681"/>
    </row>
    <row r="18" spans="1:14" s="188" customFormat="1">
      <c r="A18" s="902">
        <f t="shared" ref="A18:A81" si="5">+A17+0.01</f>
        <v>11.01</v>
      </c>
      <c r="B18" s="180" t="s">
        <v>428</v>
      </c>
      <c r="C18" s="180" t="s">
        <v>1304</v>
      </c>
      <c r="D18" s="1529">
        <v>-19.059999999999999</v>
      </c>
      <c r="E18" s="1529">
        <v>-19.059999999999999</v>
      </c>
      <c r="F18" s="1539">
        <f>+SUM($D18:$E18)/2</f>
        <v>-19.059999999999999</v>
      </c>
      <c r="G18" s="155"/>
      <c r="H18" s="155"/>
      <c r="I18" s="1571"/>
      <c r="J18" s="1539">
        <f t="shared" ref="J18:J23" si="6">+E18</f>
        <v>-19.059999999999999</v>
      </c>
      <c r="K18" s="155"/>
      <c r="L18" s="155"/>
      <c r="M18" s="1571"/>
      <c r="N18" s="1530" t="s">
        <v>1340</v>
      </c>
    </row>
    <row r="19" spans="1:14" s="188" customFormat="1">
      <c r="A19" s="902">
        <f t="shared" si="5"/>
        <v>11.02</v>
      </c>
      <c r="B19" s="180" t="s">
        <v>430</v>
      </c>
      <c r="C19" s="180" t="s">
        <v>1305</v>
      </c>
      <c r="D19" s="1529">
        <v>-3.12</v>
      </c>
      <c r="E19" s="1529">
        <v>-3.12</v>
      </c>
      <c r="F19" s="1539">
        <f t="shared" ref="F19:F23" si="7">+SUM($D19:$E19)/2</f>
        <v>-3.12</v>
      </c>
      <c r="G19" s="155"/>
      <c r="H19" s="155"/>
      <c r="I19" s="1571"/>
      <c r="J19" s="1539">
        <f t="shared" si="6"/>
        <v>-3.12</v>
      </c>
      <c r="K19" s="155"/>
      <c r="L19" s="155"/>
      <c r="M19" s="1571"/>
      <c r="N19" s="1530" t="s">
        <v>429</v>
      </c>
    </row>
    <row r="20" spans="1:14" s="188" customFormat="1">
      <c r="A20" s="902">
        <f t="shared" si="5"/>
        <v>11.03</v>
      </c>
      <c r="B20" s="180" t="s">
        <v>300</v>
      </c>
      <c r="C20" s="180" t="s">
        <v>301</v>
      </c>
      <c r="D20" s="1529">
        <v>1908212.42</v>
      </c>
      <c r="E20" s="1529">
        <v>1671218.11</v>
      </c>
      <c r="F20" s="1539">
        <f t="shared" si="7"/>
        <v>1789715.2650000001</v>
      </c>
      <c r="G20" s="155"/>
      <c r="H20" s="155"/>
      <c r="I20" s="1571"/>
      <c r="J20" s="1539">
        <f t="shared" si="6"/>
        <v>1671218.11</v>
      </c>
      <c r="K20" s="155"/>
      <c r="L20" s="155"/>
      <c r="M20" s="1571"/>
      <c r="N20" s="1530" t="s">
        <v>431</v>
      </c>
    </row>
    <row r="21" spans="1:14" s="188" customFormat="1">
      <c r="A21" s="902">
        <f t="shared" si="5"/>
        <v>11.04</v>
      </c>
      <c r="B21" s="180" t="s">
        <v>302</v>
      </c>
      <c r="C21" s="180" t="s">
        <v>303</v>
      </c>
      <c r="D21" s="1529">
        <v>308158.52</v>
      </c>
      <c r="E21" s="1529">
        <v>269886.15000000002</v>
      </c>
      <c r="F21" s="1539">
        <f t="shared" si="7"/>
        <v>289022.33500000002</v>
      </c>
      <c r="G21" s="155"/>
      <c r="H21" s="155"/>
      <c r="I21" s="1571"/>
      <c r="J21" s="1539">
        <f t="shared" si="6"/>
        <v>269886.15000000002</v>
      </c>
      <c r="K21" s="155"/>
      <c r="L21" s="155"/>
      <c r="M21" s="1571"/>
      <c r="N21" s="1530" t="s">
        <v>431</v>
      </c>
    </row>
    <row r="22" spans="1:14" s="188" customFormat="1">
      <c r="A22" s="902">
        <f t="shared" si="5"/>
        <v>11.049999999999999</v>
      </c>
      <c r="B22" s="180" t="s">
        <v>304</v>
      </c>
      <c r="C22" s="180" t="s">
        <v>305</v>
      </c>
      <c r="D22" s="1529">
        <v>2294920.64</v>
      </c>
      <c r="E22" s="1529">
        <v>4374639.8899999997</v>
      </c>
      <c r="F22" s="1539">
        <f t="shared" si="7"/>
        <v>3334780.2649999997</v>
      </c>
      <c r="G22" s="155"/>
      <c r="H22" s="155"/>
      <c r="I22" s="1571"/>
      <c r="J22" s="1539">
        <f t="shared" si="6"/>
        <v>4374639.8899999997</v>
      </c>
      <c r="K22" s="155"/>
      <c r="L22" s="155"/>
      <c r="M22" s="1571"/>
      <c r="N22" s="1530" t="s">
        <v>306</v>
      </c>
    </row>
    <row r="23" spans="1:14" s="188" customFormat="1">
      <c r="A23" s="902">
        <f t="shared" si="5"/>
        <v>11.059999999999999</v>
      </c>
      <c r="B23" s="180" t="s">
        <v>307</v>
      </c>
      <c r="C23" s="180" t="s">
        <v>308</v>
      </c>
      <c r="D23" s="1529">
        <v>370624.26</v>
      </c>
      <c r="E23" s="1529">
        <v>706479.53</v>
      </c>
      <c r="F23" s="1539">
        <f t="shared" si="7"/>
        <v>538551.89500000002</v>
      </c>
      <c r="G23" s="155"/>
      <c r="H23" s="155"/>
      <c r="I23" s="1571"/>
      <c r="J23" s="1539">
        <f t="shared" si="6"/>
        <v>706479.53</v>
      </c>
      <c r="K23" s="155"/>
      <c r="L23" s="155"/>
      <c r="M23" s="1571"/>
      <c r="N23" s="1530" t="s">
        <v>306</v>
      </c>
    </row>
    <row r="24" spans="1:14" s="188" customFormat="1">
      <c r="A24" s="902">
        <f t="shared" si="5"/>
        <v>11.069999999999999</v>
      </c>
      <c r="B24" s="180" t="s">
        <v>309</v>
      </c>
      <c r="C24" s="180" t="s">
        <v>310</v>
      </c>
      <c r="D24" s="1529">
        <v>7382216.46</v>
      </c>
      <c r="E24" s="1529">
        <v>6645646.4199999999</v>
      </c>
      <c r="F24" s="1539"/>
      <c r="G24" s="155"/>
      <c r="H24" s="155">
        <f t="shared" ref="H24:H25" si="8">+SUM($D24:$E24)/2</f>
        <v>7013931.4399999995</v>
      </c>
      <c r="I24" s="1571"/>
      <c r="J24" s="1539"/>
      <c r="K24" s="155"/>
      <c r="L24" s="155">
        <f>+E24</f>
        <v>6645646.4199999999</v>
      </c>
      <c r="M24" s="1571"/>
      <c r="N24" s="1530" t="s">
        <v>311</v>
      </c>
    </row>
    <row r="25" spans="1:14" s="188" customFormat="1">
      <c r="A25" s="902">
        <f t="shared" si="5"/>
        <v>11.079999999999998</v>
      </c>
      <c r="B25" s="180" t="s">
        <v>312</v>
      </c>
      <c r="C25" s="180" t="s">
        <v>313</v>
      </c>
      <c r="D25" s="1529">
        <v>1192231</v>
      </c>
      <c r="E25" s="1529">
        <v>1073252.92</v>
      </c>
      <c r="F25" s="1539"/>
      <c r="G25" s="155"/>
      <c r="H25" s="155">
        <f t="shared" si="8"/>
        <v>1132741.96</v>
      </c>
      <c r="I25" s="1571"/>
      <c r="J25" s="1539"/>
      <c r="K25" s="155"/>
      <c r="L25" s="155">
        <f>+E25</f>
        <v>1073252.92</v>
      </c>
      <c r="M25" s="1571"/>
      <c r="N25" s="1530" t="s">
        <v>311</v>
      </c>
    </row>
    <row r="26" spans="1:14" s="188" customFormat="1" ht="25.5">
      <c r="A26" s="902">
        <f t="shared" si="5"/>
        <v>11.089999999999998</v>
      </c>
      <c r="B26" s="180" t="s">
        <v>1306</v>
      </c>
      <c r="C26" s="180" t="s">
        <v>1307</v>
      </c>
      <c r="D26" s="1529">
        <v>4599372.29</v>
      </c>
      <c r="E26" s="1529">
        <v>3789934.19</v>
      </c>
      <c r="F26" s="1539">
        <f t="shared" ref="F26:F27" si="9">+SUM($D26:$E26)/2</f>
        <v>4194653.24</v>
      </c>
      <c r="G26" s="155"/>
      <c r="H26" s="155"/>
      <c r="I26" s="1571"/>
      <c r="J26" s="1539">
        <f>E26</f>
        <v>3789934.19</v>
      </c>
      <c r="K26" s="155"/>
      <c r="L26" s="155"/>
      <c r="M26" s="1571"/>
      <c r="N26" s="1530" t="s">
        <v>1341</v>
      </c>
    </row>
    <row r="27" spans="1:14" s="188" customFormat="1" ht="25.5">
      <c r="A27" s="902">
        <f t="shared" si="5"/>
        <v>11.099999999999998</v>
      </c>
      <c r="B27" s="180" t="s">
        <v>1308</v>
      </c>
      <c r="C27" s="180" t="s">
        <v>1309</v>
      </c>
      <c r="D27" s="1529">
        <v>742703.41</v>
      </c>
      <c r="E27" s="1529">
        <v>611986.71</v>
      </c>
      <c r="F27" s="1539">
        <f t="shared" si="9"/>
        <v>677345.06</v>
      </c>
      <c r="G27" s="155"/>
      <c r="H27" s="155"/>
      <c r="I27" s="1571"/>
      <c r="J27" s="1539">
        <f>E27</f>
        <v>611986.71</v>
      </c>
      <c r="K27" s="155"/>
      <c r="L27" s="155"/>
      <c r="M27" s="1571"/>
      <c r="N27" s="1530" t="s">
        <v>1341</v>
      </c>
    </row>
    <row r="28" spans="1:14" s="188" customFormat="1">
      <c r="A28" s="902">
        <f t="shared" si="5"/>
        <v>11.109999999999998</v>
      </c>
      <c r="B28" s="180" t="s">
        <v>314</v>
      </c>
      <c r="C28" s="180" t="s">
        <v>315</v>
      </c>
      <c r="D28" s="1529">
        <v>1828760.99</v>
      </c>
      <c r="E28" s="1529">
        <v>2907337.36</v>
      </c>
      <c r="F28" s="1539"/>
      <c r="G28" s="155"/>
      <c r="H28" s="155"/>
      <c r="I28" s="1571">
        <f t="shared" ref="I28:I29" si="10">+SUM($D28:$E28)/2</f>
        <v>2368049.1749999998</v>
      </c>
      <c r="J28" s="1539"/>
      <c r="K28" s="155"/>
      <c r="L28" s="155"/>
      <c r="M28" s="1571">
        <f>+E28</f>
        <v>2907337.36</v>
      </c>
      <c r="N28" s="1530" t="s">
        <v>316</v>
      </c>
    </row>
    <row r="29" spans="1:14" s="188" customFormat="1">
      <c r="A29" s="902">
        <f t="shared" si="5"/>
        <v>11.119999999999997</v>
      </c>
      <c r="B29" s="180" t="s">
        <v>317</v>
      </c>
      <c r="C29" s="180" t="s">
        <v>318</v>
      </c>
      <c r="D29" s="1529">
        <v>295314.51</v>
      </c>
      <c r="E29" s="1529">
        <v>469494.53</v>
      </c>
      <c r="F29" s="1539"/>
      <c r="G29" s="155"/>
      <c r="H29" s="155"/>
      <c r="I29" s="1571">
        <f t="shared" si="10"/>
        <v>382404.52</v>
      </c>
      <c r="J29" s="1539"/>
      <c r="K29" s="155"/>
      <c r="L29" s="155"/>
      <c r="M29" s="1571">
        <f>+E29</f>
        <v>469494.53</v>
      </c>
      <c r="N29" s="1530" t="s">
        <v>316</v>
      </c>
    </row>
    <row r="30" spans="1:14" s="188" customFormat="1">
      <c r="A30" s="902">
        <f t="shared" si="5"/>
        <v>11.129999999999997</v>
      </c>
      <c r="B30" s="180" t="s">
        <v>1310</v>
      </c>
      <c r="C30" s="180" t="s">
        <v>1311</v>
      </c>
      <c r="D30" s="1529">
        <v>55427.97</v>
      </c>
      <c r="E30" s="1529">
        <v>492180.49</v>
      </c>
      <c r="F30" s="1539"/>
      <c r="G30" s="155"/>
      <c r="H30" s="155">
        <f t="shared" ref="H30:H31" si="11">+SUM($D30:$E30)/2</f>
        <v>273804.23</v>
      </c>
      <c r="I30" s="1571"/>
      <c r="J30" s="1539"/>
      <c r="K30" s="155"/>
      <c r="L30" s="155">
        <f t="shared" ref="L30:L31" si="12">+E30</f>
        <v>492180.49</v>
      </c>
      <c r="M30" s="1571"/>
      <c r="N30" s="1558" t="s">
        <v>1342</v>
      </c>
    </row>
    <row r="31" spans="1:14" s="188" customFormat="1">
      <c r="A31" s="902">
        <f t="shared" si="5"/>
        <v>11.139999999999997</v>
      </c>
      <c r="B31" s="180" t="s">
        <v>1312</v>
      </c>
      <c r="C31" s="180" t="s">
        <v>1313</v>
      </c>
      <c r="D31" s="1529">
        <v>8948.77</v>
      </c>
      <c r="E31" s="1529">
        <v>79483.22</v>
      </c>
      <c r="F31" s="1539"/>
      <c r="G31" s="155"/>
      <c r="H31" s="155">
        <f t="shared" si="11"/>
        <v>44215.995000000003</v>
      </c>
      <c r="I31" s="1571"/>
      <c r="J31" s="1539"/>
      <c r="K31" s="155"/>
      <c r="L31" s="155">
        <f t="shared" si="12"/>
        <v>79483.22</v>
      </c>
      <c r="M31" s="1571"/>
      <c r="N31" s="1558" t="s">
        <v>1342</v>
      </c>
    </row>
    <row r="32" spans="1:14" s="188" customFormat="1">
      <c r="A32" s="902">
        <f t="shared" si="5"/>
        <v>11.149999999999997</v>
      </c>
      <c r="B32" s="180" t="s">
        <v>319</v>
      </c>
      <c r="C32" s="180" t="s">
        <v>320</v>
      </c>
      <c r="D32" s="1529">
        <v>35033</v>
      </c>
      <c r="E32" s="1529">
        <v>35033</v>
      </c>
      <c r="F32" s="1539">
        <f t="shared" ref="F32:F41" si="13">+SUM($D32:$E32)/2</f>
        <v>35033</v>
      </c>
      <c r="G32" s="155"/>
      <c r="H32" s="155"/>
      <c r="I32" s="1571"/>
      <c r="J32" s="1539">
        <f t="shared" ref="J32:J41" si="14">+E32</f>
        <v>35033</v>
      </c>
      <c r="K32" s="155"/>
      <c r="L32" s="155"/>
      <c r="M32" s="1571"/>
      <c r="N32" s="1530" t="s">
        <v>321</v>
      </c>
    </row>
    <row r="33" spans="1:15" s="188" customFormat="1">
      <c r="A33" s="902">
        <f t="shared" si="5"/>
        <v>11.159999999999997</v>
      </c>
      <c r="B33" s="180" t="s">
        <v>322</v>
      </c>
      <c r="C33" s="180" t="s">
        <v>1314</v>
      </c>
      <c r="D33" s="1529">
        <v>5657</v>
      </c>
      <c r="E33" s="1529">
        <v>5657</v>
      </c>
      <c r="F33" s="1539">
        <f t="shared" si="13"/>
        <v>5657</v>
      </c>
      <c r="G33" s="155"/>
      <c r="H33" s="155"/>
      <c r="I33" s="1571"/>
      <c r="J33" s="1539">
        <f t="shared" si="14"/>
        <v>5657</v>
      </c>
      <c r="K33" s="155"/>
      <c r="L33" s="155"/>
      <c r="M33" s="1571"/>
      <c r="N33" s="1530" t="s">
        <v>321</v>
      </c>
    </row>
    <row r="34" spans="1:15" s="188" customFormat="1">
      <c r="A34" s="902">
        <f t="shared" si="5"/>
        <v>11.169999999999996</v>
      </c>
      <c r="B34" s="180" t="s">
        <v>323</v>
      </c>
      <c r="C34" s="180" t="s">
        <v>324</v>
      </c>
      <c r="D34" s="1529">
        <v>-6968768.2199999997</v>
      </c>
      <c r="E34" s="1529">
        <v>-8188670.9199999999</v>
      </c>
      <c r="F34" s="1539">
        <f t="shared" si="13"/>
        <v>-7578719.5700000003</v>
      </c>
      <c r="G34" s="155"/>
      <c r="H34" s="155"/>
      <c r="I34" s="1571"/>
      <c r="J34" s="1539">
        <f t="shared" si="14"/>
        <v>-8188670.9199999999</v>
      </c>
      <c r="K34" s="155"/>
      <c r="L34" s="155"/>
      <c r="M34" s="1571"/>
      <c r="N34" s="1530" t="s">
        <v>325</v>
      </c>
      <c r="O34" s="604"/>
    </row>
    <row r="35" spans="1:15" s="188" customFormat="1">
      <c r="A35" s="902">
        <f t="shared" si="5"/>
        <v>11.179999999999996</v>
      </c>
      <c r="B35" s="180" t="s">
        <v>326</v>
      </c>
      <c r="C35" s="180" t="s">
        <v>327</v>
      </c>
      <c r="D35" s="1529">
        <v>-1140186.95</v>
      </c>
      <c r="E35" s="1529">
        <v>-1337189.8700000001</v>
      </c>
      <c r="F35" s="1539">
        <f t="shared" si="13"/>
        <v>-1238688.4100000001</v>
      </c>
      <c r="G35" s="155"/>
      <c r="H35" s="155"/>
      <c r="I35" s="1571"/>
      <c r="J35" s="1539">
        <f t="shared" si="14"/>
        <v>-1337189.8700000001</v>
      </c>
      <c r="K35" s="155"/>
      <c r="L35" s="155"/>
      <c r="M35" s="1571"/>
      <c r="N35" s="1530" t="s">
        <v>325</v>
      </c>
      <c r="O35" s="604"/>
    </row>
    <row r="36" spans="1:15" s="188" customFormat="1">
      <c r="A36" s="902">
        <f t="shared" si="5"/>
        <v>11.189999999999996</v>
      </c>
      <c r="B36" s="180" t="s">
        <v>328</v>
      </c>
      <c r="C36" s="180" t="s">
        <v>329</v>
      </c>
      <c r="D36" s="1529">
        <v>23819118.32</v>
      </c>
      <c r="E36" s="1529">
        <v>36834071.75</v>
      </c>
      <c r="F36" s="1539">
        <f t="shared" si="13"/>
        <v>30326595.035</v>
      </c>
      <c r="G36" s="155"/>
      <c r="H36" s="155"/>
      <c r="I36" s="1571"/>
      <c r="J36" s="1539">
        <f t="shared" si="14"/>
        <v>36834071.75</v>
      </c>
      <c r="K36" s="155"/>
      <c r="L36" s="155"/>
      <c r="M36" s="1571"/>
      <c r="N36" s="1530" t="s">
        <v>325</v>
      </c>
    </row>
    <row r="37" spans="1:15" s="188" customFormat="1">
      <c r="A37" s="902">
        <f t="shared" si="5"/>
        <v>11.199999999999996</v>
      </c>
      <c r="B37" s="180" t="s">
        <v>330</v>
      </c>
      <c r="C37" s="180" t="s">
        <v>331</v>
      </c>
      <c r="D37" s="1529">
        <v>3846565.54</v>
      </c>
      <c r="E37" s="1529">
        <v>5948359.1900000004</v>
      </c>
      <c r="F37" s="1539">
        <f t="shared" si="13"/>
        <v>4897462.3650000002</v>
      </c>
      <c r="G37" s="155"/>
      <c r="H37" s="155"/>
      <c r="I37" s="1571"/>
      <c r="J37" s="1539">
        <f t="shared" si="14"/>
        <v>5948359.1900000004</v>
      </c>
      <c r="K37" s="155"/>
      <c r="L37" s="155"/>
      <c r="M37" s="1571"/>
      <c r="N37" s="1530" t="s">
        <v>325</v>
      </c>
    </row>
    <row r="38" spans="1:15" s="188" customFormat="1">
      <c r="A38" s="902">
        <f t="shared" si="5"/>
        <v>11.209999999999996</v>
      </c>
      <c r="B38" s="180" t="s">
        <v>332</v>
      </c>
      <c r="C38" s="180" t="s">
        <v>333</v>
      </c>
      <c r="D38" s="1529">
        <v>155663.76</v>
      </c>
      <c r="E38" s="1529">
        <v>225519.74</v>
      </c>
      <c r="F38" s="1539">
        <f t="shared" si="13"/>
        <v>190591.75</v>
      </c>
      <c r="G38" s="155"/>
      <c r="H38" s="155"/>
      <c r="I38" s="1571"/>
      <c r="J38" s="1539">
        <f t="shared" si="14"/>
        <v>225519.74</v>
      </c>
      <c r="K38" s="155"/>
      <c r="L38" s="155"/>
      <c r="M38" s="1571"/>
      <c r="N38" s="1530" t="s">
        <v>325</v>
      </c>
    </row>
    <row r="39" spans="1:15" s="188" customFormat="1">
      <c r="A39" s="902">
        <f t="shared" si="5"/>
        <v>11.219999999999995</v>
      </c>
      <c r="B39" s="180" t="s">
        <v>334</v>
      </c>
      <c r="C39" s="180" t="s">
        <v>335</v>
      </c>
      <c r="D39" s="1529">
        <v>25420.62</v>
      </c>
      <c r="E39" s="1529">
        <v>36701.699999999997</v>
      </c>
      <c r="F39" s="1539">
        <f t="shared" si="13"/>
        <v>31061.159999999996</v>
      </c>
      <c r="G39" s="155"/>
      <c r="H39" s="155"/>
      <c r="I39" s="1571"/>
      <c r="J39" s="1539">
        <f t="shared" si="14"/>
        <v>36701.699999999997</v>
      </c>
      <c r="K39" s="155"/>
      <c r="L39" s="155"/>
      <c r="M39" s="1571"/>
      <c r="N39" s="1530" t="s">
        <v>325</v>
      </c>
    </row>
    <row r="40" spans="1:15" s="188" customFormat="1">
      <c r="A40" s="902">
        <f t="shared" si="5"/>
        <v>11.229999999999995</v>
      </c>
      <c r="B40" s="180" t="s">
        <v>336</v>
      </c>
      <c r="C40" s="180" t="s">
        <v>1315</v>
      </c>
      <c r="D40" s="1529">
        <v>243069.44</v>
      </c>
      <c r="E40" s="1529">
        <v>-7499957.9800000004</v>
      </c>
      <c r="F40" s="1539">
        <f t="shared" si="13"/>
        <v>-3628444.27</v>
      </c>
      <c r="G40" s="155"/>
      <c r="H40" s="155"/>
      <c r="I40" s="1571"/>
      <c r="J40" s="1539">
        <f t="shared" si="14"/>
        <v>-7499957.9800000004</v>
      </c>
      <c r="K40" s="155"/>
      <c r="L40" s="155"/>
      <c r="M40" s="1571"/>
      <c r="N40" s="1530" t="s">
        <v>325</v>
      </c>
    </row>
    <row r="41" spans="1:15" s="188" customFormat="1">
      <c r="A41" s="902">
        <f t="shared" si="5"/>
        <v>11.239999999999995</v>
      </c>
      <c r="B41" s="180" t="s">
        <v>337</v>
      </c>
      <c r="C41" s="180" t="s">
        <v>1316</v>
      </c>
      <c r="D41" s="1529">
        <v>39239.19</v>
      </c>
      <c r="E41" s="1529">
        <v>-1211190.46</v>
      </c>
      <c r="F41" s="1539">
        <f t="shared" si="13"/>
        <v>-585975.63500000001</v>
      </c>
      <c r="G41" s="155"/>
      <c r="H41" s="155"/>
      <c r="I41" s="1571"/>
      <c r="J41" s="1539">
        <f t="shared" si="14"/>
        <v>-1211190.46</v>
      </c>
      <c r="K41" s="155"/>
      <c r="L41" s="155"/>
      <c r="M41" s="1571"/>
      <c r="N41" s="1530" t="s">
        <v>325</v>
      </c>
    </row>
    <row r="42" spans="1:15" s="188" customFormat="1">
      <c r="A42" s="902">
        <f t="shared" si="5"/>
        <v>11.249999999999995</v>
      </c>
      <c r="B42" s="180" t="s">
        <v>339</v>
      </c>
      <c r="C42" s="180" t="s">
        <v>340</v>
      </c>
      <c r="D42" s="1529">
        <v>-8762200.3200000003</v>
      </c>
      <c r="E42" s="1529">
        <v>-8787500.5399999991</v>
      </c>
      <c r="F42" s="1539"/>
      <c r="G42" s="155"/>
      <c r="H42" s="155">
        <f t="shared" ref="H42:H43" si="15">+SUM($D42:$E42)/2</f>
        <v>-8774850.4299999997</v>
      </c>
      <c r="I42" s="1571"/>
      <c r="J42" s="1539"/>
      <c r="K42" s="155"/>
      <c r="L42" s="155">
        <f>+E42</f>
        <v>-8787500.5399999991</v>
      </c>
      <c r="M42" s="1571"/>
      <c r="N42" s="1530" t="s">
        <v>341</v>
      </c>
    </row>
    <row r="43" spans="1:15" s="188" customFormat="1">
      <c r="A43" s="902">
        <f t="shared" si="5"/>
        <v>11.259999999999994</v>
      </c>
      <c r="B43" s="180" t="s">
        <v>342</v>
      </c>
      <c r="C43" s="180" t="s">
        <v>343</v>
      </c>
      <c r="D43" s="1529">
        <v>-1415061.65</v>
      </c>
      <c r="E43" s="1529">
        <v>-1419157.25</v>
      </c>
      <c r="F43" s="1539"/>
      <c r="G43" s="155"/>
      <c r="H43" s="155">
        <f t="shared" si="15"/>
        <v>-1417109.45</v>
      </c>
      <c r="I43" s="1571"/>
      <c r="J43" s="1539"/>
      <c r="K43" s="155"/>
      <c r="L43" s="155">
        <f>+E43</f>
        <v>-1419157.25</v>
      </c>
      <c r="M43" s="1571"/>
      <c r="N43" s="1530" t="s">
        <v>341</v>
      </c>
    </row>
    <row r="44" spans="1:15" s="188" customFormat="1">
      <c r="A44" s="902">
        <f t="shared" si="5"/>
        <v>11.269999999999994</v>
      </c>
      <c r="B44" s="180" t="s">
        <v>344</v>
      </c>
      <c r="C44" s="180" t="s">
        <v>345</v>
      </c>
      <c r="D44" s="1529">
        <v>415550.67</v>
      </c>
      <c r="E44" s="1529">
        <v>376797.11</v>
      </c>
      <c r="F44" s="1539"/>
      <c r="G44" s="155"/>
      <c r="H44" s="155"/>
      <c r="I44" s="1571">
        <f t="shared" ref="I44:I45" si="16">+SUM($D44:$E44)/2</f>
        <v>396173.89</v>
      </c>
      <c r="J44" s="1539"/>
      <c r="K44" s="155"/>
      <c r="L44" s="155"/>
      <c r="M44" s="1571">
        <f>+E44</f>
        <v>376797.11</v>
      </c>
      <c r="N44" s="1530" t="s">
        <v>325</v>
      </c>
    </row>
    <row r="45" spans="1:15" s="188" customFormat="1">
      <c r="A45" s="902">
        <f t="shared" si="5"/>
        <v>11.279999999999994</v>
      </c>
      <c r="B45" s="180" t="s">
        <v>346</v>
      </c>
      <c r="C45" s="180" t="s">
        <v>347</v>
      </c>
      <c r="D45" s="1529">
        <v>67105.429999999993</v>
      </c>
      <c r="E45" s="1529">
        <v>60847.1</v>
      </c>
      <c r="F45" s="1539"/>
      <c r="G45" s="155"/>
      <c r="H45" s="155"/>
      <c r="I45" s="1571">
        <f t="shared" si="16"/>
        <v>63976.264999999999</v>
      </c>
      <c r="J45" s="1539"/>
      <c r="K45" s="155"/>
      <c r="L45" s="155"/>
      <c r="M45" s="1571">
        <f>+E45</f>
        <v>60847.1</v>
      </c>
      <c r="N45" s="1530" t="s">
        <v>325</v>
      </c>
    </row>
    <row r="46" spans="1:15" s="188" customFormat="1">
      <c r="A46" s="902">
        <f t="shared" si="5"/>
        <v>11.289999999999994</v>
      </c>
      <c r="B46" s="180" t="s">
        <v>1317</v>
      </c>
      <c r="C46" s="180" t="s">
        <v>1318</v>
      </c>
      <c r="D46" s="1529">
        <v>-54001</v>
      </c>
      <c r="E46" s="1529">
        <v>-54001</v>
      </c>
      <c r="F46" s="1539">
        <f t="shared" ref="F46:F54" si="17">+SUM($D46:$E46)/2</f>
        <v>-54001</v>
      </c>
      <c r="G46" s="155"/>
      <c r="H46" s="155"/>
      <c r="I46" s="1571"/>
      <c r="J46" s="1539">
        <f t="shared" ref="J46:J54" si="18">+E46</f>
        <v>-54001</v>
      </c>
      <c r="K46" s="155"/>
      <c r="L46" s="155"/>
      <c r="M46" s="1571"/>
      <c r="N46" s="1530" t="s">
        <v>414</v>
      </c>
    </row>
    <row r="47" spans="1:15" s="188" customFormat="1">
      <c r="A47" s="902">
        <f t="shared" si="5"/>
        <v>11.299999999999994</v>
      </c>
      <c r="B47" s="180" t="s">
        <v>1319</v>
      </c>
      <c r="C47" s="180" t="s">
        <v>1320</v>
      </c>
      <c r="D47" s="1529">
        <v>-8724</v>
      </c>
      <c r="E47" s="1529">
        <v>-8724</v>
      </c>
      <c r="F47" s="1539">
        <f t="shared" si="17"/>
        <v>-8724</v>
      </c>
      <c r="G47" s="155"/>
      <c r="H47" s="155"/>
      <c r="I47" s="1571"/>
      <c r="J47" s="1539">
        <f t="shared" si="18"/>
        <v>-8724</v>
      </c>
      <c r="K47" s="155"/>
      <c r="L47" s="155"/>
      <c r="M47" s="1571"/>
      <c r="N47" s="1530" t="s">
        <v>414</v>
      </c>
    </row>
    <row r="48" spans="1:15" s="188" customFormat="1">
      <c r="A48" s="902">
        <f t="shared" si="5"/>
        <v>11.309999999999993</v>
      </c>
      <c r="B48" s="180" t="s">
        <v>348</v>
      </c>
      <c r="C48" s="180" t="s">
        <v>349</v>
      </c>
      <c r="D48" s="1529">
        <v>129570.85</v>
      </c>
      <c r="E48" s="1529">
        <v>-106303.45</v>
      </c>
      <c r="F48" s="1539">
        <f t="shared" si="17"/>
        <v>11633.700000000004</v>
      </c>
      <c r="G48" s="155"/>
      <c r="H48" s="155"/>
      <c r="I48" s="1571"/>
      <c r="J48" s="1539">
        <f t="shared" si="18"/>
        <v>-106303.45</v>
      </c>
      <c r="K48" s="155"/>
      <c r="L48" s="155"/>
      <c r="M48" s="1571"/>
      <c r="N48" s="1530" t="s">
        <v>350</v>
      </c>
    </row>
    <row r="49" spans="1:14" s="188" customFormat="1">
      <c r="A49" s="902">
        <f t="shared" si="5"/>
        <v>11.319999999999993</v>
      </c>
      <c r="B49" s="180" t="s">
        <v>351</v>
      </c>
      <c r="C49" s="180" t="s">
        <v>352</v>
      </c>
      <c r="D49" s="1529">
        <v>20920.23</v>
      </c>
      <c r="E49" s="1529">
        <v>-17171.27</v>
      </c>
      <c r="F49" s="1539">
        <f t="shared" si="17"/>
        <v>1874.4799999999996</v>
      </c>
      <c r="G49" s="155"/>
      <c r="H49" s="155"/>
      <c r="I49" s="1571"/>
      <c r="J49" s="1539">
        <f t="shared" si="18"/>
        <v>-17171.27</v>
      </c>
      <c r="K49" s="155"/>
      <c r="L49" s="155"/>
      <c r="M49" s="1571"/>
      <c r="N49" s="1530" t="s">
        <v>350</v>
      </c>
    </row>
    <row r="50" spans="1:14" s="188" customFormat="1">
      <c r="A50" s="902">
        <f t="shared" si="5"/>
        <v>11.329999999999993</v>
      </c>
      <c r="B50" s="180" t="s">
        <v>354</v>
      </c>
      <c r="C50" s="180" t="s">
        <v>355</v>
      </c>
      <c r="D50" s="1529">
        <v>-1354.25</v>
      </c>
      <c r="E50" s="1529">
        <v>1047.1600000000001</v>
      </c>
      <c r="F50" s="1539">
        <f t="shared" si="17"/>
        <v>-153.54499999999996</v>
      </c>
      <c r="G50" s="155"/>
      <c r="H50" s="155"/>
      <c r="I50" s="1571"/>
      <c r="J50" s="1539">
        <f t="shared" si="18"/>
        <v>1047.1600000000001</v>
      </c>
      <c r="K50" s="155"/>
      <c r="L50" s="155"/>
      <c r="M50" s="1571"/>
      <c r="N50" s="1530" t="s">
        <v>356</v>
      </c>
    </row>
    <row r="51" spans="1:14" s="188" customFormat="1">
      <c r="A51" s="902">
        <f t="shared" si="5"/>
        <v>11.339999999999993</v>
      </c>
      <c r="B51" s="180" t="s">
        <v>357</v>
      </c>
      <c r="C51" s="180" t="s">
        <v>358</v>
      </c>
      <c r="D51" s="1529">
        <v>-218.7</v>
      </c>
      <c r="E51" s="1529">
        <v>169.11</v>
      </c>
      <c r="F51" s="1539">
        <f t="shared" si="17"/>
        <v>-24.794999999999987</v>
      </c>
      <c r="G51" s="155"/>
      <c r="H51" s="155"/>
      <c r="I51" s="1571"/>
      <c r="J51" s="1539">
        <f t="shared" si="18"/>
        <v>169.11</v>
      </c>
      <c r="K51" s="155"/>
      <c r="L51" s="155"/>
      <c r="M51" s="1571"/>
      <c r="N51" s="1530" t="s">
        <v>356</v>
      </c>
    </row>
    <row r="52" spans="1:14" s="188" customFormat="1">
      <c r="A52" s="902">
        <f t="shared" si="5"/>
        <v>11.349999999999993</v>
      </c>
      <c r="B52" s="180" t="s">
        <v>359</v>
      </c>
      <c r="C52" s="180" t="s">
        <v>360</v>
      </c>
      <c r="D52" s="1529">
        <v>6640.37</v>
      </c>
      <c r="E52" s="1529">
        <v>6839.51</v>
      </c>
      <c r="F52" s="1539">
        <f t="shared" si="17"/>
        <v>6739.9400000000005</v>
      </c>
      <c r="G52" s="155"/>
      <c r="H52" s="155"/>
      <c r="I52" s="1571"/>
      <c r="J52" s="1539">
        <f t="shared" si="18"/>
        <v>6839.51</v>
      </c>
      <c r="K52" s="155"/>
      <c r="L52" s="155"/>
      <c r="M52" s="1571"/>
      <c r="N52" s="1530" t="s">
        <v>361</v>
      </c>
    </row>
    <row r="53" spans="1:14" s="188" customFormat="1">
      <c r="A53" s="902">
        <f t="shared" si="5"/>
        <v>11.359999999999992</v>
      </c>
      <c r="B53" s="180" t="s">
        <v>362</v>
      </c>
      <c r="C53" s="180" t="s">
        <v>363</v>
      </c>
      <c r="D53" s="1529">
        <v>1071.56</v>
      </c>
      <c r="E53" s="1529">
        <v>1103.72</v>
      </c>
      <c r="F53" s="1539">
        <f t="shared" si="17"/>
        <v>1087.6399999999999</v>
      </c>
      <c r="G53" s="155"/>
      <c r="H53" s="155"/>
      <c r="I53" s="1571"/>
      <c r="J53" s="1539">
        <f t="shared" si="18"/>
        <v>1103.72</v>
      </c>
      <c r="K53" s="155"/>
      <c r="L53" s="155"/>
      <c r="M53" s="1571"/>
      <c r="N53" s="1530" t="s">
        <v>361</v>
      </c>
    </row>
    <row r="54" spans="1:14" s="188" customFormat="1">
      <c r="A54" s="902">
        <f t="shared" si="5"/>
        <v>11.369999999999992</v>
      </c>
      <c r="B54" s="180" t="s">
        <v>1321</v>
      </c>
      <c r="C54" s="180" t="s">
        <v>1322</v>
      </c>
      <c r="D54" s="1529">
        <v>7104</v>
      </c>
      <c r="E54" s="1529">
        <v>7104</v>
      </c>
      <c r="F54" s="1539">
        <f t="shared" si="17"/>
        <v>7104</v>
      </c>
      <c r="G54" s="155"/>
      <c r="H54" s="155"/>
      <c r="I54" s="1571"/>
      <c r="J54" s="1539">
        <f t="shared" si="18"/>
        <v>7104</v>
      </c>
      <c r="K54" s="155"/>
      <c r="L54" s="155"/>
      <c r="M54" s="1571"/>
      <c r="N54" s="1530" t="s">
        <v>1343</v>
      </c>
    </row>
    <row r="55" spans="1:14" s="188" customFormat="1">
      <c r="A55" s="902">
        <f t="shared" si="5"/>
        <v>11.379999999999992</v>
      </c>
      <c r="B55" s="180" t="s">
        <v>364</v>
      </c>
      <c r="C55" s="180" t="s">
        <v>365</v>
      </c>
      <c r="D55" s="1529">
        <v>36198.18</v>
      </c>
      <c r="E55" s="1529">
        <v>36202.400000000001</v>
      </c>
      <c r="F55" s="1539"/>
      <c r="G55" s="155"/>
      <c r="H55" s="155">
        <f t="shared" ref="H55:H56" si="19">+SUM($D55:$E55)/2</f>
        <v>36200.29</v>
      </c>
      <c r="I55" s="1571"/>
      <c r="J55" s="1539"/>
      <c r="K55" s="155"/>
      <c r="L55" s="155">
        <f>+E55</f>
        <v>36202.400000000001</v>
      </c>
      <c r="M55" s="1571"/>
      <c r="N55" s="1530" t="s">
        <v>366</v>
      </c>
    </row>
    <row r="56" spans="1:14" s="188" customFormat="1">
      <c r="A56" s="902">
        <f t="shared" si="5"/>
        <v>11.389999999999992</v>
      </c>
      <c r="B56" s="180" t="s">
        <v>367</v>
      </c>
      <c r="C56" s="180" t="s">
        <v>368</v>
      </c>
      <c r="D56" s="1529">
        <v>5867.34</v>
      </c>
      <c r="E56" s="1529">
        <v>5868.02</v>
      </c>
      <c r="F56" s="1539"/>
      <c r="G56" s="155"/>
      <c r="H56" s="155">
        <f t="shared" si="19"/>
        <v>5867.68</v>
      </c>
      <c r="I56" s="1571"/>
      <c r="J56" s="1539"/>
      <c r="K56" s="155"/>
      <c r="L56" s="155">
        <f>+E56</f>
        <v>5868.02</v>
      </c>
      <c r="M56" s="1571"/>
      <c r="N56" s="1530" t="s">
        <v>366</v>
      </c>
    </row>
    <row r="57" spans="1:14" s="188" customFormat="1" ht="38.25">
      <c r="A57" s="902">
        <f t="shared" si="5"/>
        <v>11.399999999999991</v>
      </c>
      <c r="B57" s="180" t="s">
        <v>1323</v>
      </c>
      <c r="C57" s="180" t="s">
        <v>1324</v>
      </c>
      <c r="D57" s="1529">
        <v>0.51</v>
      </c>
      <c r="E57" s="1529">
        <v>0.51</v>
      </c>
      <c r="F57" s="1539">
        <f t="shared" ref="F57:F78" si="20">+SUM($D57:$E57)/2</f>
        <v>0.51</v>
      </c>
      <c r="G57" s="155"/>
      <c r="H57" s="155"/>
      <c r="I57" s="1571"/>
      <c r="J57" s="1539">
        <f t="shared" ref="J57:J78" si="21">+E57</f>
        <v>0.51</v>
      </c>
      <c r="K57" s="155"/>
      <c r="L57" s="155"/>
      <c r="M57" s="1571"/>
      <c r="N57" s="1530" t="s">
        <v>1344</v>
      </c>
    </row>
    <row r="58" spans="1:14" s="188" customFormat="1" ht="38.25">
      <c r="A58" s="902">
        <f t="shared" si="5"/>
        <v>11.409999999999991</v>
      </c>
      <c r="B58" s="180" t="s">
        <v>1325</v>
      </c>
      <c r="C58" s="180" t="s">
        <v>1326</v>
      </c>
      <c r="D58" s="1529">
        <v>0.12</v>
      </c>
      <c r="E58" s="1529">
        <v>0.12</v>
      </c>
      <c r="F58" s="1539">
        <f t="shared" si="20"/>
        <v>0.12</v>
      </c>
      <c r="G58" s="155"/>
      <c r="H58" s="155"/>
      <c r="I58" s="1571"/>
      <c r="J58" s="1539">
        <f t="shared" si="21"/>
        <v>0.12</v>
      </c>
      <c r="K58" s="155"/>
      <c r="L58" s="155"/>
      <c r="M58" s="1571"/>
      <c r="N58" s="1530" t="s">
        <v>1344</v>
      </c>
    </row>
    <row r="59" spans="1:14" s="188" customFormat="1">
      <c r="A59" s="902">
        <f t="shared" si="5"/>
        <v>11.419999999999991</v>
      </c>
      <c r="B59" s="180" t="s">
        <v>369</v>
      </c>
      <c r="C59" s="180" t="s">
        <v>370</v>
      </c>
      <c r="D59" s="1529">
        <v>-753093.36</v>
      </c>
      <c r="E59" s="1529">
        <v>-1433953.42</v>
      </c>
      <c r="F59" s="1539">
        <f t="shared" si="20"/>
        <v>-1093523.3899999999</v>
      </c>
      <c r="G59" s="155"/>
      <c r="H59" s="155"/>
      <c r="I59" s="1571"/>
      <c r="J59" s="1539">
        <f t="shared" si="21"/>
        <v>-1433953.42</v>
      </c>
      <c r="K59" s="155"/>
      <c r="L59" s="155"/>
      <c r="M59" s="1571"/>
      <c r="N59" s="1558" t="s">
        <v>325</v>
      </c>
    </row>
    <row r="60" spans="1:14" s="188" customFormat="1">
      <c r="A60" s="902">
        <f t="shared" si="5"/>
        <v>11.429999999999991</v>
      </c>
      <c r="B60" s="180" t="s">
        <v>371</v>
      </c>
      <c r="C60" s="180" t="s">
        <v>372</v>
      </c>
      <c r="D60" s="1529">
        <v>-121618.24000000001</v>
      </c>
      <c r="E60" s="1529">
        <v>-231570.79</v>
      </c>
      <c r="F60" s="1539">
        <f t="shared" si="20"/>
        <v>-176594.51500000001</v>
      </c>
      <c r="G60" s="155"/>
      <c r="H60" s="155"/>
      <c r="I60" s="1571"/>
      <c r="J60" s="1539">
        <f t="shared" si="21"/>
        <v>-231570.79</v>
      </c>
      <c r="K60" s="155"/>
      <c r="L60" s="155"/>
      <c r="M60" s="1571"/>
      <c r="N60" s="1558" t="s">
        <v>325</v>
      </c>
    </row>
    <row r="61" spans="1:14" s="188" customFormat="1">
      <c r="A61" s="902">
        <f t="shared" si="5"/>
        <v>11.439999999999991</v>
      </c>
      <c r="B61" s="180" t="s">
        <v>1327</v>
      </c>
      <c r="C61" s="180" t="s">
        <v>1328</v>
      </c>
      <c r="D61" s="1529">
        <v>2439191.5099999998</v>
      </c>
      <c r="E61" s="1529">
        <v>2210183.2999999998</v>
      </c>
      <c r="F61" s="1539">
        <f t="shared" si="20"/>
        <v>2324687.4049999998</v>
      </c>
      <c r="G61" s="155"/>
      <c r="H61" s="155"/>
      <c r="I61" s="1571"/>
      <c r="J61" s="1539">
        <f t="shared" si="21"/>
        <v>2210183.2999999998</v>
      </c>
      <c r="K61" s="155"/>
      <c r="L61" s="155"/>
      <c r="M61" s="1571"/>
      <c r="N61" s="1558" t="s">
        <v>1345</v>
      </c>
    </row>
    <row r="62" spans="1:14" s="188" customFormat="1">
      <c r="A62" s="902">
        <f t="shared" si="5"/>
        <v>11.44999999999999</v>
      </c>
      <c r="B62" s="180" t="s">
        <v>1329</v>
      </c>
      <c r="C62" s="180" t="s">
        <v>1330</v>
      </c>
      <c r="D62" s="1529">
        <v>393901.82</v>
      </c>
      <c r="E62" s="1529">
        <v>356938.66</v>
      </c>
      <c r="F62" s="1539">
        <f t="shared" si="20"/>
        <v>375420.24</v>
      </c>
      <c r="G62" s="155"/>
      <c r="H62" s="155"/>
      <c r="I62" s="1571"/>
      <c r="J62" s="1539">
        <f t="shared" si="21"/>
        <v>356938.66</v>
      </c>
      <c r="K62" s="155"/>
      <c r="L62" s="155"/>
      <c r="M62" s="1571"/>
      <c r="N62" s="1558" t="s">
        <v>1345</v>
      </c>
    </row>
    <row r="63" spans="1:14" s="188" customFormat="1">
      <c r="A63" s="902">
        <f t="shared" si="5"/>
        <v>11.45999999999999</v>
      </c>
      <c r="B63" s="180" t="s">
        <v>373</v>
      </c>
      <c r="C63" s="180" t="s">
        <v>374</v>
      </c>
      <c r="D63" s="1529">
        <v>-2.1800000000000002</v>
      </c>
      <c r="E63" s="1529">
        <v>-2.1800000000000002</v>
      </c>
      <c r="F63" s="1539">
        <f t="shared" si="20"/>
        <v>-2.1800000000000002</v>
      </c>
      <c r="G63" s="155"/>
      <c r="H63" s="155"/>
      <c r="I63" s="1571"/>
      <c r="J63" s="1539">
        <f t="shared" si="21"/>
        <v>-2.1800000000000002</v>
      </c>
      <c r="K63" s="155"/>
      <c r="L63" s="155"/>
      <c r="M63" s="1571"/>
      <c r="N63" s="1558" t="s">
        <v>325</v>
      </c>
    </row>
    <row r="64" spans="1:14" s="188" customFormat="1">
      <c r="A64" s="902">
        <f t="shared" si="5"/>
        <v>11.46999999999999</v>
      </c>
      <c r="B64" s="180" t="s">
        <v>375</v>
      </c>
      <c r="C64" s="180" t="s">
        <v>376</v>
      </c>
      <c r="D64" s="1529">
        <v>3.93</v>
      </c>
      <c r="E64" s="1529">
        <v>3.93</v>
      </c>
      <c r="F64" s="1539">
        <f t="shared" si="20"/>
        <v>3.93</v>
      </c>
      <c r="G64" s="155"/>
      <c r="H64" s="155"/>
      <c r="I64" s="1571"/>
      <c r="J64" s="1539">
        <f t="shared" si="21"/>
        <v>3.93</v>
      </c>
      <c r="K64" s="155"/>
      <c r="L64" s="155"/>
      <c r="M64" s="1571"/>
      <c r="N64" s="1558" t="s">
        <v>325</v>
      </c>
    </row>
    <row r="65" spans="1:14" s="188" customFormat="1">
      <c r="A65" s="902">
        <f t="shared" si="5"/>
        <v>11.47999999999999</v>
      </c>
      <c r="B65" s="180" t="s">
        <v>377</v>
      </c>
      <c r="C65" s="180" t="s">
        <v>378</v>
      </c>
      <c r="D65" s="1529">
        <v>37617.17</v>
      </c>
      <c r="E65" s="1529">
        <v>78735.44</v>
      </c>
      <c r="F65" s="1539">
        <f t="shared" si="20"/>
        <v>58176.305</v>
      </c>
      <c r="G65" s="155"/>
      <c r="H65" s="155"/>
      <c r="I65" s="1571"/>
      <c r="J65" s="1539">
        <f t="shared" si="21"/>
        <v>78735.44</v>
      </c>
      <c r="K65" s="155"/>
      <c r="L65" s="155"/>
      <c r="M65" s="1571"/>
      <c r="N65" s="1558" t="s">
        <v>325</v>
      </c>
    </row>
    <row r="66" spans="1:14" s="188" customFormat="1">
      <c r="A66" s="902">
        <f t="shared" si="5"/>
        <v>11.48999999999999</v>
      </c>
      <c r="B66" s="180" t="s">
        <v>379</v>
      </c>
      <c r="C66" s="180" t="s">
        <v>380</v>
      </c>
      <c r="D66" s="1529">
        <v>6075.63</v>
      </c>
      <c r="E66" s="1529">
        <v>12715.85</v>
      </c>
      <c r="F66" s="1539">
        <f t="shared" si="20"/>
        <v>9395.74</v>
      </c>
      <c r="G66" s="155"/>
      <c r="H66" s="155"/>
      <c r="I66" s="1571"/>
      <c r="J66" s="1539">
        <f t="shared" si="21"/>
        <v>12715.85</v>
      </c>
      <c r="K66" s="155"/>
      <c r="L66" s="155"/>
      <c r="M66" s="1571"/>
      <c r="N66" s="1558" t="s">
        <v>325</v>
      </c>
    </row>
    <row r="67" spans="1:14" s="188" customFormat="1">
      <c r="A67" s="902">
        <f t="shared" si="5"/>
        <v>11.499999999999989</v>
      </c>
      <c r="B67" s="180" t="s">
        <v>381</v>
      </c>
      <c r="C67" s="180" t="s">
        <v>382</v>
      </c>
      <c r="D67" s="1529">
        <v>232230.49</v>
      </c>
      <c r="E67" s="1529">
        <v>237452.39</v>
      </c>
      <c r="F67" s="1539">
        <f t="shared" si="20"/>
        <v>234841.44</v>
      </c>
      <c r="G67" s="155"/>
      <c r="H67" s="155"/>
      <c r="I67" s="1571"/>
      <c r="J67" s="1539">
        <f t="shared" si="21"/>
        <v>237452.39</v>
      </c>
      <c r="K67" s="155"/>
      <c r="L67" s="155"/>
      <c r="M67" s="1571"/>
      <c r="N67" s="1558" t="s">
        <v>325</v>
      </c>
    </row>
    <row r="68" spans="1:14" s="188" customFormat="1">
      <c r="A68" s="902">
        <f t="shared" si="5"/>
        <v>11.509999999999989</v>
      </c>
      <c r="B68" s="180" t="s">
        <v>383</v>
      </c>
      <c r="C68" s="180" t="s">
        <v>384</v>
      </c>
      <c r="D68" s="1529">
        <v>37501.599999999999</v>
      </c>
      <c r="E68" s="1529">
        <v>38344.89</v>
      </c>
      <c r="F68" s="1539">
        <f t="shared" si="20"/>
        <v>37923.244999999995</v>
      </c>
      <c r="G68" s="155"/>
      <c r="H68" s="155"/>
      <c r="I68" s="1571"/>
      <c r="J68" s="1539">
        <f t="shared" si="21"/>
        <v>38344.89</v>
      </c>
      <c r="K68" s="155"/>
      <c r="L68" s="155"/>
      <c r="M68" s="1571"/>
      <c r="N68" s="1558" t="s">
        <v>325</v>
      </c>
    </row>
    <row r="69" spans="1:14" s="188" customFormat="1">
      <c r="A69" s="902">
        <f t="shared" si="5"/>
        <v>11.519999999999989</v>
      </c>
      <c r="B69" s="180" t="s">
        <v>385</v>
      </c>
      <c r="C69" s="180" t="s">
        <v>386</v>
      </c>
      <c r="D69" s="1529">
        <v>-210072.73</v>
      </c>
      <c r="E69" s="1529">
        <v>-210072.73</v>
      </c>
      <c r="F69" s="1539">
        <f t="shared" si="20"/>
        <v>-210072.73</v>
      </c>
      <c r="G69" s="155"/>
      <c r="H69" s="155"/>
      <c r="I69" s="1571"/>
      <c r="J69" s="1539">
        <f t="shared" si="21"/>
        <v>-210072.73</v>
      </c>
      <c r="K69" s="155"/>
      <c r="L69" s="155"/>
      <c r="M69" s="1571"/>
      <c r="N69" s="1558" t="s">
        <v>325</v>
      </c>
    </row>
    <row r="70" spans="1:14" s="188" customFormat="1">
      <c r="A70" s="902">
        <f t="shared" si="5"/>
        <v>11.529999999999989</v>
      </c>
      <c r="B70" s="180" t="s">
        <v>387</v>
      </c>
      <c r="C70" s="180" t="s">
        <v>1331</v>
      </c>
      <c r="D70" s="1529">
        <v>-33921.94</v>
      </c>
      <c r="E70" s="1529">
        <v>-33921.94</v>
      </c>
      <c r="F70" s="1539">
        <f t="shared" si="20"/>
        <v>-33921.94</v>
      </c>
      <c r="G70" s="155"/>
      <c r="H70" s="155"/>
      <c r="I70" s="1571"/>
      <c r="J70" s="1539">
        <f t="shared" si="21"/>
        <v>-33921.94</v>
      </c>
      <c r="K70" s="155"/>
      <c r="L70" s="155"/>
      <c r="M70" s="1571"/>
      <c r="N70" s="1558" t="s">
        <v>325</v>
      </c>
    </row>
    <row r="71" spans="1:14" s="188" customFormat="1">
      <c r="A71" s="902">
        <f t="shared" si="5"/>
        <v>11.539999999999988</v>
      </c>
      <c r="B71" s="180" t="s">
        <v>388</v>
      </c>
      <c r="C71" s="180" t="s">
        <v>389</v>
      </c>
      <c r="D71" s="1529">
        <v>80596.179999999993</v>
      </c>
      <c r="E71" s="1529">
        <v>142762.06</v>
      </c>
      <c r="F71" s="1539">
        <f t="shared" si="20"/>
        <v>111679.12</v>
      </c>
      <c r="G71" s="155"/>
      <c r="H71" s="155"/>
      <c r="I71" s="1571"/>
      <c r="J71" s="1539">
        <f t="shared" si="21"/>
        <v>142762.06</v>
      </c>
      <c r="K71" s="155"/>
      <c r="L71" s="155"/>
      <c r="M71" s="1571"/>
      <c r="N71" s="1558" t="s">
        <v>325</v>
      </c>
    </row>
    <row r="72" spans="1:14" s="188" customFormat="1">
      <c r="A72" s="902">
        <f t="shared" si="5"/>
        <v>11.549999999999988</v>
      </c>
      <c r="B72" s="180" t="s">
        <v>390</v>
      </c>
      <c r="C72" s="180" t="s">
        <v>391</v>
      </c>
      <c r="D72" s="1529">
        <v>13015.52</v>
      </c>
      <c r="E72" s="1529">
        <v>23054.73</v>
      </c>
      <c r="F72" s="1539">
        <f t="shared" si="20"/>
        <v>18035.125</v>
      </c>
      <c r="G72" s="155"/>
      <c r="H72" s="155"/>
      <c r="I72" s="1571"/>
      <c r="J72" s="1539">
        <f t="shared" si="21"/>
        <v>23054.73</v>
      </c>
      <c r="K72" s="155"/>
      <c r="L72" s="155"/>
      <c r="M72" s="1571"/>
      <c r="N72" s="1558" t="s">
        <v>325</v>
      </c>
    </row>
    <row r="73" spans="1:14" s="188" customFormat="1">
      <c r="A73" s="902">
        <f t="shared" si="5"/>
        <v>11.559999999999988</v>
      </c>
      <c r="B73" s="180" t="s">
        <v>392</v>
      </c>
      <c r="C73" s="180" t="s">
        <v>1332</v>
      </c>
      <c r="D73" s="1529">
        <v>-1831.73</v>
      </c>
      <c r="E73" s="1529">
        <v>-1831.73</v>
      </c>
      <c r="F73" s="1539">
        <f t="shared" si="20"/>
        <v>-1831.73</v>
      </c>
      <c r="G73" s="155"/>
      <c r="H73" s="155"/>
      <c r="I73" s="1571"/>
      <c r="J73" s="1539">
        <f t="shared" si="21"/>
        <v>-1831.73</v>
      </c>
      <c r="K73" s="155"/>
      <c r="L73" s="155"/>
      <c r="M73" s="1571"/>
      <c r="N73" s="1558" t="s">
        <v>393</v>
      </c>
    </row>
    <row r="74" spans="1:14" s="188" customFormat="1">
      <c r="A74" s="902">
        <f t="shared" si="5"/>
        <v>11.569999999999988</v>
      </c>
      <c r="B74" s="180" t="s">
        <v>394</v>
      </c>
      <c r="C74" s="180" t="s">
        <v>1333</v>
      </c>
      <c r="D74" s="1529">
        <v>-303.88</v>
      </c>
      <c r="E74" s="1529">
        <v>-303.88</v>
      </c>
      <c r="F74" s="1539">
        <f t="shared" si="20"/>
        <v>-303.88</v>
      </c>
      <c r="G74" s="155"/>
      <c r="H74" s="155"/>
      <c r="I74" s="1571"/>
      <c r="J74" s="1539">
        <f t="shared" si="21"/>
        <v>-303.88</v>
      </c>
      <c r="K74" s="155"/>
      <c r="L74" s="155"/>
      <c r="M74" s="1571"/>
      <c r="N74" s="1558" t="s">
        <v>393</v>
      </c>
    </row>
    <row r="75" spans="1:14" s="188" customFormat="1" ht="25.5">
      <c r="A75" s="902">
        <f t="shared" si="5"/>
        <v>11.579999999999988</v>
      </c>
      <c r="B75" s="180" t="s">
        <v>395</v>
      </c>
      <c r="C75" s="180" t="s">
        <v>396</v>
      </c>
      <c r="D75" s="1529">
        <v>25305.72</v>
      </c>
      <c r="E75" s="1529">
        <v>-780726.54</v>
      </c>
      <c r="F75" s="1539">
        <f t="shared" si="20"/>
        <v>-377710.41000000003</v>
      </c>
      <c r="G75" s="155"/>
      <c r="H75" s="155"/>
      <c r="I75" s="1571"/>
      <c r="J75" s="1539">
        <f t="shared" si="21"/>
        <v>-780726.54</v>
      </c>
      <c r="K75" s="155"/>
      <c r="L75" s="155"/>
      <c r="M75" s="1571"/>
      <c r="N75" s="1530" t="s">
        <v>1346</v>
      </c>
    </row>
    <row r="76" spans="1:14" s="188" customFormat="1" ht="25.5">
      <c r="A76" s="902">
        <f t="shared" si="5"/>
        <v>11.589999999999987</v>
      </c>
      <c r="B76" s="180" t="s">
        <v>397</v>
      </c>
      <c r="C76" s="180" t="s">
        <v>398</v>
      </c>
      <c r="D76" s="1529">
        <v>4085.16</v>
      </c>
      <c r="E76" s="1529">
        <v>-126081.54</v>
      </c>
      <c r="F76" s="1539">
        <f t="shared" si="20"/>
        <v>-60998.189999999995</v>
      </c>
      <c r="G76" s="155"/>
      <c r="H76" s="155"/>
      <c r="I76" s="1571"/>
      <c r="J76" s="1539">
        <f t="shared" si="21"/>
        <v>-126081.54</v>
      </c>
      <c r="K76" s="155"/>
      <c r="L76" s="155"/>
      <c r="M76" s="1571"/>
      <c r="N76" s="1530" t="s">
        <v>1346</v>
      </c>
    </row>
    <row r="77" spans="1:14" s="188" customFormat="1">
      <c r="A77" s="902">
        <f t="shared" si="5"/>
        <v>11.599999999999987</v>
      </c>
      <c r="B77" s="180" t="s">
        <v>399</v>
      </c>
      <c r="C77" s="180" t="s">
        <v>1334</v>
      </c>
      <c r="D77" s="1529">
        <v>-126106.53</v>
      </c>
      <c r="E77" s="1529">
        <v>-126071.05</v>
      </c>
      <c r="F77" s="1539">
        <f t="shared" si="20"/>
        <v>-126088.79000000001</v>
      </c>
      <c r="G77" s="155"/>
      <c r="H77" s="155"/>
      <c r="I77" s="1571"/>
      <c r="J77" s="1539">
        <f t="shared" si="21"/>
        <v>-126071.05</v>
      </c>
      <c r="K77" s="155"/>
      <c r="L77" s="155"/>
      <c r="M77" s="1571"/>
      <c r="N77" s="1558" t="s">
        <v>338</v>
      </c>
    </row>
    <row r="78" spans="1:14" s="188" customFormat="1">
      <c r="A78" s="902">
        <f t="shared" si="5"/>
        <v>11.609999999999987</v>
      </c>
      <c r="B78" s="180" t="s">
        <v>400</v>
      </c>
      <c r="C78" s="180" t="s">
        <v>1335</v>
      </c>
      <c r="D78" s="1529">
        <v>-20366.5</v>
      </c>
      <c r="E78" s="1529">
        <v>-20360.77</v>
      </c>
      <c r="F78" s="1539">
        <f t="shared" si="20"/>
        <v>-20363.635000000002</v>
      </c>
      <c r="G78" s="155"/>
      <c r="H78" s="155"/>
      <c r="I78" s="1571"/>
      <c r="J78" s="1539">
        <f t="shared" si="21"/>
        <v>-20360.77</v>
      </c>
      <c r="K78" s="155"/>
      <c r="L78" s="155"/>
      <c r="M78" s="1571"/>
      <c r="N78" s="1558" t="s">
        <v>338</v>
      </c>
    </row>
    <row r="79" spans="1:14" s="188" customFormat="1">
      <c r="A79" s="902">
        <f t="shared" si="5"/>
        <v>11.619999999999987</v>
      </c>
      <c r="B79" s="180" t="s">
        <v>1336</v>
      </c>
      <c r="C79" s="180" t="s">
        <v>550</v>
      </c>
      <c r="D79" s="1529">
        <v>344011.47</v>
      </c>
      <c r="E79" s="1529">
        <v>7772.2</v>
      </c>
      <c r="F79" s="1539"/>
      <c r="G79" s="155"/>
      <c r="H79" s="155"/>
      <c r="I79" s="1571">
        <f t="shared" ref="I79:I80" si="22">+SUM($D79:$E79)/2</f>
        <v>175891.83499999999</v>
      </c>
      <c r="J79" s="1539"/>
      <c r="K79" s="155"/>
      <c r="L79" s="155"/>
      <c r="M79" s="1571">
        <f>+E79</f>
        <v>7772.2</v>
      </c>
      <c r="N79" s="1558" t="s">
        <v>1347</v>
      </c>
    </row>
    <row r="80" spans="1:14" s="188" customFormat="1">
      <c r="A80" s="902">
        <f t="shared" si="5"/>
        <v>11.629999999999987</v>
      </c>
      <c r="B80" s="1557" t="s">
        <v>1337</v>
      </c>
      <c r="C80" s="180" t="s">
        <v>551</v>
      </c>
      <c r="D80" s="1529">
        <v>55555.81</v>
      </c>
      <c r="E80" s="1529">
        <v>1256.3</v>
      </c>
      <c r="F80" s="1539"/>
      <c r="G80" s="155"/>
      <c r="H80" s="155"/>
      <c r="I80" s="1571">
        <f t="shared" si="22"/>
        <v>28406.055</v>
      </c>
      <c r="J80" s="1539"/>
      <c r="K80" s="155"/>
      <c r="L80" s="155"/>
      <c r="M80" s="1571">
        <f>+E80</f>
        <v>1256.3</v>
      </c>
      <c r="N80" s="1558" t="s">
        <v>1348</v>
      </c>
    </row>
    <row r="81" spans="1:14" s="188" customFormat="1">
      <c r="A81" s="902">
        <f t="shared" si="5"/>
        <v>11.639999999999986</v>
      </c>
      <c r="B81" s="1559" t="s">
        <v>401</v>
      </c>
      <c r="C81" s="180" t="s">
        <v>585</v>
      </c>
      <c r="D81" s="1529">
        <v>1411409.42</v>
      </c>
      <c r="E81" s="1529">
        <v>1559408.67</v>
      </c>
      <c r="F81" s="1539">
        <f t="shared" ref="F81:F84" si="23">+SUM($D81:$E81)/2</f>
        <v>1485409.0449999999</v>
      </c>
      <c r="G81" s="155"/>
      <c r="H81" s="155"/>
      <c r="I81" s="1571"/>
      <c r="J81" s="1539">
        <f>+E81</f>
        <v>1559408.67</v>
      </c>
      <c r="K81" s="155"/>
      <c r="L81" s="155"/>
      <c r="M81" s="1571"/>
      <c r="N81" s="1558" t="s">
        <v>353</v>
      </c>
    </row>
    <row r="82" spans="1:14" s="188" customFormat="1">
      <c r="A82" s="902">
        <f t="shared" ref="A82:A94" si="24">+A81+0.01</f>
        <v>11.649999999999986</v>
      </c>
      <c r="B82" s="1559" t="s">
        <v>402</v>
      </c>
      <c r="C82" s="180" t="s">
        <v>586</v>
      </c>
      <c r="D82" s="1529">
        <v>227523.55</v>
      </c>
      <c r="E82" s="1529">
        <v>251839.59</v>
      </c>
      <c r="F82" s="1539">
        <f t="shared" si="23"/>
        <v>239681.57</v>
      </c>
      <c r="G82" s="155"/>
      <c r="H82" s="155"/>
      <c r="I82" s="1571"/>
      <c r="J82" s="1539">
        <f>+E82</f>
        <v>251839.59</v>
      </c>
      <c r="K82" s="155"/>
      <c r="L82" s="155"/>
      <c r="M82" s="1571"/>
      <c r="N82" s="1558" t="s">
        <v>353</v>
      </c>
    </row>
    <row r="83" spans="1:14" s="188" customFormat="1">
      <c r="A83" s="902">
        <f t="shared" si="24"/>
        <v>11.659999999999986</v>
      </c>
      <c r="B83" s="180" t="s">
        <v>403</v>
      </c>
      <c r="C83" s="180" t="s">
        <v>404</v>
      </c>
      <c r="D83" s="1529">
        <v>13714680.43</v>
      </c>
      <c r="E83" s="1529">
        <v>13365486.960000001</v>
      </c>
      <c r="F83" s="1539">
        <f t="shared" si="23"/>
        <v>13540083.695</v>
      </c>
      <c r="G83" s="155"/>
      <c r="H83" s="155"/>
      <c r="I83" s="1571"/>
      <c r="J83" s="1539">
        <f>+E83</f>
        <v>13365486.960000001</v>
      </c>
      <c r="K83" s="155"/>
      <c r="L83" s="155"/>
      <c r="M83" s="1571"/>
      <c r="N83" s="1530" t="s">
        <v>405</v>
      </c>
    </row>
    <row r="84" spans="1:14" s="188" customFormat="1">
      <c r="A84" s="902">
        <f t="shared" si="24"/>
        <v>11.669999999999986</v>
      </c>
      <c r="B84" s="180" t="s">
        <v>406</v>
      </c>
      <c r="C84" s="180" t="s">
        <v>407</v>
      </c>
      <c r="D84" s="1529">
        <v>2466763.5699999998</v>
      </c>
      <c r="E84" s="1529">
        <v>2410371.9500000002</v>
      </c>
      <c r="F84" s="1539">
        <f t="shared" si="23"/>
        <v>2438567.7599999998</v>
      </c>
      <c r="G84" s="155"/>
      <c r="H84" s="155"/>
      <c r="I84" s="1571"/>
      <c r="J84" s="1539">
        <f>+E84</f>
        <v>2410371.9500000002</v>
      </c>
      <c r="K84" s="155"/>
      <c r="L84" s="155"/>
      <c r="M84" s="1571"/>
      <c r="N84" s="1530" t="s">
        <v>405</v>
      </c>
    </row>
    <row r="85" spans="1:14" s="188" customFormat="1" ht="25.5">
      <c r="A85" s="902">
        <f t="shared" si="24"/>
        <v>11.679999999999986</v>
      </c>
      <c r="B85" s="180" t="s">
        <v>408</v>
      </c>
      <c r="C85" s="180" t="s">
        <v>409</v>
      </c>
      <c r="D85" s="1529">
        <v>2989039.55</v>
      </c>
      <c r="E85" s="1529">
        <v>15231850.189999999</v>
      </c>
      <c r="F85" s="1539"/>
      <c r="G85" s="155"/>
      <c r="H85" s="155">
        <f t="shared" ref="H85:H86" si="25">+SUM($D85:$E85)/2</f>
        <v>9110444.8699999992</v>
      </c>
      <c r="I85" s="1571"/>
      <c r="J85" s="1539"/>
      <c r="K85" s="155"/>
      <c r="L85" s="155">
        <f>+E85</f>
        <v>15231850.189999999</v>
      </c>
      <c r="M85" s="1571"/>
      <c r="N85" s="1530" t="s">
        <v>1349</v>
      </c>
    </row>
    <row r="86" spans="1:14" s="188" customFormat="1" ht="25.5">
      <c r="A86" s="902">
        <f t="shared" si="24"/>
        <v>11.689999999999985</v>
      </c>
      <c r="B86" s="180" t="s">
        <v>410</v>
      </c>
      <c r="C86" s="180" t="s">
        <v>411</v>
      </c>
      <c r="D86" s="1529">
        <v>973288.2</v>
      </c>
      <c r="E86" s="1529">
        <v>707904.41</v>
      </c>
      <c r="F86" s="1539"/>
      <c r="G86" s="155"/>
      <c r="H86" s="155">
        <f t="shared" si="25"/>
        <v>840596.30499999993</v>
      </c>
      <c r="I86" s="1571"/>
      <c r="J86" s="1539"/>
      <c r="K86" s="155"/>
      <c r="L86" s="155">
        <f>+E86</f>
        <v>707904.41</v>
      </c>
      <c r="M86" s="1571"/>
      <c r="N86" s="1530" t="s">
        <v>1350</v>
      </c>
    </row>
    <row r="87" spans="1:14" s="188" customFormat="1">
      <c r="A87" s="902">
        <f t="shared" si="24"/>
        <v>11.699999999999985</v>
      </c>
      <c r="B87" s="180" t="s">
        <v>412</v>
      </c>
      <c r="C87" s="180" t="s">
        <v>413</v>
      </c>
      <c r="D87" s="1529">
        <v>0</v>
      </c>
      <c r="E87" s="1529"/>
      <c r="F87" s="1539">
        <f>+SUM($D87:$E87)/2</f>
        <v>0</v>
      </c>
      <c r="G87" s="155"/>
      <c r="H87" s="155"/>
      <c r="I87" s="1571"/>
      <c r="J87" s="1539">
        <f>+E87</f>
        <v>0</v>
      </c>
      <c r="K87" s="155"/>
      <c r="L87" s="155"/>
      <c r="M87" s="1571"/>
      <c r="N87" s="1530" t="s">
        <v>414</v>
      </c>
    </row>
    <row r="88" spans="1:14" s="188" customFormat="1">
      <c r="A88" s="902">
        <f t="shared" si="24"/>
        <v>11.709999999999985</v>
      </c>
      <c r="B88" s="180" t="s">
        <v>415</v>
      </c>
      <c r="C88" s="180" t="s">
        <v>416</v>
      </c>
      <c r="D88" s="1529">
        <v>1226065</v>
      </c>
      <c r="E88" s="1529">
        <v>76593</v>
      </c>
      <c r="F88" s="1539"/>
      <c r="G88" s="155"/>
      <c r="H88" s="155"/>
      <c r="I88" s="1571">
        <f>+SUM($D88:$E88)/2</f>
        <v>651329</v>
      </c>
      <c r="J88" s="1539"/>
      <c r="K88" s="155"/>
      <c r="L88" s="155"/>
      <c r="M88" s="1571">
        <f>+E88</f>
        <v>76593</v>
      </c>
      <c r="N88" s="1530" t="s">
        <v>1351</v>
      </c>
    </row>
    <row r="89" spans="1:14" s="188" customFormat="1" ht="25.5">
      <c r="A89" s="902">
        <f t="shared" si="24"/>
        <v>11.719999999999985</v>
      </c>
      <c r="B89" s="180" t="s">
        <v>0</v>
      </c>
      <c r="C89" s="180" t="s">
        <v>1</v>
      </c>
      <c r="D89" s="1529"/>
      <c r="E89" s="1529">
        <v>176000</v>
      </c>
      <c r="F89" s="1539"/>
      <c r="G89" s="155"/>
      <c r="H89" s="155">
        <f t="shared" ref="H89:H92" si="26">+SUM($D89:$E89)/2</f>
        <v>88000</v>
      </c>
      <c r="I89" s="1571"/>
      <c r="J89" s="1539"/>
      <c r="K89" s="155"/>
      <c r="L89" s="155">
        <f>+E89</f>
        <v>176000</v>
      </c>
      <c r="M89" s="1571"/>
      <c r="N89" s="1530" t="s">
        <v>1352</v>
      </c>
    </row>
    <row r="90" spans="1:14" s="188" customFormat="1">
      <c r="A90" s="902">
        <f t="shared" si="24"/>
        <v>11.729999999999984</v>
      </c>
      <c r="B90" s="180" t="s">
        <v>2</v>
      </c>
      <c r="C90" s="180" t="s">
        <v>3</v>
      </c>
      <c r="D90" s="1529">
        <v>-2672083.6</v>
      </c>
      <c r="E90" s="1529">
        <v>-942788.67</v>
      </c>
      <c r="F90" s="1539"/>
      <c r="G90" s="155"/>
      <c r="H90" s="155">
        <f t="shared" si="26"/>
        <v>-1807436.135</v>
      </c>
      <c r="I90" s="1571"/>
      <c r="J90" s="1539"/>
      <c r="K90" s="155"/>
      <c r="L90" s="155">
        <f>+E90</f>
        <v>-942788.67</v>
      </c>
      <c r="M90" s="1571"/>
      <c r="N90" s="1530" t="s">
        <v>1353</v>
      </c>
    </row>
    <row r="91" spans="1:14" s="188" customFormat="1" ht="25.5">
      <c r="A91" s="902">
        <f t="shared" si="24"/>
        <v>11.739999999999984</v>
      </c>
      <c r="B91" s="190" t="s">
        <v>4</v>
      </c>
      <c r="C91" s="190" t="s">
        <v>5</v>
      </c>
      <c r="D91" s="1529">
        <v>14070350</v>
      </c>
      <c r="E91" s="1529">
        <v>2420250</v>
      </c>
      <c r="F91" s="1539"/>
      <c r="G91" s="155"/>
      <c r="H91" s="155">
        <f t="shared" si="26"/>
        <v>8245300</v>
      </c>
      <c r="I91" s="1571"/>
      <c r="J91" s="1539"/>
      <c r="K91" s="155"/>
      <c r="L91" s="155">
        <f>+E91</f>
        <v>2420250</v>
      </c>
      <c r="M91" s="1571"/>
      <c r="N91" s="1526" t="s">
        <v>1349</v>
      </c>
    </row>
    <row r="92" spans="1:14" s="188" customFormat="1" ht="25.5">
      <c r="A92" s="902">
        <f t="shared" si="24"/>
        <v>11.749999999999984</v>
      </c>
      <c r="B92" s="190" t="s">
        <v>1338</v>
      </c>
      <c r="C92" s="190" t="s">
        <v>1339</v>
      </c>
      <c r="D92" s="1529">
        <v>542947.68999999994</v>
      </c>
      <c r="E92" s="1529">
        <v>-0.02</v>
      </c>
      <c r="F92" s="1539"/>
      <c r="G92" s="155"/>
      <c r="H92" s="155">
        <f t="shared" si="26"/>
        <v>271473.83499999996</v>
      </c>
      <c r="I92" s="1571"/>
      <c r="J92" s="1539"/>
      <c r="K92" s="155"/>
      <c r="L92" s="155">
        <f>+E92</f>
        <v>-0.02</v>
      </c>
      <c r="M92" s="1571"/>
      <c r="N92" s="1526" t="s">
        <v>1350</v>
      </c>
    </row>
    <row r="93" spans="1:14" s="188" customFormat="1">
      <c r="A93" s="902">
        <f t="shared" si="24"/>
        <v>11.759999999999984</v>
      </c>
      <c r="B93" s="190" t="s">
        <v>6</v>
      </c>
      <c r="C93" s="190" t="s">
        <v>7</v>
      </c>
      <c r="D93" s="1529">
        <v>125645.58</v>
      </c>
      <c r="E93" s="1529">
        <v>93823.83</v>
      </c>
      <c r="F93" s="1539">
        <f t="shared" ref="F93" si="27">+SUM($D93:$E93)/2</f>
        <v>109734.705</v>
      </c>
      <c r="G93" s="155"/>
      <c r="H93" s="155"/>
      <c r="I93" s="1571"/>
      <c r="J93" s="1539">
        <f>+E93</f>
        <v>93823.83</v>
      </c>
      <c r="K93" s="155"/>
      <c r="L93" s="155"/>
      <c r="M93" s="1571"/>
      <c r="N93" s="1526" t="s">
        <v>414</v>
      </c>
    </row>
    <row r="94" spans="1:14" s="188" customFormat="1">
      <c r="A94" s="1302">
        <f t="shared" si="24"/>
        <v>11.769999999999984</v>
      </c>
      <c r="B94" s="1560"/>
      <c r="C94" s="1560" t="s">
        <v>1272</v>
      </c>
      <c r="D94" s="1561">
        <v>0</v>
      </c>
      <c r="E94" s="1561">
        <v>0</v>
      </c>
      <c r="F94" s="1583"/>
      <c r="G94" s="1323"/>
      <c r="H94" s="1323"/>
      <c r="I94" s="1585"/>
      <c r="J94" s="1583"/>
      <c r="K94" s="1323"/>
      <c r="L94" s="1323"/>
      <c r="M94" s="1585"/>
      <c r="N94" s="1562"/>
    </row>
    <row r="95" spans="1:14" s="188" customFormat="1">
      <c r="A95" s="1371" t="s">
        <v>1266</v>
      </c>
      <c r="B95" s="1560"/>
      <c r="C95" s="1560" t="s">
        <v>1272</v>
      </c>
      <c r="D95" s="1561">
        <v>0</v>
      </c>
      <c r="E95" s="1561">
        <v>0</v>
      </c>
      <c r="F95" s="1583"/>
      <c r="G95" s="1323"/>
      <c r="H95" s="1323"/>
      <c r="I95" s="1585"/>
      <c r="J95" s="1583"/>
      <c r="K95" s="1323"/>
      <c r="L95" s="1323"/>
      <c r="M95" s="1585"/>
      <c r="N95" s="1562"/>
    </row>
    <row r="96" spans="1:14" s="188" customFormat="1">
      <c r="A96" s="1302" t="str">
        <f>+A17&amp;".xx"</f>
        <v>11.xx</v>
      </c>
      <c r="B96" s="1560"/>
      <c r="C96" s="1560" t="s">
        <v>1272</v>
      </c>
      <c r="D96" s="1563">
        <v>0</v>
      </c>
      <c r="E96" s="1563">
        <v>0</v>
      </c>
      <c r="F96" s="1586"/>
      <c r="G96" s="1289"/>
      <c r="H96" s="1289"/>
      <c r="I96" s="1587"/>
      <c r="J96" s="1586"/>
      <c r="K96" s="1289"/>
      <c r="L96" s="1289"/>
      <c r="M96" s="1587"/>
      <c r="N96" s="1562"/>
    </row>
    <row r="97" spans="1:16" s="188" customFormat="1" ht="13.5" thickBot="1">
      <c r="A97" s="904">
        <f>+A17+1</f>
        <v>12</v>
      </c>
      <c r="B97" s="1564"/>
      <c r="C97" s="1564"/>
      <c r="D97" s="1565"/>
      <c r="E97" s="1565"/>
      <c r="F97" s="1588"/>
      <c r="G97" s="1589"/>
      <c r="H97" s="1589"/>
      <c r="I97" s="1590"/>
      <c r="J97" s="1588"/>
      <c r="K97" s="1589"/>
      <c r="L97" s="1589"/>
      <c r="M97" s="1590"/>
      <c r="N97" s="1566"/>
    </row>
    <row r="98" spans="1:16" s="180" customFormat="1" ht="13.5" thickBot="1">
      <c r="A98" s="904">
        <f>+A97+1</f>
        <v>13</v>
      </c>
      <c r="B98" s="1567" t="s">
        <v>817</v>
      </c>
      <c r="C98" s="1568"/>
      <c r="D98" s="1569">
        <f t="shared" ref="D98:I98" si="28">SUM(D18:D96)</f>
        <v>68973554.409999996</v>
      </c>
      <c r="E98" s="1569">
        <f t="shared" si="28"/>
        <v>73538034.829999998</v>
      </c>
      <c r="F98" s="1570">
        <f t="shared" si="28"/>
        <v>52126383.290000007</v>
      </c>
      <c r="G98" s="155">
        <f t="shared" si="28"/>
        <v>0</v>
      </c>
      <c r="H98" s="155">
        <f t="shared" si="28"/>
        <v>15063180.589999996</v>
      </c>
      <c r="I98" s="1571">
        <f t="shared" si="28"/>
        <v>4066230.74</v>
      </c>
      <c r="J98" s="1570">
        <f>SUM(J18:J97)</f>
        <v>53918745.639999993</v>
      </c>
      <c r="K98" s="155">
        <f>SUM(K18:K97)</f>
        <v>0</v>
      </c>
      <c r="L98" s="155">
        <f>SUM(L18:L97)</f>
        <v>15719191.590000002</v>
      </c>
      <c r="M98" s="1571">
        <f>SUM(M18:M97)</f>
        <v>3900097.5999999996</v>
      </c>
      <c r="N98" s="1566" t="str">
        <f>+"Sum by Column of Line "&amp;A17&amp;" Subparts"</f>
        <v>Sum by Column of Line 11 Subparts</v>
      </c>
    </row>
    <row r="99" spans="1:16" s="188" customFormat="1" ht="15">
      <c r="A99" s="904">
        <f>+A98+1</f>
        <v>14</v>
      </c>
      <c r="B99" s="1682" t="s">
        <v>864</v>
      </c>
      <c r="C99" s="1682"/>
      <c r="D99" s="1572">
        <f>+D83+D84</f>
        <v>16181444</v>
      </c>
      <c r="E99" s="1572">
        <f t="shared" ref="E99:M99" si="29">+E83+E84</f>
        <v>15775858.91</v>
      </c>
      <c r="F99" s="1573">
        <f t="shared" si="29"/>
        <v>15978651.455</v>
      </c>
      <c r="G99" s="1572">
        <f t="shared" si="29"/>
        <v>0</v>
      </c>
      <c r="H99" s="1572">
        <f t="shared" si="29"/>
        <v>0</v>
      </c>
      <c r="I99" s="1574">
        <f t="shared" si="29"/>
        <v>0</v>
      </c>
      <c r="J99" s="1573">
        <f t="shared" si="29"/>
        <v>15775858.91</v>
      </c>
      <c r="K99" s="1572">
        <f t="shared" si="29"/>
        <v>0</v>
      </c>
      <c r="L99" s="1572">
        <f t="shared" si="29"/>
        <v>0</v>
      </c>
      <c r="M99" s="1574">
        <f t="shared" si="29"/>
        <v>0</v>
      </c>
      <c r="N99" s="190"/>
    </row>
    <row r="100" spans="1:16" s="188" customFormat="1">
      <c r="A100" s="904">
        <f>+A99+1</f>
        <v>15</v>
      </c>
      <c r="B100" s="656" t="s">
        <v>815</v>
      </c>
      <c r="C100" s="1575"/>
      <c r="D100" s="155">
        <f>+D98-D99</f>
        <v>52792110.409999996</v>
      </c>
      <c r="E100" s="155">
        <f>+E98-E99</f>
        <v>57762175.920000002</v>
      </c>
      <c r="F100" s="1570">
        <f>+F98-F99</f>
        <v>36147731.835000008</v>
      </c>
      <c r="G100" s="155">
        <f t="shared" ref="G100:M100" si="30">+G98-G99</f>
        <v>0</v>
      </c>
      <c r="H100" s="155">
        <f t="shared" si="30"/>
        <v>15063180.589999996</v>
      </c>
      <c r="I100" s="1571">
        <f t="shared" si="30"/>
        <v>4066230.74</v>
      </c>
      <c r="J100" s="1570">
        <f t="shared" si="30"/>
        <v>38142886.729999989</v>
      </c>
      <c r="K100" s="155">
        <f t="shared" si="30"/>
        <v>0</v>
      </c>
      <c r="L100" s="155">
        <f t="shared" si="30"/>
        <v>15719191.590000002</v>
      </c>
      <c r="M100" s="1571">
        <f t="shared" si="30"/>
        <v>3900097.5999999996</v>
      </c>
      <c r="N100" s="190" t="str">
        <f>+"Ln "&amp;A98&amp;" Less Ln "&amp;A99</f>
        <v>Ln 13 Less Ln 14</v>
      </c>
    </row>
    <row r="101" spans="1:16" s="188" customFormat="1">
      <c r="A101" s="904">
        <f>+A100+1</f>
        <v>16</v>
      </c>
      <c r="B101" s="1576"/>
      <c r="C101" s="1576"/>
      <c r="D101" s="1576"/>
      <c r="E101" s="1577"/>
      <c r="F101" s="1436"/>
      <c r="G101" s="1436"/>
      <c r="H101" s="1436"/>
      <c r="I101" s="1436"/>
      <c r="J101" s="155"/>
      <c r="K101" s="155"/>
      <c r="L101" s="1436"/>
      <c r="M101" s="1436"/>
      <c r="N101" s="1566"/>
    </row>
    <row r="102" spans="1:16" s="188" customFormat="1" ht="15">
      <c r="A102" s="904">
        <f>+A101+1</f>
        <v>17</v>
      </c>
      <c r="B102" s="656" t="s">
        <v>1075</v>
      </c>
      <c r="C102" s="1557"/>
      <c r="D102" s="1557"/>
      <c r="E102" s="1578"/>
      <c r="F102" s="1686" t="str">
        <f>F8</f>
        <v>Average of BOY/EOY (Col (C+D)/2)</v>
      </c>
      <c r="G102" s="1686"/>
      <c r="H102" s="1686"/>
      <c r="I102" s="1687"/>
      <c r="J102" s="1690" t="str">
        <f>J8</f>
        <v>EOY (Col D)</v>
      </c>
      <c r="K102" s="1690"/>
      <c r="L102" s="1690"/>
      <c r="M102" s="1690"/>
      <c r="N102" s="1579" t="s">
        <v>149</v>
      </c>
    </row>
    <row r="103" spans="1:16" s="188" customFormat="1">
      <c r="A103" s="902">
        <f>+A102+0.01</f>
        <v>17.010000000000002</v>
      </c>
      <c r="B103" s="180" t="s">
        <v>8</v>
      </c>
      <c r="C103" s="180" t="s">
        <v>9</v>
      </c>
      <c r="D103" s="1529">
        <v>-80469634.090000004</v>
      </c>
      <c r="E103" s="1531">
        <v>-60157283.060000002</v>
      </c>
      <c r="F103" s="181"/>
      <c r="G103" s="181"/>
      <c r="H103" s="181">
        <f t="shared" ref="H103:H108" si="31">+SUM($D103:$E103)/2</f>
        <v>-70313458.575000003</v>
      </c>
      <c r="I103" s="1571"/>
      <c r="J103" s="181"/>
      <c r="K103" s="181"/>
      <c r="L103" s="181">
        <f>+E103</f>
        <v>-60157283.060000002</v>
      </c>
      <c r="M103" s="1571"/>
      <c r="N103" s="1526" t="s">
        <v>10</v>
      </c>
    </row>
    <row r="104" spans="1:16" s="188" customFormat="1">
      <c r="A104" s="902">
        <f>+A103+0.01</f>
        <v>17.020000000000003</v>
      </c>
      <c r="B104" s="180" t="s">
        <v>11</v>
      </c>
      <c r="C104" s="180" t="s">
        <v>12</v>
      </c>
      <c r="D104" s="1529">
        <v>-13048395.43</v>
      </c>
      <c r="E104" s="1531">
        <v>-9433041.5099999998</v>
      </c>
      <c r="F104" s="181"/>
      <c r="G104" s="181"/>
      <c r="H104" s="181">
        <f t="shared" si="31"/>
        <v>-11240718.469999999</v>
      </c>
      <c r="I104" s="1571"/>
      <c r="J104" s="181"/>
      <c r="K104" s="181"/>
      <c r="L104" s="181">
        <f>+E104</f>
        <v>-9433041.5099999998</v>
      </c>
      <c r="M104" s="1571"/>
      <c r="N104" s="1526" t="s">
        <v>10</v>
      </c>
    </row>
    <row r="105" spans="1:16" s="188" customFormat="1" ht="15">
      <c r="A105" s="902">
        <f t="shared" ref="A105:A137" si="32">+A104+0.01</f>
        <v>17.030000000000005</v>
      </c>
      <c r="B105" s="180" t="s">
        <v>1354</v>
      </c>
      <c r="C105" s="180" t="s">
        <v>1355</v>
      </c>
      <c r="D105" s="1529">
        <v>0</v>
      </c>
      <c r="E105" s="1531">
        <v>-39889341.759999998</v>
      </c>
      <c r="F105" s="181">
        <f t="shared" ref="F105:F106" si="33">+SUM($D105:$E105)/2</f>
        <v>-19944670.879999999</v>
      </c>
      <c r="G105" s="181"/>
      <c r="H105" s="1591"/>
      <c r="I105" s="1571"/>
      <c r="J105" s="181">
        <f>+E105</f>
        <v>-39889341.759999998</v>
      </c>
      <c r="K105" s="181"/>
      <c r="L105" s="1591"/>
      <c r="M105" s="1571"/>
      <c r="N105" s="1526" t="s">
        <v>17</v>
      </c>
      <c r="O105" s="188" t="s">
        <v>1418</v>
      </c>
      <c r="P105" s="188" t="s">
        <v>1420</v>
      </c>
    </row>
    <row r="106" spans="1:16" s="188" customFormat="1" ht="15">
      <c r="A106" s="902">
        <f t="shared" si="32"/>
        <v>17.040000000000006</v>
      </c>
      <c r="B106" s="180" t="s">
        <v>1356</v>
      </c>
      <c r="C106" s="180" t="s">
        <v>1357</v>
      </c>
      <c r="D106" s="1529">
        <v>0</v>
      </c>
      <c r="E106" s="1531">
        <v>-6441756.7699999996</v>
      </c>
      <c r="F106" s="181">
        <f t="shared" si="33"/>
        <v>-3220878.3849999998</v>
      </c>
      <c r="G106" s="181"/>
      <c r="H106" s="1591"/>
      <c r="I106" s="1571"/>
      <c r="J106" s="181">
        <f>+E106</f>
        <v>-6441756.7699999996</v>
      </c>
      <c r="K106" s="181"/>
      <c r="L106" s="1591"/>
      <c r="M106" s="1571"/>
      <c r="N106" s="1526" t="s">
        <v>17</v>
      </c>
      <c r="O106" s="188" t="s">
        <v>1418</v>
      </c>
      <c r="P106" s="188" t="s">
        <v>1420</v>
      </c>
    </row>
    <row r="107" spans="1:16" s="188" customFormat="1">
      <c r="A107" s="902">
        <f t="shared" si="32"/>
        <v>17.050000000000008</v>
      </c>
      <c r="B107" s="180" t="s">
        <v>13</v>
      </c>
      <c r="C107" s="180" t="s">
        <v>14</v>
      </c>
      <c r="D107" s="1529">
        <v>1463063.08</v>
      </c>
      <c r="E107" s="1531">
        <v>1275613.03</v>
      </c>
      <c r="F107" s="181"/>
      <c r="G107" s="181"/>
      <c r="H107" s="181">
        <f t="shared" si="31"/>
        <v>1369338.0550000002</v>
      </c>
      <c r="I107" s="1571"/>
      <c r="J107" s="181"/>
      <c r="K107" s="181"/>
      <c r="L107" s="181">
        <f t="shared" ref="L107:L118" si="34">+E107</f>
        <v>1275613.03</v>
      </c>
      <c r="M107" s="1571"/>
      <c r="N107" s="1526" t="s">
        <v>10</v>
      </c>
    </row>
    <row r="108" spans="1:16" s="188" customFormat="1">
      <c r="A108" s="902">
        <f t="shared" si="32"/>
        <v>17.060000000000009</v>
      </c>
      <c r="B108" s="180" t="s">
        <v>15</v>
      </c>
      <c r="C108" s="180" t="s">
        <v>16</v>
      </c>
      <c r="D108" s="1529">
        <v>236203.6</v>
      </c>
      <c r="E108" s="1531">
        <v>205932.16</v>
      </c>
      <c r="F108" s="181"/>
      <c r="G108" s="181"/>
      <c r="H108" s="181">
        <f t="shared" si="31"/>
        <v>221067.88</v>
      </c>
      <c r="I108" s="1571"/>
      <c r="J108" s="181"/>
      <c r="K108" s="181"/>
      <c r="L108" s="181">
        <f t="shared" si="34"/>
        <v>205932.16</v>
      </c>
      <c r="M108" s="1571"/>
      <c r="N108" s="1526" t="s">
        <v>10</v>
      </c>
    </row>
    <row r="109" spans="1:16" s="188" customFormat="1">
      <c r="A109" s="902">
        <f t="shared" si="32"/>
        <v>17.070000000000011</v>
      </c>
      <c r="B109" s="180" t="s">
        <v>1358</v>
      </c>
      <c r="C109" s="180" t="s">
        <v>1359</v>
      </c>
      <c r="D109" s="1529">
        <v>-3171312.79</v>
      </c>
      <c r="E109" s="1531">
        <v>-3098467.13</v>
      </c>
      <c r="F109" s="181"/>
      <c r="G109" s="181"/>
      <c r="H109" s="181">
        <f t="shared" ref="H109:H110" si="35">+SUM($D109:$E109)/2</f>
        <v>-3134889.96</v>
      </c>
      <c r="I109" s="1571"/>
      <c r="J109" s="181"/>
      <c r="K109" s="181"/>
      <c r="L109" s="181">
        <f t="shared" si="34"/>
        <v>-3098467.13</v>
      </c>
      <c r="M109" s="1571"/>
      <c r="N109" s="1526" t="s">
        <v>17</v>
      </c>
    </row>
    <row r="110" spans="1:16" s="188" customFormat="1">
      <c r="A110" s="902">
        <f t="shared" si="32"/>
        <v>17.080000000000013</v>
      </c>
      <c r="B110" s="180" t="s">
        <v>1360</v>
      </c>
      <c r="C110" s="180" t="s">
        <v>1361</v>
      </c>
      <c r="D110" s="1529">
        <v>-512153.04</v>
      </c>
      <c r="E110" s="1531">
        <v>-500393.52</v>
      </c>
      <c r="F110" s="181"/>
      <c r="G110" s="181"/>
      <c r="H110" s="181">
        <f t="shared" si="35"/>
        <v>-506273.28000000003</v>
      </c>
      <c r="I110" s="1571"/>
      <c r="J110" s="181"/>
      <c r="K110" s="181"/>
      <c r="L110" s="181">
        <f t="shared" si="34"/>
        <v>-500393.52</v>
      </c>
      <c r="M110" s="1571"/>
      <c r="N110" s="1526" t="s">
        <v>17</v>
      </c>
    </row>
    <row r="111" spans="1:16" s="188" customFormat="1">
      <c r="A111" s="902">
        <f t="shared" si="32"/>
        <v>17.090000000000014</v>
      </c>
      <c r="B111" s="180" t="s">
        <v>18</v>
      </c>
      <c r="C111" s="180" t="s">
        <v>19</v>
      </c>
      <c r="D111" s="1529">
        <v>-226486.06</v>
      </c>
      <c r="E111" s="1531">
        <v>-77095.539999999994</v>
      </c>
      <c r="F111" s="181"/>
      <c r="G111" s="181"/>
      <c r="H111" s="181">
        <f t="shared" ref="H111:H118" si="36">+SUM($D111:$E111)/2</f>
        <v>-151790.79999999999</v>
      </c>
      <c r="I111" s="1571"/>
      <c r="J111" s="181"/>
      <c r="K111" s="181"/>
      <c r="L111" s="181">
        <f t="shared" si="34"/>
        <v>-77095.539999999994</v>
      </c>
      <c r="M111" s="1571"/>
      <c r="N111" s="1526" t="s">
        <v>17</v>
      </c>
    </row>
    <row r="112" spans="1:16" s="188" customFormat="1">
      <c r="A112" s="902">
        <f t="shared" si="32"/>
        <v>17.100000000000016</v>
      </c>
      <c r="B112" s="180" t="s">
        <v>20</v>
      </c>
      <c r="C112" s="180" t="s">
        <v>21</v>
      </c>
      <c r="D112" s="1529">
        <v>-36591.82</v>
      </c>
      <c r="E112" s="1531">
        <v>-12470.84</v>
      </c>
      <c r="F112" s="181"/>
      <c r="G112" s="181"/>
      <c r="H112" s="181">
        <f t="shared" si="36"/>
        <v>-24531.33</v>
      </c>
      <c r="I112" s="1571"/>
      <c r="J112" s="181"/>
      <c r="K112" s="181"/>
      <c r="L112" s="181">
        <f t="shared" si="34"/>
        <v>-12470.84</v>
      </c>
      <c r="M112" s="1571"/>
      <c r="N112" s="1526" t="s">
        <v>17</v>
      </c>
    </row>
    <row r="113" spans="1:14" s="188" customFormat="1">
      <c r="A113" s="902">
        <f t="shared" si="32"/>
        <v>17.110000000000017</v>
      </c>
      <c r="B113" s="180" t="s">
        <v>22</v>
      </c>
      <c r="C113" s="180" t="s">
        <v>23</v>
      </c>
      <c r="D113" s="1529">
        <v>-5802.95</v>
      </c>
      <c r="E113" s="1531">
        <v>-8086.23</v>
      </c>
      <c r="F113" s="229"/>
      <c r="G113" s="181"/>
      <c r="H113" s="181">
        <f t="shared" si="36"/>
        <v>-6944.59</v>
      </c>
      <c r="I113" s="1571"/>
      <c r="J113" s="181"/>
      <c r="K113" s="181"/>
      <c r="L113" s="181">
        <f t="shared" si="34"/>
        <v>-8086.23</v>
      </c>
      <c r="M113" s="1571"/>
      <c r="N113" s="1526" t="s">
        <v>299</v>
      </c>
    </row>
    <row r="114" spans="1:14" s="188" customFormat="1">
      <c r="A114" s="902">
        <f t="shared" si="32"/>
        <v>17.120000000000019</v>
      </c>
      <c r="B114" s="180" t="s">
        <v>24</v>
      </c>
      <c r="C114" s="180" t="s">
        <v>25</v>
      </c>
      <c r="D114" s="1529">
        <v>-936.03</v>
      </c>
      <c r="E114" s="1531">
        <v>-1304.75</v>
      </c>
      <c r="F114" s="229"/>
      <c r="G114" s="181"/>
      <c r="H114" s="181">
        <f t="shared" si="36"/>
        <v>-1120.3899999999999</v>
      </c>
      <c r="I114" s="1571"/>
      <c r="J114" s="181"/>
      <c r="K114" s="181"/>
      <c r="L114" s="181">
        <f t="shared" si="34"/>
        <v>-1304.75</v>
      </c>
      <c r="M114" s="1571"/>
      <c r="N114" s="1526" t="s">
        <v>299</v>
      </c>
    </row>
    <row r="115" spans="1:14" s="188" customFormat="1">
      <c r="A115" s="902">
        <f t="shared" si="32"/>
        <v>17.13000000000002</v>
      </c>
      <c r="B115" s="180" t="s">
        <v>26</v>
      </c>
      <c r="C115" s="180" t="s">
        <v>27</v>
      </c>
      <c r="D115" s="1529">
        <v>-2</v>
      </c>
      <c r="E115" s="1531">
        <v>-1</v>
      </c>
      <c r="F115" s="181"/>
      <c r="G115" s="181"/>
      <c r="H115" s="181">
        <f t="shared" si="36"/>
        <v>-1.5</v>
      </c>
      <c r="I115" s="1571"/>
      <c r="J115" s="181"/>
      <c r="K115" s="181"/>
      <c r="L115" s="181">
        <f t="shared" si="34"/>
        <v>-1</v>
      </c>
      <c r="M115" s="1571"/>
      <c r="N115" s="1526" t="s">
        <v>17</v>
      </c>
    </row>
    <row r="116" spans="1:14" s="188" customFormat="1">
      <c r="A116" s="902">
        <f t="shared" si="32"/>
        <v>17.140000000000022</v>
      </c>
      <c r="B116" s="180" t="s">
        <v>28</v>
      </c>
      <c r="C116" s="180" t="s">
        <v>29</v>
      </c>
      <c r="D116" s="1529">
        <v>2</v>
      </c>
      <c r="E116" s="1531">
        <v>1</v>
      </c>
      <c r="F116" s="181"/>
      <c r="G116" s="181"/>
      <c r="H116" s="181">
        <f t="shared" si="36"/>
        <v>1.5</v>
      </c>
      <c r="I116" s="1571"/>
      <c r="J116" s="181"/>
      <c r="K116" s="181"/>
      <c r="L116" s="181">
        <f t="shared" si="34"/>
        <v>1</v>
      </c>
      <c r="M116" s="1571"/>
      <c r="N116" s="1526" t="s">
        <v>17</v>
      </c>
    </row>
    <row r="117" spans="1:14" s="188" customFormat="1">
      <c r="A117" s="902">
        <f t="shared" si="32"/>
        <v>17.150000000000023</v>
      </c>
      <c r="B117" s="180" t="s">
        <v>31</v>
      </c>
      <c r="C117" s="180" t="s">
        <v>32</v>
      </c>
      <c r="D117" s="1529">
        <v>977032.17</v>
      </c>
      <c r="E117" s="1531">
        <v>1123599.52</v>
      </c>
      <c r="F117" s="181"/>
      <c r="G117" s="181"/>
      <c r="H117" s="181">
        <f t="shared" si="36"/>
        <v>1050315.845</v>
      </c>
      <c r="I117" s="1571"/>
      <c r="J117" s="181"/>
      <c r="K117" s="181"/>
      <c r="L117" s="181">
        <f t="shared" si="34"/>
        <v>1123599.52</v>
      </c>
      <c r="M117" s="1571"/>
      <c r="N117" s="1526" t="s">
        <v>17</v>
      </c>
    </row>
    <row r="118" spans="1:14" s="188" customFormat="1">
      <c r="A118" s="902">
        <f t="shared" si="32"/>
        <v>17.160000000000025</v>
      </c>
      <c r="B118" s="180" t="s">
        <v>33</v>
      </c>
      <c r="C118" s="180" t="s">
        <v>34</v>
      </c>
      <c r="D118" s="1529">
        <v>157776.5</v>
      </c>
      <c r="E118" s="1531">
        <v>181456.95</v>
      </c>
      <c r="F118" s="181"/>
      <c r="G118" s="181"/>
      <c r="H118" s="181">
        <f t="shared" si="36"/>
        <v>169616.72500000001</v>
      </c>
      <c r="I118" s="1571"/>
      <c r="J118" s="181"/>
      <c r="K118" s="181"/>
      <c r="L118" s="181">
        <f t="shared" si="34"/>
        <v>181456.95</v>
      </c>
      <c r="M118" s="1571"/>
      <c r="N118" s="1526" t="s">
        <v>17</v>
      </c>
    </row>
    <row r="119" spans="1:14" s="188" customFormat="1">
      <c r="A119" s="902">
        <f t="shared" si="32"/>
        <v>17.170000000000027</v>
      </c>
      <c r="B119" s="180" t="s">
        <v>35</v>
      </c>
      <c r="C119" s="180" t="s">
        <v>36</v>
      </c>
      <c r="D119" s="1529">
        <v>-5428735.6100000003</v>
      </c>
      <c r="E119" s="1531">
        <v>-4751839.8</v>
      </c>
      <c r="F119" s="181"/>
      <c r="G119" s="181"/>
      <c r="H119" s="181"/>
      <c r="I119" s="1571">
        <f t="shared" ref="I119:I120" si="37">+SUM($D119:$E119)/2</f>
        <v>-5090287.7050000001</v>
      </c>
      <c r="J119" s="181"/>
      <c r="K119" s="181"/>
      <c r="L119" s="181"/>
      <c r="M119" s="1571">
        <f>+E119</f>
        <v>-4751839.8</v>
      </c>
      <c r="N119" s="1526" t="s">
        <v>30</v>
      </c>
    </row>
    <row r="120" spans="1:14" s="188" customFormat="1">
      <c r="A120" s="902">
        <f t="shared" si="32"/>
        <v>17.180000000000028</v>
      </c>
      <c r="B120" s="180" t="s">
        <v>37</v>
      </c>
      <c r="C120" s="180" t="s">
        <v>38</v>
      </c>
      <c r="D120" s="1529">
        <v>-876705.13</v>
      </c>
      <c r="E120" s="1531">
        <v>-767406.56</v>
      </c>
      <c r="F120" s="181"/>
      <c r="G120" s="181"/>
      <c r="H120" s="181"/>
      <c r="I120" s="1571">
        <f t="shared" si="37"/>
        <v>-822055.84499999997</v>
      </c>
      <c r="J120" s="181"/>
      <c r="K120" s="181"/>
      <c r="L120" s="181"/>
      <c r="M120" s="1571">
        <f>+E120</f>
        <v>-767406.56</v>
      </c>
      <c r="N120" s="1526" t="s">
        <v>30</v>
      </c>
    </row>
    <row r="121" spans="1:14" s="188" customFormat="1" ht="12.75" customHeight="1">
      <c r="A121" s="902">
        <f t="shared" si="32"/>
        <v>17.19000000000003</v>
      </c>
      <c r="B121" s="180" t="s">
        <v>1362</v>
      </c>
      <c r="C121" s="180" t="s">
        <v>1363</v>
      </c>
      <c r="D121" s="1529">
        <v>-1892255</v>
      </c>
      <c r="E121" s="1531">
        <v>-3094782.07</v>
      </c>
      <c r="F121" s="181"/>
      <c r="G121" s="181"/>
      <c r="H121" s="181">
        <f t="shared" ref="H121:H124" si="38">+SUM($D121:$E121)/2</f>
        <v>-2493518.5350000001</v>
      </c>
      <c r="I121" s="1571"/>
      <c r="J121" s="181"/>
      <c r="K121" s="181"/>
      <c r="L121" s="181">
        <f t="shared" ref="L121:L122" si="39">+E121</f>
        <v>-3094782.07</v>
      </c>
      <c r="M121" s="1571"/>
      <c r="N121" s="1526" t="s">
        <v>17</v>
      </c>
    </row>
    <row r="122" spans="1:14" s="188" customFormat="1">
      <c r="A122" s="902">
        <f t="shared" si="32"/>
        <v>17.200000000000031</v>
      </c>
      <c r="B122" s="180" t="s">
        <v>1364</v>
      </c>
      <c r="C122" s="180" t="s">
        <v>1365</v>
      </c>
      <c r="D122" s="1529">
        <v>-1502014.67</v>
      </c>
      <c r="E122" s="1531">
        <v>-1627954.51</v>
      </c>
      <c r="F122" s="181"/>
      <c r="G122" s="181"/>
      <c r="H122" s="181">
        <f t="shared" si="38"/>
        <v>-1564984.5899999999</v>
      </c>
      <c r="I122" s="1571"/>
      <c r="J122" s="181"/>
      <c r="K122" s="181"/>
      <c r="L122" s="181">
        <f t="shared" si="39"/>
        <v>-1627954.51</v>
      </c>
      <c r="M122" s="1571"/>
      <c r="N122" s="1526" t="s">
        <v>17</v>
      </c>
    </row>
    <row r="123" spans="1:14" s="188" customFormat="1">
      <c r="A123" s="902">
        <f t="shared" si="32"/>
        <v>17.210000000000033</v>
      </c>
      <c r="B123" s="180" t="s">
        <v>39</v>
      </c>
      <c r="C123" s="180" t="s">
        <v>40</v>
      </c>
      <c r="D123" s="1529">
        <v>-17876462.609999999</v>
      </c>
      <c r="E123" s="1531">
        <v>-16177347.439999999</v>
      </c>
      <c r="F123" s="181"/>
      <c r="G123" s="181"/>
      <c r="H123" s="181">
        <f t="shared" si="38"/>
        <v>-17026905.024999999</v>
      </c>
      <c r="I123" s="1571"/>
      <c r="J123" s="181"/>
      <c r="K123" s="181"/>
      <c r="L123" s="181">
        <f>+E123</f>
        <v>-16177347.439999999</v>
      </c>
      <c r="M123" s="1571"/>
      <c r="N123" s="1526" t="s">
        <v>17</v>
      </c>
    </row>
    <row r="124" spans="1:14" s="188" customFormat="1">
      <c r="A124" s="902">
        <f t="shared" si="32"/>
        <v>17.220000000000034</v>
      </c>
      <c r="B124" s="180" t="s">
        <v>41</v>
      </c>
      <c r="C124" s="180" t="s">
        <v>42</v>
      </c>
      <c r="D124" s="1529">
        <v>-5847849.7599999998</v>
      </c>
      <c r="E124" s="1531">
        <v>-5419586.9699999997</v>
      </c>
      <c r="F124" s="181"/>
      <c r="G124" s="181"/>
      <c r="H124" s="181">
        <f t="shared" si="38"/>
        <v>-5633718.3650000002</v>
      </c>
      <c r="I124" s="1571"/>
      <c r="J124" s="181"/>
      <c r="K124" s="181"/>
      <c r="L124" s="181">
        <f>+E124</f>
        <v>-5419586.9699999997</v>
      </c>
      <c r="M124" s="1571"/>
      <c r="N124" s="1526" t="s">
        <v>17</v>
      </c>
    </row>
    <row r="125" spans="1:14" s="188" customFormat="1">
      <c r="A125" s="902">
        <f t="shared" si="32"/>
        <v>17.230000000000036</v>
      </c>
      <c r="B125" s="180" t="s">
        <v>43</v>
      </c>
      <c r="C125" s="180" t="s">
        <v>404</v>
      </c>
      <c r="D125" s="1529">
        <v>26692901.620000001</v>
      </c>
      <c r="E125" s="1531">
        <v>12157930.35</v>
      </c>
      <c r="F125" s="181">
        <f t="shared" ref="F125:F126" si="40">+SUM($D125:$E125)/2</f>
        <v>19425415.984999999</v>
      </c>
      <c r="G125" s="181"/>
      <c r="H125" s="181"/>
      <c r="I125" s="1571"/>
      <c r="J125" s="181">
        <f>+E125</f>
        <v>12157930.35</v>
      </c>
      <c r="K125" s="181"/>
      <c r="L125" s="181"/>
      <c r="M125" s="1571"/>
      <c r="N125" s="1526" t="s">
        <v>405</v>
      </c>
    </row>
    <row r="126" spans="1:14" s="188" customFormat="1">
      <c r="A126" s="902">
        <f t="shared" si="32"/>
        <v>17.240000000000038</v>
      </c>
      <c r="B126" s="180" t="s">
        <v>44</v>
      </c>
      <c r="C126" s="180" t="s">
        <v>407</v>
      </c>
      <c r="D126" s="1529">
        <v>4467517.1399999997</v>
      </c>
      <c r="E126" s="1531">
        <v>2350909.8199999998</v>
      </c>
      <c r="F126" s="181">
        <f t="shared" si="40"/>
        <v>3409213.4799999995</v>
      </c>
      <c r="G126" s="181"/>
      <c r="H126" s="181"/>
      <c r="I126" s="1571"/>
      <c r="J126" s="181">
        <f>+E126</f>
        <v>2350909.8199999998</v>
      </c>
      <c r="K126" s="181"/>
      <c r="L126" s="181"/>
      <c r="M126" s="1571"/>
      <c r="N126" s="1526" t="s">
        <v>405</v>
      </c>
    </row>
    <row r="127" spans="1:14" s="188" customFormat="1">
      <c r="A127" s="902">
        <f t="shared" si="32"/>
        <v>17.250000000000039</v>
      </c>
      <c r="B127" s="180" t="s">
        <v>45</v>
      </c>
      <c r="C127" s="180" t="s">
        <v>46</v>
      </c>
      <c r="D127" s="1529">
        <v>-3108275.21</v>
      </c>
      <c r="E127" s="1531">
        <v>-4161986.23</v>
      </c>
      <c r="F127" s="181"/>
      <c r="G127" s="181"/>
      <c r="H127" s="181">
        <f t="shared" ref="H127:H128" si="41">+SUM($D127:$E127)/2</f>
        <v>-3635130.7199999997</v>
      </c>
      <c r="I127" s="1571"/>
      <c r="J127" s="181"/>
      <c r="K127" s="181"/>
      <c r="L127" s="181">
        <f>+E127</f>
        <v>-4161986.23</v>
      </c>
      <c r="M127" s="1571"/>
      <c r="N127" s="1526" t="s">
        <v>17</v>
      </c>
    </row>
    <row r="128" spans="1:14" s="188" customFormat="1">
      <c r="A128" s="902">
        <f t="shared" si="32"/>
        <v>17.260000000000041</v>
      </c>
      <c r="B128" s="180" t="s">
        <v>47</v>
      </c>
      <c r="C128" s="180" t="s">
        <v>48</v>
      </c>
      <c r="D128" s="1529">
        <v>-501981.67</v>
      </c>
      <c r="E128" s="1531">
        <v>-672149.72</v>
      </c>
      <c r="F128" s="181"/>
      <c r="G128" s="181"/>
      <c r="H128" s="181">
        <f t="shared" si="41"/>
        <v>-587065.69499999995</v>
      </c>
      <c r="I128" s="1571"/>
      <c r="J128" s="181"/>
      <c r="K128" s="181"/>
      <c r="L128" s="181">
        <f>+$E128</f>
        <v>-672149.72</v>
      </c>
      <c r="M128" s="1571"/>
      <c r="N128" s="1526" t="s">
        <v>17</v>
      </c>
    </row>
    <row r="129" spans="1:15" s="188" customFormat="1">
      <c r="A129" s="902">
        <f t="shared" si="32"/>
        <v>17.270000000000042</v>
      </c>
      <c r="B129" s="180" t="s">
        <v>49</v>
      </c>
      <c r="C129" s="180" t="s">
        <v>50</v>
      </c>
      <c r="D129" s="1529">
        <v>-14872114.67</v>
      </c>
      <c r="E129" s="1531">
        <v>-17150295.510000002</v>
      </c>
      <c r="F129" s="181">
        <f t="shared" ref="F129:F132" si="42">+SUM($D129:$E129)/2</f>
        <v>-16011205.09</v>
      </c>
      <c r="G129" s="181"/>
      <c r="H129" s="181"/>
      <c r="I129" s="1571"/>
      <c r="J129" s="181">
        <f>+E129</f>
        <v>-17150295.510000002</v>
      </c>
      <c r="K129" s="181"/>
      <c r="L129" s="181"/>
      <c r="M129" s="1571"/>
      <c r="N129" s="1526" t="s">
        <v>338</v>
      </c>
    </row>
    <row r="130" spans="1:15" s="188" customFormat="1">
      <c r="A130" s="902">
        <f t="shared" si="32"/>
        <v>17.280000000000044</v>
      </c>
      <c r="B130" s="180" t="s">
        <v>51</v>
      </c>
      <c r="C130" s="180" t="s">
        <v>1366</v>
      </c>
      <c r="D130" s="1529">
        <v>-2401805.58</v>
      </c>
      <c r="E130" s="1531">
        <v>-2769712.65</v>
      </c>
      <c r="F130" s="181">
        <f t="shared" si="42"/>
        <v>-2585759.1150000002</v>
      </c>
      <c r="G130" s="181"/>
      <c r="H130" s="181"/>
      <c r="I130" s="1571"/>
      <c r="J130" s="181">
        <f>+E130</f>
        <v>-2769712.65</v>
      </c>
      <c r="K130" s="181"/>
      <c r="L130" s="181"/>
      <c r="M130" s="1571"/>
      <c r="N130" s="1526" t="s">
        <v>338</v>
      </c>
    </row>
    <row r="131" spans="1:15" s="188" customFormat="1">
      <c r="A131" s="902">
        <f t="shared" si="32"/>
        <v>17.290000000000045</v>
      </c>
      <c r="B131" s="180" t="s">
        <v>1367</v>
      </c>
      <c r="C131" s="180" t="s">
        <v>552</v>
      </c>
      <c r="D131" s="1529">
        <v>823318.55</v>
      </c>
      <c r="E131" s="1531">
        <v>911643.95</v>
      </c>
      <c r="F131" s="181">
        <f t="shared" si="42"/>
        <v>867481.25</v>
      </c>
      <c r="G131" s="181"/>
      <c r="H131" s="181"/>
      <c r="I131" s="1571"/>
      <c r="J131" s="181">
        <f>+E131</f>
        <v>911643.95</v>
      </c>
      <c r="K131" s="181"/>
      <c r="L131" s="181"/>
      <c r="M131" s="1571"/>
      <c r="N131" s="1526" t="s">
        <v>338</v>
      </c>
      <c r="O131" s="188" t="s">
        <v>1419</v>
      </c>
    </row>
    <row r="132" spans="1:15" s="188" customFormat="1">
      <c r="A132" s="902">
        <f t="shared" si="32"/>
        <v>17.300000000000047</v>
      </c>
      <c r="B132" s="180" t="s">
        <v>1368</v>
      </c>
      <c r="C132" s="180" t="s">
        <v>553</v>
      </c>
      <c r="D132" s="1529">
        <v>132958.26999999999</v>
      </c>
      <c r="E132" s="1531">
        <v>147222</v>
      </c>
      <c r="F132" s="181">
        <f t="shared" si="42"/>
        <v>140090.13500000001</v>
      </c>
      <c r="G132" s="181"/>
      <c r="H132" s="181"/>
      <c r="I132" s="1571"/>
      <c r="J132" s="181">
        <f>+E132</f>
        <v>147222</v>
      </c>
      <c r="K132" s="181"/>
      <c r="L132" s="181"/>
      <c r="M132" s="1571"/>
      <c r="N132" s="1526" t="s">
        <v>338</v>
      </c>
      <c r="O132" s="188" t="s">
        <v>1419</v>
      </c>
    </row>
    <row r="133" spans="1:15" s="188" customFormat="1">
      <c r="A133" s="902">
        <f t="shared" si="32"/>
        <v>17.310000000000048</v>
      </c>
      <c r="B133" s="180" t="s">
        <v>1204</v>
      </c>
      <c r="C133" s="180" t="s">
        <v>1205</v>
      </c>
      <c r="D133" s="1529">
        <v>0</v>
      </c>
      <c r="E133" s="1531">
        <v>-26968.49</v>
      </c>
      <c r="F133" s="181"/>
      <c r="G133" s="181">
        <f t="shared" ref="G133:G134" si="43">+SUM($D133:$E133)/2</f>
        <v>-13484.245000000001</v>
      </c>
      <c r="H133" s="181"/>
      <c r="I133" s="1571"/>
      <c r="J133" s="181"/>
      <c r="K133" s="181">
        <f>+$E133</f>
        <v>-26968.49</v>
      </c>
      <c r="L133" s="181"/>
      <c r="M133" s="1571"/>
      <c r="N133" s="1526" t="s">
        <v>1206</v>
      </c>
      <c r="O133" s="188" t="s">
        <v>1418</v>
      </c>
    </row>
    <row r="134" spans="1:15" s="188" customFormat="1">
      <c r="A134" s="902">
        <f t="shared" si="32"/>
        <v>17.32000000000005</v>
      </c>
      <c r="B134" s="180" t="s">
        <v>1207</v>
      </c>
      <c r="C134" s="180" t="s">
        <v>1208</v>
      </c>
      <c r="D134" s="1529">
        <v>0</v>
      </c>
      <c r="E134" s="1531">
        <v>-4355.16</v>
      </c>
      <c r="F134" s="181"/>
      <c r="G134" s="181">
        <f t="shared" si="43"/>
        <v>-2177.58</v>
      </c>
      <c r="H134" s="181"/>
      <c r="I134" s="1571"/>
      <c r="J134" s="181"/>
      <c r="K134" s="181">
        <f>+$E134</f>
        <v>-4355.16</v>
      </c>
      <c r="L134" s="181"/>
      <c r="M134" s="1571"/>
      <c r="N134" s="1526" t="s">
        <v>1206</v>
      </c>
      <c r="O134" s="188" t="s">
        <v>1418</v>
      </c>
    </row>
    <row r="135" spans="1:15" s="188" customFormat="1">
      <c r="A135" s="902">
        <f t="shared" si="32"/>
        <v>17.330000000000052</v>
      </c>
      <c r="B135" s="180" t="s">
        <v>52</v>
      </c>
      <c r="C135" s="180" t="s">
        <v>53</v>
      </c>
      <c r="D135" s="1529">
        <v>-0.4</v>
      </c>
      <c r="E135" s="1531">
        <v>-0.4</v>
      </c>
      <c r="F135" s="181"/>
      <c r="G135" s="181"/>
      <c r="H135" s="181">
        <f t="shared" ref="H135:H136" si="44">+SUM($D135:$E135)/2</f>
        <v>-0.4</v>
      </c>
      <c r="I135" s="1571"/>
      <c r="J135" s="181"/>
      <c r="K135" s="181"/>
      <c r="L135" s="181">
        <f>+E135</f>
        <v>-0.4</v>
      </c>
      <c r="M135" s="1571"/>
      <c r="N135" s="1526" t="s">
        <v>10</v>
      </c>
    </row>
    <row r="136" spans="1:15" s="188" customFormat="1">
      <c r="A136" s="902">
        <f t="shared" si="32"/>
        <v>17.340000000000053</v>
      </c>
      <c r="B136" s="190" t="s">
        <v>54</v>
      </c>
      <c r="C136" s="190" t="s">
        <v>55</v>
      </c>
      <c r="D136" s="1529">
        <v>-0.32</v>
      </c>
      <c r="E136" s="1531">
        <v>-0.32</v>
      </c>
      <c r="F136" s="155"/>
      <c r="G136" s="155"/>
      <c r="H136" s="155">
        <f t="shared" si="44"/>
        <v>-0.32</v>
      </c>
      <c r="I136" s="1571"/>
      <c r="J136" s="155"/>
      <c r="K136" s="155"/>
      <c r="L136" s="155">
        <f>+E136</f>
        <v>-0.32</v>
      </c>
      <c r="M136" s="1571"/>
      <c r="N136" s="1566" t="s">
        <v>10</v>
      </c>
    </row>
    <row r="137" spans="1:15" s="188" customFormat="1">
      <c r="A137" s="902">
        <f t="shared" si="32"/>
        <v>17.350000000000055</v>
      </c>
      <c r="B137" s="191"/>
      <c r="C137" s="1560" t="s">
        <v>1272</v>
      </c>
      <c r="D137" s="1561">
        <v>0</v>
      </c>
      <c r="E137" s="1561">
        <v>0</v>
      </c>
      <c r="F137" s="1583"/>
      <c r="G137" s="1323"/>
      <c r="H137" s="1323"/>
      <c r="I137" s="1585"/>
      <c r="J137" s="1323"/>
      <c r="K137" s="1323"/>
      <c r="L137" s="1323"/>
      <c r="M137" s="1585"/>
      <c r="N137" s="1580"/>
    </row>
    <row r="138" spans="1:15" s="188" customFormat="1">
      <c r="A138" s="1371" t="s">
        <v>1266</v>
      </c>
      <c r="B138" s="191"/>
      <c r="C138" s="1560" t="s">
        <v>1272</v>
      </c>
      <c r="D138" s="1561">
        <v>0</v>
      </c>
      <c r="E138" s="1561">
        <v>0</v>
      </c>
      <c r="F138" s="1583"/>
      <c r="G138" s="1323"/>
      <c r="H138" s="1323"/>
      <c r="I138" s="1585"/>
      <c r="J138" s="1323"/>
      <c r="K138" s="1323"/>
      <c r="L138" s="1323"/>
      <c r="M138" s="1585"/>
      <c r="N138" s="1580"/>
    </row>
    <row r="139" spans="1:15" s="188" customFormat="1">
      <c r="A139" s="1581" t="str">
        <f>+A102&amp;".xx"</f>
        <v>17.xx</v>
      </c>
      <c r="B139" s="1560"/>
      <c r="C139" s="1560" t="s">
        <v>1272</v>
      </c>
      <c r="D139" s="1563">
        <v>0</v>
      </c>
      <c r="E139" s="1563">
        <v>0</v>
      </c>
      <c r="F139" s="1586"/>
      <c r="G139" s="1289"/>
      <c r="H139" s="1289"/>
      <c r="I139" s="1587"/>
      <c r="J139" s="1289"/>
      <c r="K139" s="1289"/>
      <c r="L139" s="1289"/>
      <c r="M139" s="1587"/>
      <c r="N139" s="1562"/>
    </row>
    <row r="140" spans="1:15" s="188" customFormat="1" ht="13.5" thickBot="1">
      <c r="A140" s="904">
        <f>+A102+1</f>
        <v>18</v>
      </c>
      <c r="B140" s="1564"/>
      <c r="C140" s="1564"/>
      <c r="D140" s="1565"/>
      <c r="E140" s="1565"/>
      <c r="F140" s="1588"/>
      <c r="G140" s="1589"/>
      <c r="H140" s="1589"/>
      <c r="I140" s="1590"/>
      <c r="J140" s="1588"/>
      <c r="K140" s="1589"/>
      <c r="L140" s="1589"/>
      <c r="M140" s="1590"/>
    </row>
    <row r="141" spans="1:15" s="180" customFormat="1" ht="13.5" thickBot="1">
      <c r="A141" s="904">
        <f>+A140+1</f>
        <v>19</v>
      </c>
      <c r="B141" s="1567" t="s">
        <v>818</v>
      </c>
      <c r="C141" s="1568"/>
      <c r="D141" s="1569">
        <f t="shared" ref="D141:M141" si="45">SUM(D103:D139)</f>
        <v>-116828741.91000003</v>
      </c>
      <c r="E141" s="1569">
        <f t="shared" si="45"/>
        <v>-157889319.16000003</v>
      </c>
      <c r="F141" s="1570">
        <f t="shared" si="45"/>
        <v>-17920312.620000001</v>
      </c>
      <c r="G141" s="155">
        <f t="shared" si="45"/>
        <v>-15661.825000000001</v>
      </c>
      <c r="H141" s="155">
        <f t="shared" si="45"/>
        <v>-113510712.53999998</v>
      </c>
      <c r="I141" s="1571">
        <f t="shared" si="45"/>
        <v>-5912343.5499999998</v>
      </c>
      <c r="J141" s="1570">
        <f t="shared" si="45"/>
        <v>-50683400.57</v>
      </c>
      <c r="K141" s="155">
        <f t="shared" si="45"/>
        <v>-31323.65</v>
      </c>
      <c r="L141" s="155">
        <f t="shared" si="45"/>
        <v>-101655348.58000001</v>
      </c>
      <c r="M141" s="1571">
        <f t="shared" si="45"/>
        <v>-5519246.3599999994</v>
      </c>
      <c r="N141" s="1566" t="str">
        <f>+"Sum by Column of Line "&amp;A102&amp;" Subparts"</f>
        <v>Sum by Column of Line 17 Subparts</v>
      </c>
    </row>
    <row r="142" spans="1:15" s="188" customFormat="1" ht="15">
      <c r="A142" s="904">
        <f>+A141+1</f>
        <v>20</v>
      </c>
      <c r="B142" s="1682" t="s">
        <v>816</v>
      </c>
      <c r="C142" s="1682"/>
      <c r="D142" s="1572">
        <f>+D125+D126</f>
        <v>31160418.760000002</v>
      </c>
      <c r="E142" s="1572">
        <f t="shared" ref="E142:M142" si="46">+E125+E126</f>
        <v>14508840.17</v>
      </c>
      <c r="F142" s="1573">
        <f t="shared" si="46"/>
        <v>22834629.465</v>
      </c>
      <c r="G142" s="1572">
        <f t="shared" si="46"/>
        <v>0</v>
      </c>
      <c r="H142" s="1572">
        <f t="shared" si="46"/>
        <v>0</v>
      </c>
      <c r="I142" s="1574">
        <f t="shared" si="46"/>
        <v>0</v>
      </c>
      <c r="J142" s="1573">
        <f t="shared" si="46"/>
        <v>14508840.17</v>
      </c>
      <c r="K142" s="1572">
        <f t="shared" si="46"/>
        <v>0</v>
      </c>
      <c r="L142" s="1572">
        <f t="shared" si="46"/>
        <v>0</v>
      </c>
      <c r="M142" s="1574">
        <f t="shared" si="46"/>
        <v>0</v>
      </c>
      <c r="N142" s="190"/>
    </row>
    <row r="143" spans="1:15" s="188" customFormat="1">
      <c r="A143" s="904">
        <f>+A142+1</f>
        <v>21</v>
      </c>
      <c r="B143" s="1582" t="s">
        <v>1412</v>
      </c>
      <c r="C143" s="1575"/>
      <c r="D143" s="155">
        <f t="shared" ref="D143:M143" si="47">+D141-D142</f>
        <v>-147989160.67000002</v>
      </c>
      <c r="E143" s="155">
        <f t="shared" si="47"/>
        <v>-172398159.33000001</v>
      </c>
      <c r="F143" s="1570">
        <f t="shared" si="47"/>
        <v>-40754942.085000001</v>
      </c>
      <c r="G143" s="155">
        <f t="shared" si="47"/>
        <v>-15661.825000000001</v>
      </c>
      <c r="H143" s="155">
        <f t="shared" si="47"/>
        <v>-113510712.53999998</v>
      </c>
      <c r="I143" s="1571">
        <f t="shared" si="47"/>
        <v>-5912343.5499999998</v>
      </c>
      <c r="J143" s="1570">
        <f t="shared" si="47"/>
        <v>-65192240.740000002</v>
      </c>
      <c r="K143" s="155">
        <f t="shared" si="47"/>
        <v>-31323.65</v>
      </c>
      <c r="L143" s="155">
        <f t="shared" si="47"/>
        <v>-101655348.58000001</v>
      </c>
      <c r="M143" s="1571">
        <f t="shared" si="47"/>
        <v>-5519246.3599999994</v>
      </c>
      <c r="N143" s="190" t="str">
        <f>+"Ln "&amp;A141&amp;" Less Ln "&amp;A142</f>
        <v>Ln 19 Less Ln 20</v>
      </c>
    </row>
    <row r="144" spans="1:15" s="188" customFormat="1">
      <c r="A144" s="904">
        <f>+A143+1</f>
        <v>22</v>
      </c>
      <c r="B144" s="1576"/>
      <c r="C144" s="1576"/>
      <c r="D144" s="1576"/>
      <c r="E144" s="1577"/>
      <c r="F144" s="1436"/>
      <c r="G144" s="1436"/>
      <c r="H144" s="1436"/>
      <c r="I144" s="1436"/>
      <c r="J144" s="155"/>
      <c r="K144" s="155"/>
      <c r="L144" s="1436"/>
      <c r="M144" s="1436"/>
      <c r="N144" s="1566"/>
    </row>
    <row r="145" spans="1:15" s="188" customFormat="1" ht="15">
      <c r="A145" s="904">
        <f>+A144+1</f>
        <v>23</v>
      </c>
      <c r="B145" s="656" t="s">
        <v>1074</v>
      </c>
      <c r="C145" s="1557"/>
      <c r="D145" s="1557"/>
      <c r="E145" s="1578"/>
      <c r="F145" s="1685" t="str">
        <f>F8</f>
        <v>Average of BOY/EOY (Col (C+D)/2)</v>
      </c>
      <c r="G145" s="1686"/>
      <c r="H145" s="1686"/>
      <c r="I145" s="1687"/>
      <c r="J145" s="1685" t="str">
        <f>J8</f>
        <v>EOY (Col D)</v>
      </c>
      <c r="K145" s="1686"/>
      <c r="L145" s="1686"/>
      <c r="M145" s="1687"/>
      <c r="N145" s="1579" t="s">
        <v>149</v>
      </c>
    </row>
    <row r="146" spans="1:15" s="1600" customFormat="1">
      <c r="A146" s="1594">
        <f t="shared" ref="A146:A180" si="48">+A145+0.01</f>
        <v>23.01</v>
      </c>
      <c r="B146" s="1595" t="s">
        <v>1372</v>
      </c>
      <c r="C146" s="1595" t="s">
        <v>1373</v>
      </c>
      <c r="D146" s="1596">
        <v>18396.439999999999</v>
      </c>
      <c r="E146" s="1596">
        <v>27745.5</v>
      </c>
      <c r="F146" s="1597">
        <f t="shared" ref="F146:F155" si="49">+SUM($D146:$E146)/2</f>
        <v>23070.97</v>
      </c>
      <c r="G146" s="1598"/>
      <c r="H146" s="1598"/>
      <c r="I146" s="1599"/>
      <c r="J146" s="1597">
        <f t="shared" ref="J146:J155" si="50">+E146</f>
        <v>27745.5</v>
      </c>
      <c r="K146" s="1598"/>
      <c r="L146" s="1598"/>
      <c r="M146" s="1599"/>
      <c r="N146" s="1623" t="s">
        <v>338</v>
      </c>
    </row>
    <row r="147" spans="1:15" s="1600" customFormat="1">
      <c r="A147" s="1594">
        <f t="shared" si="48"/>
        <v>23.020000000000003</v>
      </c>
      <c r="B147" s="1595" t="s">
        <v>1374</v>
      </c>
      <c r="C147" s="1595" t="s">
        <v>1375</v>
      </c>
      <c r="D147" s="1596">
        <v>3037.5</v>
      </c>
      <c r="E147" s="1596">
        <v>4547.29</v>
      </c>
      <c r="F147" s="1597">
        <f t="shared" si="49"/>
        <v>3792.395</v>
      </c>
      <c r="G147" s="1598"/>
      <c r="H147" s="1598"/>
      <c r="I147" s="1599"/>
      <c r="J147" s="1597">
        <f t="shared" si="50"/>
        <v>4547.29</v>
      </c>
      <c r="K147" s="1598"/>
      <c r="L147" s="1598"/>
      <c r="M147" s="1599"/>
      <c r="N147" s="1623" t="s">
        <v>338</v>
      </c>
    </row>
    <row r="148" spans="1:15" s="1600" customFormat="1">
      <c r="A148" s="1594">
        <f t="shared" si="48"/>
        <v>23.030000000000005</v>
      </c>
      <c r="B148" s="1602" t="s">
        <v>56</v>
      </c>
      <c r="C148" s="1595" t="s">
        <v>57</v>
      </c>
      <c r="D148" s="1596">
        <v>0</v>
      </c>
      <c r="E148" s="1596"/>
      <c r="F148" s="1597">
        <f t="shared" si="49"/>
        <v>0</v>
      </c>
      <c r="G148" s="1598"/>
      <c r="H148" s="1598"/>
      <c r="I148" s="1599"/>
      <c r="J148" s="1597">
        <f t="shared" si="50"/>
        <v>0</v>
      </c>
      <c r="K148" s="1598"/>
      <c r="L148" s="1598"/>
      <c r="M148" s="1599"/>
      <c r="N148" s="1624" t="s">
        <v>718</v>
      </c>
    </row>
    <row r="149" spans="1:15" s="1600" customFormat="1">
      <c r="A149" s="1594">
        <f t="shared" si="48"/>
        <v>23.040000000000006</v>
      </c>
      <c r="B149" s="1602" t="s">
        <v>58</v>
      </c>
      <c r="C149" s="1595" t="s">
        <v>59</v>
      </c>
      <c r="D149" s="1596">
        <v>0</v>
      </c>
      <c r="E149" s="1596"/>
      <c r="F149" s="1597">
        <f t="shared" si="49"/>
        <v>0</v>
      </c>
      <c r="G149" s="1598"/>
      <c r="H149" s="1598"/>
      <c r="I149" s="1599"/>
      <c r="J149" s="1597">
        <f t="shared" si="50"/>
        <v>0</v>
      </c>
      <c r="K149" s="1598"/>
      <c r="L149" s="1598"/>
      <c r="M149" s="1599"/>
      <c r="N149" s="1624" t="s">
        <v>718</v>
      </c>
    </row>
    <row r="150" spans="1:15" s="1600" customFormat="1">
      <c r="A150" s="1594">
        <f t="shared" si="48"/>
        <v>23.050000000000008</v>
      </c>
      <c r="B150" s="1595" t="s">
        <v>1376</v>
      </c>
      <c r="C150" s="1595" t="s">
        <v>554</v>
      </c>
      <c r="D150" s="1596">
        <v>-999582.1</v>
      </c>
      <c r="E150" s="1596">
        <v>-995813.69</v>
      </c>
      <c r="F150" s="1597"/>
      <c r="G150" s="1598">
        <f t="shared" ref="G150:G151" si="51">+SUM($D150:$E150)/2</f>
        <v>-997697.89500000002</v>
      </c>
      <c r="H150" s="1598"/>
      <c r="I150" s="1599"/>
      <c r="J150" s="1597"/>
      <c r="K150" s="1598">
        <f>+E150</f>
        <v>-995813.69</v>
      </c>
      <c r="L150" s="1598"/>
      <c r="M150" s="1599"/>
      <c r="N150" s="1624" t="s">
        <v>587</v>
      </c>
      <c r="O150" s="1600" t="s">
        <v>1419</v>
      </c>
    </row>
    <row r="151" spans="1:15" s="1600" customFormat="1">
      <c r="A151" s="1594">
        <f t="shared" si="48"/>
        <v>23.060000000000009</v>
      </c>
      <c r="B151" s="1595" t="s">
        <v>1377</v>
      </c>
      <c r="C151" s="1595" t="s">
        <v>555</v>
      </c>
      <c r="D151" s="1596">
        <v>-161423.19</v>
      </c>
      <c r="E151" s="1596">
        <v>-160814.62</v>
      </c>
      <c r="F151" s="1597"/>
      <c r="G151" s="1598">
        <f t="shared" si="51"/>
        <v>-161118.905</v>
      </c>
      <c r="H151" s="1598"/>
      <c r="I151" s="1599"/>
      <c r="J151" s="1597"/>
      <c r="K151" s="1598">
        <f>+E151</f>
        <v>-160814.62</v>
      </c>
      <c r="L151" s="1598"/>
      <c r="M151" s="1599"/>
      <c r="N151" s="1624" t="s">
        <v>587</v>
      </c>
      <c r="O151" s="1600" t="s">
        <v>1419</v>
      </c>
    </row>
    <row r="152" spans="1:15" s="1600" customFormat="1">
      <c r="A152" s="1594">
        <f t="shared" si="48"/>
        <v>23.070000000000011</v>
      </c>
      <c r="B152" s="1595" t="s">
        <v>1378</v>
      </c>
      <c r="C152" s="1595" t="s">
        <v>1379</v>
      </c>
      <c r="D152" s="1596">
        <v>-3002109.16</v>
      </c>
      <c r="E152" s="1596">
        <v>-2370086.16</v>
      </c>
      <c r="F152" s="1597">
        <f t="shared" si="49"/>
        <v>-2686097.66</v>
      </c>
      <c r="G152" s="1598"/>
      <c r="H152" s="1598"/>
      <c r="I152" s="1599"/>
      <c r="J152" s="1597">
        <f t="shared" si="50"/>
        <v>-2370086.16</v>
      </c>
      <c r="K152" s="1598"/>
      <c r="L152" s="1598"/>
      <c r="M152" s="1599"/>
      <c r="N152" s="1623" t="s">
        <v>338</v>
      </c>
    </row>
    <row r="153" spans="1:15" s="1600" customFormat="1">
      <c r="A153" s="1594">
        <f t="shared" si="48"/>
        <v>23.080000000000013</v>
      </c>
      <c r="B153" s="1595" t="s">
        <v>1380</v>
      </c>
      <c r="C153" s="1595" t="s">
        <v>1381</v>
      </c>
      <c r="D153" s="1596">
        <v>-484812.64</v>
      </c>
      <c r="E153" s="1596">
        <v>-382746.81</v>
      </c>
      <c r="F153" s="1597">
        <f t="shared" si="49"/>
        <v>-433779.72499999998</v>
      </c>
      <c r="G153" s="1598"/>
      <c r="H153" s="1598"/>
      <c r="I153" s="1599"/>
      <c r="J153" s="1597">
        <f t="shared" si="50"/>
        <v>-382746.81</v>
      </c>
      <c r="K153" s="1598"/>
      <c r="L153" s="1598"/>
      <c r="M153" s="1599"/>
      <c r="N153" s="1623" t="s">
        <v>338</v>
      </c>
    </row>
    <row r="154" spans="1:15" s="1600" customFormat="1">
      <c r="A154" s="1594">
        <f t="shared" si="48"/>
        <v>23.090000000000014</v>
      </c>
      <c r="B154" s="1595" t="s">
        <v>60</v>
      </c>
      <c r="C154" s="1595" t="s">
        <v>61</v>
      </c>
      <c r="D154" s="1596">
        <v>-23822349.059999999</v>
      </c>
      <c r="E154" s="1596">
        <v>-36834071.719999999</v>
      </c>
      <c r="F154" s="1597">
        <f t="shared" si="49"/>
        <v>-30328210.390000001</v>
      </c>
      <c r="G154" s="1598"/>
      <c r="H154" s="1598"/>
      <c r="I154" s="1599"/>
      <c r="J154" s="1597">
        <f t="shared" si="50"/>
        <v>-36834071.719999999</v>
      </c>
      <c r="K154" s="1598"/>
      <c r="L154" s="1598"/>
      <c r="M154" s="1599"/>
      <c r="N154" s="1623" t="s">
        <v>325</v>
      </c>
    </row>
    <row r="155" spans="1:15" s="1600" customFormat="1">
      <c r="A155" s="1594">
        <f t="shared" si="48"/>
        <v>23.100000000000016</v>
      </c>
      <c r="B155" s="1595" t="s">
        <v>62</v>
      </c>
      <c r="C155" s="1595" t="s">
        <v>63</v>
      </c>
      <c r="D155" s="1596">
        <v>-3847087.28</v>
      </c>
      <c r="E155" s="1596">
        <v>-5948359.1900000004</v>
      </c>
      <c r="F155" s="1597">
        <f t="shared" si="49"/>
        <v>-4897723.2350000003</v>
      </c>
      <c r="G155" s="1598"/>
      <c r="H155" s="1598"/>
      <c r="I155" s="1599"/>
      <c r="J155" s="1597">
        <f t="shared" si="50"/>
        <v>-5948359.1900000004</v>
      </c>
      <c r="K155" s="1598"/>
      <c r="L155" s="1598"/>
      <c r="M155" s="1599"/>
      <c r="N155" s="1623" t="s">
        <v>325</v>
      </c>
    </row>
    <row r="156" spans="1:15" s="1600" customFormat="1">
      <c r="A156" s="1594">
        <f t="shared" si="48"/>
        <v>23.110000000000017</v>
      </c>
      <c r="B156" s="1595" t="s">
        <v>64</v>
      </c>
      <c r="C156" s="1595" t="s">
        <v>65</v>
      </c>
      <c r="D156" s="1596">
        <v>-713420.5</v>
      </c>
      <c r="E156" s="1596">
        <v>-656631.93999999994</v>
      </c>
      <c r="F156" s="1597"/>
      <c r="G156" s="1598"/>
      <c r="H156" s="1598">
        <f t="shared" ref="H156:H157" si="52">+SUM($D156:$E156)/2</f>
        <v>-685026.22</v>
      </c>
      <c r="I156" s="1599"/>
      <c r="J156" s="1597"/>
      <c r="K156" s="1598"/>
      <c r="L156" s="1598">
        <f>+E156</f>
        <v>-656631.93999999994</v>
      </c>
      <c r="M156" s="1599"/>
      <c r="N156" s="1624" t="s">
        <v>524</v>
      </c>
    </row>
    <row r="157" spans="1:15" s="1600" customFormat="1">
      <c r="A157" s="1594">
        <f t="shared" si="48"/>
        <v>23.120000000000019</v>
      </c>
      <c r="B157" s="1595" t="s">
        <v>66</v>
      </c>
      <c r="C157" s="1595" t="s">
        <v>67</v>
      </c>
      <c r="D157" s="1596">
        <v>-115201.15</v>
      </c>
      <c r="E157" s="1596">
        <v>-106030.32</v>
      </c>
      <c r="F157" s="1597"/>
      <c r="G157" s="1598"/>
      <c r="H157" s="1598">
        <f t="shared" si="52"/>
        <v>-110615.735</v>
      </c>
      <c r="I157" s="1599"/>
      <c r="J157" s="1597"/>
      <c r="K157" s="1598"/>
      <c r="L157" s="1598">
        <f>+E157</f>
        <v>-106030.32</v>
      </c>
      <c r="M157" s="1599"/>
      <c r="N157" s="1624" t="s">
        <v>524</v>
      </c>
    </row>
    <row r="158" spans="1:15" s="1600" customFormat="1">
      <c r="A158" s="1594">
        <f t="shared" si="48"/>
        <v>23.13000000000002</v>
      </c>
      <c r="B158" s="1595" t="s">
        <v>68</v>
      </c>
      <c r="C158" s="1595" t="s">
        <v>69</v>
      </c>
      <c r="D158" s="1596">
        <v>10769.76</v>
      </c>
      <c r="E158" s="1596">
        <v>11200.42</v>
      </c>
      <c r="F158" s="1597">
        <f t="shared" ref="F158:F159" si="53">+SUM($D158:$E158)/2</f>
        <v>10985.09</v>
      </c>
      <c r="G158" s="1598"/>
      <c r="H158" s="1598"/>
      <c r="I158" s="1599"/>
      <c r="J158" s="1597">
        <f t="shared" ref="J158:J159" si="54">+E158</f>
        <v>11200.42</v>
      </c>
      <c r="K158" s="1598"/>
      <c r="L158" s="1598"/>
      <c r="M158" s="1599"/>
      <c r="N158" s="1624" t="s">
        <v>70</v>
      </c>
    </row>
    <row r="159" spans="1:15" s="1600" customFormat="1">
      <c r="A159" s="1594">
        <f t="shared" si="48"/>
        <v>23.140000000000022</v>
      </c>
      <c r="B159" s="1595" t="s">
        <v>71</v>
      </c>
      <c r="C159" s="1595" t="s">
        <v>72</v>
      </c>
      <c r="D159" s="1596">
        <v>1739.22</v>
      </c>
      <c r="E159" s="1596">
        <v>1808.77</v>
      </c>
      <c r="F159" s="1597">
        <f t="shared" si="53"/>
        <v>1773.9949999999999</v>
      </c>
      <c r="G159" s="1598"/>
      <c r="H159" s="1598"/>
      <c r="I159" s="1599"/>
      <c r="J159" s="1597">
        <f t="shared" si="54"/>
        <v>1808.77</v>
      </c>
      <c r="K159" s="1598"/>
      <c r="L159" s="1598"/>
      <c r="M159" s="1599"/>
      <c r="N159" s="1624" t="s">
        <v>70</v>
      </c>
    </row>
    <row r="160" spans="1:15" s="1600" customFormat="1">
      <c r="A160" s="1594">
        <f t="shared" si="48"/>
        <v>23.150000000000023</v>
      </c>
      <c r="B160" s="1595" t="s">
        <v>1382</v>
      </c>
      <c r="C160" s="1595" t="s">
        <v>1383</v>
      </c>
      <c r="D160" s="1596">
        <v>0</v>
      </c>
      <c r="E160" s="1596"/>
      <c r="F160" s="1597">
        <v>0</v>
      </c>
      <c r="G160" s="1598"/>
      <c r="H160" s="1598"/>
      <c r="I160" s="1599"/>
      <c r="J160" s="1597">
        <v>0</v>
      </c>
      <c r="K160" s="1598"/>
      <c r="L160" s="1598"/>
      <c r="M160" s="1599"/>
      <c r="N160" s="1623" t="s">
        <v>353</v>
      </c>
    </row>
    <row r="161" spans="1:14" s="1600" customFormat="1">
      <c r="A161" s="1594">
        <f t="shared" si="48"/>
        <v>23.160000000000025</v>
      </c>
      <c r="B161" s="1595" t="s">
        <v>1384</v>
      </c>
      <c r="C161" s="1595" t="s">
        <v>1385</v>
      </c>
      <c r="D161" s="1596">
        <v>0</v>
      </c>
      <c r="E161" s="1596"/>
      <c r="F161" s="1597">
        <v>0</v>
      </c>
      <c r="G161" s="1598"/>
      <c r="H161" s="1598"/>
      <c r="I161" s="1599"/>
      <c r="J161" s="1597">
        <v>0</v>
      </c>
      <c r="K161" s="1598"/>
      <c r="L161" s="1598"/>
      <c r="M161" s="1599"/>
      <c r="N161" s="1623" t="s">
        <v>353</v>
      </c>
    </row>
    <row r="162" spans="1:14" s="1600" customFormat="1">
      <c r="A162" s="1594">
        <f t="shared" si="48"/>
        <v>23.170000000000027</v>
      </c>
      <c r="B162" s="1603" t="s">
        <v>1386</v>
      </c>
      <c r="C162" s="1595" t="s">
        <v>1387</v>
      </c>
      <c r="D162" s="1596">
        <v>0</v>
      </c>
      <c r="E162" s="1596">
        <v>0</v>
      </c>
      <c r="F162" s="1597">
        <v>0</v>
      </c>
      <c r="G162" s="1598"/>
      <c r="H162" s="1598"/>
      <c r="I162" s="1599"/>
      <c r="J162" s="1597">
        <v>0</v>
      </c>
      <c r="K162" s="1598"/>
      <c r="L162" s="1598"/>
      <c r="M162" s="1599"/>
      <c r="N162" s="1624" t="s">
        <v>73</v>
      </c>
    </row>
    <row r="163" spans="1:14" s="1600" customFormat="1">
      <c r="A163" s="1594">
        <f t="shared" si="48"/>
        <v>23.180000000000028</v>
      </c>
      <c r="B163" s="1603" t="s">
        <v>1388</v>
      </c>
      <c r="C163" s="1595" t="s">
        <v>1389</v>
      </c>
      <c r="D163" s="1596">
        <v>0</v>
      </c>
      <c r="E163" s="1596">
        <v>0</v>
      </c>
      <c r="F163" s="1597">
        <v>0</v>
      </c>
      <c r="G163" s="1598"/>
      <c r="H163" s="1598"/>
      <c r="I163" s="1599"/>
      <c r="J163" s="1597">
        <v>0</v>
      </c>
      <c r="K163" s="1598"/>
      <c r="L163" s="1598"/>
      <c r="M163" s="1599"/>
      <c r="N163" s="1624" t="s">
        <v>73</v>
      </c>
    </row>
    <row r="164" spans="1:14" s="1600" customFormat="1">
      <c r="A164" s="1594">
        <f t="shared" si="48"/>
        <v>23.19000000000003</v>
      </c>
      <c r="B164" s="1603" t="s">
        <v>74</v>
      </c>
      <c r="C164" s="1595" t="s">
        <v>75</v>
      </c>
      <c r="D164" s="1596">
        <v>-1856258.83</v>
      </c>
      <c r="E164" s="1596">
        <v>-1254432.54</v>
      </c>
      <c r="F164" s="1597"/>
      <c r="G164" s="1598">
        <f t="shared" ref="G164:G165" si="55">+SUM($D164:$E164)/2</f>
        <v>-1555345.6850000001</v>
      </c>
      <c r="H164" s="1598"/>
      <c r="I164" s="1599"/>
      <c r="J164" s="1597"/>
      <c r="K164" s="1598">
        <f>+E164</f>
        <v>-1254432.54</v>
      </c>
      <c r="L164" s="1598"/>
      <c r="M164" s="1599"/>
      <c r="N164" s="1624" t="s">
        <v>76</v>
      </c>
    </row>
    <row r="165" spans="1:14" s="1600" customFormat="1">
      <c r="A165" s="1594">
        <f t="shared" si="48"/>
        <v>23.200000000000031</v>
      </c>
      <c r="B165" s="1603" t="s">
        <v>77</v>
      </c>
      <c r="C165" s="1595" t="s">
        <v>78</v>
      </c>
      <c r="D165" s="1596">
        <v>-299772.38</v>
      </c>
      <c r="E165" s="1596">
        <v>-202579.09</v>
      </c>
      <c r="F165" s="1597"/>
      <c r="G165" s="1598">
        <f t="shared" si="55"/>
        <v>-251175.73499999999</v>
      </c>
      <c r="H165" s="1598"/>
      <c r="I165" s="1599"/>
      <c r="J165" s="1597"/>
      <c r="K165" s="1598">
        <f>+E165</f>
        <v>-202579.09</v>
      </c>
      <c r="L165" s="1598"/>
      <c r="M165" s="1599"/>
      <c r="N165" s="1624" t="s">
        <v>76</v>
      </c>
    </row>
    <row r="166" spans="1:14" s="1600" customFormat="1">
      <c r="A166" s="1594">
        <f t="shared" si="48"/>
        <v>23.210000000000033</v>
      </c>
      <c r="B166" s="1602" t="s">
        <v>1390</v>
      </c>
      <c r="C166" s="1595" t="s">
        <v>1391</v>
      </c>
      <c r="D166" s="1596">
        <v>-1669523.73</v>
      </c>
      <c r="E166" s="1596">
        <v>0</v>
      </c>
      <c r="F166" s="1597">
        <f t="shared" ref="F166:F173" si="56">+SUM($D166:$E166)/2</f>
        <v>-834761.86499999999</v>
      </c>
      <c r="G166" s="1598"/>
      <c r="H166" s="1598"/>
      <c r="I166" s="1599"/>
      <c r="J166" s="1597">
        <f t="shared" ref="J166:J173" si="57">+E166</f>
        <v>0</v>
      </c>
      <c r="K166" s="1598"/>
      <c r="L166" s="1598"/>
      <c r="M166" s="1599"/>
      <c r="N166" s="1624" t="s">
        <v>1369</v>
      </c>
    </row>
    <row r="167" spans="1:14" s="1600" customFormat="1">
      <c r="A167" s="1594">
        <f t="shared" si="48"/>
        <v>23.220000000000034</v>
      </c>
      <c r="B167" s="1602" t="s">
        <v>1392</v>
      </c>
      <c r="C167" s="1595" t="s">
        <v>1393</v>
      </c>
      <c r="D167" s="1596">
        <v>-269601.90000000002</v>
      </c>
      <c r="E167" s="1596">
        <v>0</v>
      </c>
      <c r="F167" s="1597">
        <f t="shared" si="56"/>
        <v>-134800.95000000001</v>
      </c>
      <c r="G167" s="1598"/>
      <c r="H167" s="1598"/>
      <c r="I167" s="1599"/>
      <c r="J167" s="1597">
        <f t="shared" si="57"/>
        <v>0</v>
      </c>
      <c r="K167" s="1598"/>
      <c r="L167" s="1598"/>
      <c r="M167" s="1599"/>
      <c r="N167" s="1624" t="s">
        <v>1369</v>
      </c>
    </row>
    <row r="168" spans="1:14" s="1600" customFormat="1">
      <c r="A168" s="1594">
        <f t="shared" si="48"/>
        <v>23.230000000000036</v>
      </c>
      <c r="B168" s="1602" t="s">
        <v>79</v>
      </c>
      <c r="C168" s="1595" t="s">
        <v>80</v>
      </c>
      <c r="D168" s="1596">
        <v>-44789.38</v>
      </c>
      <c r="E168" s="1596">
        <v>-41184.839999999997</v>
      </c>
      <c r="F168" s="1597">
        <f t="shared" si="56"/>
        <v>-42987.11</v>
      </c>
      <c r="G168" s="1598"/>
      <c r="H168" s="1598"/>
      <c r="I168" s="1599"/>
      <c r="J168" s="1597">
        <f t="shared" si="57"/>
        <v>-41184.839999999997</v>
      </c>
      <c r="K168" s="1598"/>
      <c r="L168" s="1598"/>
      <c r="M168" s="1599"/>
      <c r="N168" s="1624" t="s">
        <v>73</v>
      </c>
    </row>
    <row r="169" spans="1:14" s="1600" customFormat="1">
      <c r="A169" s="1594">
        <f t="shared" si="48"/>
        <v>23.240000000000038</v>
      </c>
      <c r="B169" s="1602" t="s">
        <v>81</v>
      </c>
      <c r="C169" s="1595" t="s">
        <v>82</v>
      </c>
      <c r="D169" s="1596">
        <v>-7269.86</v>
      </c>
      <c r="E169" s="1596">
        <v>-6687.76</v>
      </c>
      <c r="F169" s="1597">
        <f t="shared" si="56"/>
        <v>-6978.8099999999995</v>
      </c>
      <c r="G169" s="1598"/>
      <c r="H169" s="1598"/>
      <c r="I169" s="1599"/>
      <c r="J169" s="1597">
        <f t="shared" si="57"/>
        <v>-6687.76</v>
      </c>
      <c r="K169" s="1598"/>
      <c r="L169" s="1598"/>
      <c r="M169" s="1599"/>
      <c r="N169" s="1624" t="s">
        <v>73</v>
      </c>
    </row>
    <row r="170" spans="1:14" s="1600" customFormat="1">
      <c r="A170" s="1594">
        <f t="shared" si="48"/>
        <v>23.250000000000039</v>
      </c>
      <c r="B170" s="1595" t="s">
        <v>1394</v>
      </c>
      <c r="C170" s="1595" t="s">
        <v>1395</v>
      </c>
      <c r="D170" s="1596">
        <v>-2745507.06</v>
      </c>
      <c r="E170" s="1596">
        <v>-5238386.9000000004</v>
      </c>
      <c r="F170" s="1597">
        <f t="shared" si="56"/>
        <v>-3991946.9800000004</v>
      </c>
      <c r="G170" s="1598"/>
      <c r="H170" s="1598"/>
      <c r="I170" s="1599"/>
      <c r="J170" s="1597">
        <f t="shared" si="57"/>
        <v>-5238386.9000000004</v>
      </c>
      <c r="K170" s="1598"/>
      <c r="L170" s="1598"/>
      <c r="M170" s="1599"/>
      <c r="N170" s="1623" t="s">
        <v>1370</v>
      </c>
    </row>
    <row r="171" spans="1:14" s="1600" customFormat="1">
      <c r="A171" s="1594">
        <f t="shared" si="48"/>
        <v>23.260000000000041</v>
      </c>
      <c r="B171" s="1595" t="s">
        <v>1396</v>
      </c>
      <c r="C171" s="1595" t="s">
        <v>1397</v>
      </c>
      <c r="D171" s="1596">
        <v>-443369.91</v>
      </c>
      <c r="E171" s="1596">
        <v>-845946.76</v>
      </c>
      <c r="F171" s="1597">
        <f t="shared" si="56"/>
        <v>-644658.33499999996</v>
      </c>
      <c r="G171" s="1598"/>
      <c r="H171" s="1598"/>
      <c r="I171" s="1599"/>
      <c r="J171" s="1597">
        <f t="shared" si="57"/>
        <v>-845946.76</v>
      </c>
      <c r="K171" s="1598"/>
      <c r="L171" s="1598"/>
      <c r="M171" s="1599"/>
      <c r="N171" s="1623" t="s">
        <v>1370</v>
      </c>
    </row>
    <row r="172" spans="1:14" s="1600" customFormat="1">
      <c r="A172" s="1594">
        <f t="shared" si="48"/>
        <v>23.270000000000042</v>
      </c>
      <c r="B172" s="1595" t="s">
        <v>1398</v>
      </c>
      <c r="C172" s="1595" t="s">
        <v>1399</v>
      </c>
      <c r="D172" s="1596">
        <v>-3040571.37</v>
      </c>
      <c r="E172" s="1596">
        <v>-1789140.57</v>
      </c>
      <c r="F172" s="1597">
        <f t="shared" si="56"/>
        <v>-2414855.9700000002</v>
      </c>
      <c r="G172" s="1598"/>
      <c r="H172" s="1598"/>
      <c r="I172" s="1599"/>
      <c r="J172" s="1597">
        <f t="shared" si="57"/>
        <v>-1789140.57</v>
      </c>
      <c r="K172" s="1598"/>
      <c r="L172" s="1598"/>
      <c r="M172" s="1599"/>
      <c r="N172" s="1624" t="s">
        <v>1371</v>
      </c>
    </row>
    <row r="173" spans="1:14" s="1600" customFormat="1" ht="12.75" customHeight="1">
      <c r="A173" s="1594">
        <f t="shared" si="48"/>
        <v>23.280000000000044</v>
      </c>
      <c r="B173" s="1595" t="s">
        <v>1400</v>
      </c>
      <c r="C173" s="1595" t="s">
        <v>1401</v>
      </c>
      <c r="D173" s="1596">
        <v>-490997.08</v>
      </c>
      <c r="E173" s="1596">
        <v>-288902.67</v>
      </c>
      <c r="F173" s="1597">
        <f t="shared" si="56"/>
        <v>-389949.875</v>
      </c>
      <c r="G173" s="1598"/>
      <c r="H173" s="1598"/>
      <c r="I173" s="1599"/>
      <c r="J173" s="1597">
        <f t="shared" si="57"/>
        <v>-288902.67</v>
      </c>
      <c r="K173" s="1598"/>
      <c r="L173" s="1598"/>
      <c r="M173" s="1599"/>
      <c r="N173" s="1624" t="s">
        <v>1371</v>
      </c>
    </row>
    <row r="174" spans="1:14" s="1600" customFormat="1" ht="12.75" customHeight="1">
      <c r="A174" s="1594">
        <f t="shared" si="48"/>
        <v>23.290000000000045</v>
      </c>
      <c r="B174" s="1595" t="s">
        <v>83</v>
      </c>
      <c r="C174" s="1595" t="s">
        <v>84</v>
      </c>
      <c r="D174" s="1596">
        <v>-615097.96</v>
      </c>
      <c r="E174" s="1596">
        <v>-237137.21</v>
      </c>
      <c r="F174" s="1597"/>
      <c r="G174" s="1598"/>
      <c r="H174" s="1598">
        <f t="shared" ref="H174:H175" si="58">+SUM($D174:$E174)/2</f>
        <v>-426117.58499999996</v>
      </c>
      <c r="I174" s="1601"/>
      <c r="J174" s="1597"/>
      <c r="K174" s="1598"/>
      <c r="L174" s="1598">
        <f>+E174</f>
        <v>-237137.21</v>
      </c>
      <c r="M174" s="1601"/>
      <c r="N174" s="1624" t="s">
        <v>85</v>
      </c>
    </row>
    <row r="175" spans="1:14" s="1600" customFormat="1" ht="12.75" customHeight="1">
      <c r="A175" s="1594">
        <f t="shared" si="48"/>
        <v>23.300000000000047</v>
      </c>
      <c r="B175" s="1595" t="s">
        <v>86</v>
      </c>
      <c r="C175" s="1595" t="s">
        <v>87</v>
      </c>
      <c r="D175" s="1596">
        <v>-99331.4</v>
      </c>
      <c r="E175" s="1596">
        <v>-38294.269999999997</v>
      </c>
      <c r="F175" s="1597"/>
      <c r="G175" s="1598"/>
      <c r="H175" s="1598">
        <f t="shared" si="58"/>
        <v>-68812.834999999992</v>
      </c>
      <c r="I175" s="1601"/>
      <c r="J175" s="1597"/>
      <c r="K175" s="1598"/>
      <c r="L175" s="1598">
        <f>+E175</f>
        <v>-38294.269999999997</v>
      </c>
      <c r="M175" s="1601"/>
      <c r="N175" s="1624" t="s">
        <v>85</v>
      </c>
    </row>
    <row r="176" spans="1:14" s="1600" customFormat="1" ht="12.75" customHeight="1">
      <c r="A176" s="1594">
        <f t="shared" si="48"/>
        <v>23.310000000000048</v>
      </c>
      <c r="B176" s="1595" t="s">
        <v>88</v>
      </c>
      <c r="C176" s="1595" t="s">
        <v>404</v>
      </c>
      <c r="D176" s="1596">
        <v>1984036.87</v>
      </c>
      <c r="E176" s="1596">
        <v>7910258.0800000001</v>
      </c>
      <c r="F176" s="1597">
        <f t="shared" ref="F176:H179" si="59">+SUM($D176:$E176)/2</f>
        <v>4947147.4749999996</v>
      </c>
      <c r="G176" s="1598"/>
      <c r="H176" s="1598"/>
      <c r="I176" s="1599"/>
      <c r="J176" s="1597">
        <f t="shared" ref="J176:J177" si="60">+E176</f>
        <v>7910258.0800000001</v>
      </c>
      <c r="K176" s="1598"/>
      <c r="L176" s="1598"/>
      <c r="M176" s="1599"/>
      <c r="N176" s="1624" t="s">
        <v>405</v>
      </c>
    </row>
    <row r="177" spans="1:14" s="1600" customFormat="1" ht="12.75" customHeight="1">
      <c r="A177" s="1594">
        <f t="shared" si="48"/>
        <v>23.32000000000005</v>
      </c>
      <c r="B177" s="1595" t="s">
        <v>89</v>
      </c>
      <c r="C177" s="1595" t="s">
        <v>407</v>
      </c>
      <c r="D177" s="1596">
        <v>368913.17</v>
      </c>
      <c r="E177" s="1596">
        <v>1277254.48</v>
      </c>
      <c r="F177" s="1597">
        <f t="shared" si="59"/>
        <v>823083.82499999995</v>
      </c>
      <c r="G177" s="1598"/>
      <c r="H177" s="1598"/>
      <c r="I177" s="1599"/>
      <c r="J177" s="1597">
        <f t="shared" si="60"/>
        <v>1277254.48</v>
      </c>
      <c r="K177" s="1598"/>
      <c r="L177" s="1598"/>
      <c r="M177" s="1599"/>
      <c r="N177" s="1624" t="s">
        <v>405</v>
      </c>
    </row>
    <row r="178" spans="1:14" s="1600" customFormat="1">
      <c r="A178" s="1594">
        <f t="shared" si="48"/>
        <v>23.330000000000052</v>
      </c>
      <c r="B178" s="1595" t="s">
        <v>90</v>
      </c>
      <c r="C178" s="1595" t="s">
        <v>91</v>
      </c>
      <c r="D178" s="1596">
        <v>59.78</v>
      </c>
      <c r="E178" s="1596">
        <v>0</v>
      </c>
      <c r="F178" s="1604"/>
      <c r="G178" s="1598"/>
      <c r="H178" s="1598">
        <f t="shared" si="59"/>
        <v>29.89</v>
      </c>
      <c r="I178" s="1599"/>
      <c r="J178" s="1605"/>
      <c r="K178" s="1598"/>
      <c r="L178" s="1598">
        <f>+E178</f>
        <v>0</v>
      </c>
      <c r="M178" s="1599"/>
      <c r="N178" s="1624" t="s">
        <v>17</v>
      </c>
    </row>
    <row r="179" spans="1:14" s="1600" customFormat="1">
      <c r="A179" s="1594">
        <f t="shared" si="48"/>
        <v>23.340000000000053</v>
      </c>
      <c r="B179" s="1595" t="s">
        <v>1209</v>
      </c>
      <c r="C179" s="1595" t="s">
        <v>1210</v>
      </c>
      <c r="D179" s="1596">
        <v>4.37</v>
      </c>
      <c r="E179" s="1596">
        <v>0</v>
      </c>
      <c r="F179" s="1604"/>
      <c r="G179" s="1606"/>
      <c r="H179" s="1598">
        <f t="shared" si="59"/>
        <v>2.1850000000000001</v>
      </c>
      <c r="I179" s="1607"/>
      <c r="J179" s="1605"/>
      <c r="K179" s="1606"/>
      <c r="L179" s="1606">
        <f>+E179</f>
        <v>0</v>
      </c>
      <c r="M179" s="1607"/>
      <c r="N179" s="1624" t="s">
        <v>17</v>
      </c>
    </row>
    <row r="180" spans="1:14" s="1600" customFormat="1">
      <c r="A180" s="1608">
        <f t="shared" si="48"/>
        <v>23.350000000000055</v>
      </c>
      <c r="B180" s="1609"/>
      <c r="C180" s="1610" t="s">
        <v>1272</v>
      </c>
      <c r="D180" s="1611">
        <v>0</v>
      </c>
      <c r="E180" s="1611">
        <v>0</v>
      </c>
      <c r="F180" s="1612"/>
      <c r="G180" s="1613"/>
      <c r="H180" s="1613"/>
      <c r="I180" s="1614"/>
      <c r="J180" s="1612"/>
      <c r="K180" s="1613"/>
      <c r="L180" s="1613"/>
      <c r="M180" s="1614"/>
      <c r="N180" s="1615"/>
    </row>
    <row r="181" spans="1:14" s="1600" customFormat="1">
      <c r="A181" s="1616" t="s">
        <v>1266</v>
      </c>
      <c r="B181" s="1609"/>
      <c r="C181" s="1610" t="s">
        <v>1272</v>
      </c>
      <c r="D181" s="1611">
        <v>0</v>
      </c>
      <c r="E181" s="1611">
        <v>0</v>
      </c>
      <c r="F181" s="1612"/>
      <c r="G181" s="1613"/>
      <c r="H181" s="1613"/>
      <c r="I181" s="1614"/>
      <c r="J181" s="1612"/>
      <c r="K181" s="1613"/>
      <c r="L181" s="1613"/>
      <c r="M181" s="1614"/>
      <c r="N181" s="1615"/>
    </row>
    <row r="182" spans="1:14" s="1600" customFormat="1">
      <c r="A182" s="1608" t="str">
        <f>+A145&amp;".xx"</f>
        <v>23.xx</v>
      </c>
      <c r="B182" s="1617"/>
      <c r="C182" s="1610" t="s">
        <v>1272</v>
      </c>
      <c r="D182" s="1618">
        <v>0</v>
      </c>
      <c r="E182" s="1618">
        <v>0</v>
      </c>
      <c r="F182" s="1619"/>
      <c r="G182" s="1620"/>
      <c r="H182" s="1620"/>
      <c r="I182" s="1621"/>
      <c r="J182" s="1619"/>
      <c r="K182" s="1620"/>
      <c r="L182" s="1620"/>
      <c r="M182" s="1621"/>
      <c r="N182" s="1622"/>
    </row>
    <row r="183" spans="1:14" s="188" customFormat="1" ht="13.5" thickBot="1">
      <c r="A183" s="904">
        <f>+A145+1</f>
        <v>24</v>
      </c>
      <c r="B183" s="1564"/>
      <c r="C183" s="1564"/>
      <c r="D183" s="1565"/>
      <c r="E183" s="1565"/>
      <c r="F183" s="1588"/>
      <c r="G183" s="1589"/>
      <c r="H183" s="1589"/>
      <c r="I183" s="1590"/>
      <c r="J183" s="1588"/>
      <c r="K183" s="1589"/>
      <c r="L183" s="1589"/>
      <c r="M183" s="1590"/>
      <c r="N183" s="1566"/>
    </row>
    <row r="184" spans="1:14" s="180" customFormat="1" ht="13.5" thickBot="1">
      <c r="A184" s="904">
        <f>+A183+1</f>
        <v>25</v>
      </c>
      <c r="B184" s="1567" t="s">
        <v>819</v>
      </c>
      <c r="C184" s="1568"/>
      <c r="D184" s="1569">
        <f t="shared" ref="D184:M184" si="61">SUM(D146:D182)</f>
        <v>-42341118.829999998</v>
      </c>
      <c r="E184" s="1569">
        <f t="shared" si="61"/>
        <v>-48164432.520000003</v>
      </c>
      <c r="F184" s="1570">
        <f t="shared" si="61"/>
        <v>-40996897.155000001</v>
      </c>
      <c r="G184" s="155">
        <f t="shared" si="61"/>
        <v>-2965338.22</v>
      </c>
      <c r="H184" s="155">
        <f t="shared" si="61"/>
        <v>-1290540.3</v>
      </c>
      <c r="I184" s="1571">
        <f t="shared" si="61"/>
        <v>0</v>
      </c>
      <c r="J184" s="1570">
        <f t="shared" si="61"/>
        <v>-44512698.839999996</v>
      </c>
      <c r="K184" s="155">
        <f t="shared" si="61"/>
        <v>-2613639.94</v>
      </c>
      <c r="L184" s="155">
        <f t="shared" si="61"/>
        <v>-1038093.74</v>
      </c>
      <c r="M184" s="1571">
        <f t="shared" si="61"/>
        <v>0</v>
      </c>
      <c r="N184" s="1566" t="str">
        <f>+"Sum by Column of Line "&amp;A145&amp;" Subparts"</f>
        <v>Sum by Column of Line 23 Subparts</v>
      </c>
    </row>
    <row r="185" spans="1:14" s="188" customFormat="1" ht="15">
      <c r="A185" s="904">
        <f t="shared" ref="A185:A194" si="62">+A184+1</f>
        <v>26</v>
      </c>
      <c r="B185" s="1682" t="s">
        <v>865</v>
      </c>
      <c r="C185" s="1682"/>
      <c r="D185" s="1572">
        <f>+D176+D177</f>
        <v>2352950.04</v>
      </c>
      <c r="E185" s="1572">
        <f t="shared" ref="E185:M185" si="63">+E176+E177</f>
        <v>9187512.5600000005</v>
      </c>
      <c r="F185" s="1573">
        <f t="shared" si="63"/>
        <v>5770231.2999999998</v>
      </c>
      <c r="G185" s="1572">
        <f t="shared" si="63"/>
        <v>0</v>
      </c>
      <c r="H185" s="1572">
        <f t="shared" si="63"/>
        <v>0</v>
      </c>
      <c r="I185" s="1574">
        <f t="shared" si="63"/>
        <v>0</v>
      </c>
      <c r="J185" s="1573">
        <f t="shared" si="63"/>
        <v>9187512.5600000005</v>
      </c>
      <c r="K185" s="1572">
        <f t="shared" si="63"/>
        <v>0</v>
      </c>
      <c r="L185" s="1572">
        <f t="shared" si="63"/>
        <v>0</v>
      </c>
      <c r="M185" s="1574">
        <f t="shared" si="63"/>
        <v>0</v>
      </c>
      <c r="N185" s="190"/>
    </row>
    <row r="186" spans="1:14" s="188" customFormat="1">
      <c r="A186" s="904">
        <f t="shared" si="62"/>
        <v>27</v>
      </c>
      <c r="B186" s="1678" t="s">
        <v>866</v>
      </c>
      <c r="C186" s="1678"/>
      <c r="D186" s="155">
        <f t="shared" ref="D186:M186" si="64">+D184-D185</f>
        <v>-44694068.869999997</v>
      </c>
      <c r="E186" s="155">
        <f t="shared" si="64"/>
        <v>-57351945.080000006</v>
      </c>
      <c r="F186" s="1570">
        <f t="shared" si="64"/>
        <v>-46767128.454999998</v>
      </c>
      <c r="G186" s="155">
        <f t="shared" si="64"/>
        <v>-2965338.22</v>
      </c>
      <c r="H186" s="155">
        <f t="shared" si="64"/>
        <v>-1290540.3</v>
      </c>
      <c r="I186" s="1571">
        <f t="shared" si="64"/>
        <v>0</v>
      </c>
      <c r="J186" s="1570">
        <f t="shared" si="64"/>
        <v>-53700211.399999999</v>
      </c>
      <c r="K186" s="155">
        <f t="shared" si="64"/>
        <v>-2613639.94</v>
      </c>
      <c r="L186" s="155">
        <f t="shared" si="64"/>
        <v>-1038093.74</v>
      </c>
      <c r="M186" s="1571">
        <f t="shared" si="64"/>
        <v>0</v>
      </c>
      <c r="N186" s="190" t="str">
        <f>+"Ln "&amp;A184&amp;" Less Ln "&amp;A185</f>
        <v>Ln 25 Less Ln 26</v>
      </c>
    </row>
    <row r="187" spans="1:14" s="188" customFormat="1">
      <c r="A187" s="904">
        <f t="shared" si="62"/>
        <v>28</v>
      </c>
      <c r="B187" s="1564"/>
      <c r="C187" s="1564"/>
      <c r="D187" s="1564"/>
      <c r="E187" s="1575"/>
      <c r="F187" s="190"/>
      <c r="G187" s="1565"/>
      <c r="H187" s="1565"/>
      <c r="I187" s="1565"/>
      <c r="J187" s="1565"/>
      <c r="K187" s="1565"/>
      <c r="L187" s="1565"/>
      <c r="M187" s="1565"/>
      <c r="N187" s="1565"/>
    </row>
    <row r="188" spans="1:14" s="188" customFormat="1">
      <c r="A188" s="904">
        <f t="shared" si="62"/>
        <v>29</v>
      </c>
      <c r="B188" s="1683" t="s">
        <v>731</v>
      </c>
      <c r="C188" s="1683"/>
      <c r="D188" s="1683"/>
      <c r="E188" s="1683"/>
      <c r="F188" s="1683"/>
      <c r="G188" s="1683"/>
      <c r="H188" s="1683"/>
      <c r="I188" s="190"/>
      <c r="J188" s="1566"/>
      <c r="K188" s="1566"/>
      <c r="L188" s="1566"/>
      <c r="M188" s="1566"/>
      <c r="N188" s="1566"/>
    </row>
    <row r="189" spans="1:14" s="188" customFormat="1" ht="13.9" customHeight="1">
      <c r="A189" s="904">
        <f t="shared" si="62"/>
        <v>30</v>
      </c>
      <c r="B189" s="1684"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189" s="1684"/>
      <c r="D189" s="1684"/>
      <c r="E189" s="1684"/>
      <c r="F189" s="1684"/>
      <c r="G189" s="1684"/>
      <c r="H189" s="1684"/>
      <c r="I189" s="1684"/>
      <c r="J189" s="1684"/>
      <c r="K189" s="1684"/>
      <c r="L189" s="1684"/>
      <c r="M189" s="1684"/>
      <c r="N189" s="1584"/>
    </row>
    <row r="190" spans="1:14" s="188" customFormat="1">
      <c r="A190" s="904">
        <f t="shared" si="62"/>
        <v>31</v>
      </c>
      <c r="B190" s="1683" t="str">
        <f>+"2.  ADIT items related only to Transmission are directly assigned to Column "&amp;G$5&amp;" for True-Up and Column "&amp;K$5&amp;" for Projected"</f>
        <v>2.  ADIT items related only to Transmission are directly assigned to Column F for True-Up and Column J for Projected</v>
      </c>
      <c r="C190" s="1683"/>
      <c r="D190" s="1683"/>
      <c r="E190" s="1683"/>
      <c r="F190" s="1683"/>
      <c r="G190" s="1683"/>
      <c r="H190" s="1683"/>
      <c r="I190" s="190"/>
      <c r="J190" s="1566"/>
      <c r="K190" s="1566"/>
      <c r="L190" s="1566"/>
      <c r="M190" s="1566"/>
      <c r="N190" s="1566"/>
    </row>
    <row r="191" spans="1:14" s="188" customFormat="1">
      <c r="A191" s="904">
        <f t="shared" si="62"/>
        <v>32</v>
      </c>
      <c r="B191" s="1683"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191" s="1683"/>
      <c r="D191" s="1683"/>
      <c r="E191" s="1683"/>
      <c r="F191" s="1683"/>
      <c r="G191" s="1683"/>
      <c r="H191" s="1683"/>
      <c r="I191" s="1683"/>
      <c r="J191" s="1683"/>
      <c r="K191" s="1683"/>
      <c r="L191" s="1683"/>
      <c r="M191" s="1683"/>
      <c r="N191" s="1584"/>
    </row>
    <row r="192" spans="1:14" s="188" customFormat="1">
      <c r="A192" s="904">
        <f t="shared" si="62"/>
        <v>33</v>
      </c>
      <c r="B192" s="1683"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192" s="1683"/>
      <c r="D192" s="1683"/>
      <c r="E192" s="1683"/>
      <c r="F192" s="1683"/>
      <c r="G192" s="1683"/>
      <c r="H192" s="1683"/>
      <c r="I192" s="1683"/>
      <c r="J192" s="1683"/>
      <c r="K192" s="1683"/>
      <c r="L192" s="1683"/>
      <c r="M192" s="1683"/>
      <c r="N192" s="1566"/>
    </row>
    <row r="193" spans="1:14">
      <c r="A193" s="793">
        <f t="shared" si="62"/>
        <v>34</v>
      </c>
      <c r="B193" s="1677" t="s">
        <v>1408</v>
      </c>
      <c r="C193" s="1677"/>
      <c r="D193" s="1677"/>
      <c r="E193" s="1677"/>
      <c r="F193" s="1677"/>
      <c r="G193" s="1677"/>
      <c r="H193" s="1677"/>
      <c r="I193" s="1677"/>
      <c r="J193" s="1677"/>
      <c r="K193" s="1677"/>
      <c r="L193" s="1677"/>
      <c r="M193" s="1677"/>
      <c r="N193" s="1677"/>
    </row>
    <row r="194" spans="1:14">
      <c r="A194" s="793">
        <f t="shared" si="62"/>
        <v>35</v>
      </c>
      <c r="B194" s="1676" t="s">
        <v>1407</v>
      </c>
      <c r="C194" s="1676"/>
      <c r="D194" s="1676"/>
      <c r="E194" s="1676"/>
      <c r="F194" s="1676"/>
      <c r="G194" s="1676"/>
      <c r="H194" s="1676"/>
      <c r="I194" s="1676"/>
      <c r="J194" s="1676"/>
      <c r="K194" s="1676"/>
      <c r="L194" s="1676"/>
      <c r="M194" s="1676"/>
      <c r="N194" s="1676"/>
    </row>
    <row r="195" spans="1:14">
      <c r="A195" s="793"/>
      <c r="B195" s="697"/>
      <c r="C195" s="697"/>
      <c r="D195" s="697"/>
      <c r="E195" s="697"/>
      <c r="F195" s="697"/>
      <c r="G195" s="849"/>
      <c r="H195" s="849"/>
      <c r="I195" s="849"/>
      <c r="J195" s="849"/>
      <c r="K195" s="849"/>
      <c r="L195" s="849"/>
      <c r="M195" s="849"/>
      <c r="N195" s="849"/>
    </row>
    <row r="196" spans="1:14">
      <c r="A196" s="794"/>
      <c r="B196" s="697"/>
      <c r="C196" s="697"/>
      <c r="D196" s="697"/>
      <c r="E196" s="697"/>
      <c r="F196" s="697"/>
      <c r="G196" s="849"/>
      <c r="H196" s="849"/>
      <c r="I196" s="849"/>
      <c r="J196" s="849"/>
      <c r="K196" s="849"/>
      <c r="L196" s="849"/>
      <c r="M196" s="849"/>
      <c r="N196" s="849"/>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27">
    <mergeCell ref="A1:N1"/>
    <mergeCell ref="A2:N2"/>
    <mergeCell ref="F102:I102"/>
    <mergeCell ref="J102:M102"/>
    <mergeCell ref="A3:N3"/>
    <mergeCell ref="B99:C99"/>
    <mergeCell ref="A4:A5"/>
    <mergeCell ref="F17:I17"/>
    <mergeCell ref="J17:M17"/>
    <mergeCell ref="F6:I6"/>
    <mergeCell ref="J6:M6"/>
    <mergeCell ref="B194:N194"/>
    <mergeCell ref="B193:N193"/>
    <mergeCell ref="B186:C186"/>
    <mergeCell ref="F8:I8"/>
    <mergeCell ref="J8:M8"/>
    <mergeCell ref="J15:M15"/>
    <mergeCell ref="F15:I15"/>
    <mergeCell ref="B142:C142"/>
    <mergeCell ref="B190:H190"/>
    <mergeCell ref="B189:M189"/>
    <mergeCell ref="F145:I145"/>
    <mergeCell ref="J145:M145"/>
    <mergeCell ref="B188:H188"/>
    <mergeCell ref="B185:C185"/>
    <mergeCell ref="B191:M191"/>
    <mergeCell ref="B192:M192"/>
  </mergeCells>
  <phoneticPr fontId="0" type="noConversion"/>
  <printOptions horizontalCentered="1"/>
  <pageMargins left="0.7" right="0.7" top="0.7" bottom="0.7" header="0.3" footer="0.5"/>
  <pageSetup scale="47" fitToHeight="6" orientation="landscape" r:id="rId10"/>
  <headerFooter>
    <oddFooter>&amp;CPage &amp;P of &amp;N&amp;R&amp;A</oddFooter>
  </headerFooter>
  <rowBreaks count="1" manualBreakCount="1">
    <brk id="2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MISO Cover</vt:lpstr>
      <vt:lpstr>Appendix A</vt:lpstr>
      <vt:lpstr>Explanatory Stmts</vt:lpstr>
      <vt:lpstr>WP01 True-Up</vt:lpstr>
      <vt:lpstr>WP02 Support</vt:lpstr>
      <vt:lpstr>WP03 W&amp;S</vt:lpstr>
      <vt:lpstr>WP04 PIS</vt:lpstr>
      <vt:lpstr>WP05 CapAds</vt:lpstr>
      <vt:lpstr>WP06 ADIT</vt:lpstr>
      <vt:lpstr>WP07 M&amp;S</vt:lpstr>
      <vt:lpstr>WP08 Prepay</vt:lpstr>
      <vt:lpstr>WP09 PHFU</vt:lpstr>
      <vt:lpstr>WP10 Storm</vt:lpstr>
      <vt:lpstr>WP11 Credits</vt:lpstr>
      <vt:lpstr>WP12 PBOP</vt:lpstr>
      <vt:lpstr>WP13 TOTI</vt:lpstr>
      <vt:lpstr>WP14 COC</vt:lpstr>
      <vt:lpstr>WP15 Radials</vt:lpstr>
      <vt:lpstr>WP16 Interconn</vt:lpstr>
      <vt:lpstr>WP17 Rev</vt:lpstr>
      <vt:lpstr>WP18 Deprec</vt:lpstr>
      <vt:lpstr>WP19 Load</vt:lpstr>
      <vt:lpstr>WP20 Reserves</vt:lpstr>
      <vt:lpstr>WP AJ1 MISO</vt:lpstr>
      <vt:lpstr>WP AJ2 ITC</vt:lpstr>
      <vt:lpstr>WP AJ3 Blank</vt:lpstr>
      <vt:lpstr>WP AJ4 LA Merger</vt:lpstr>
      <vt:lpstr>'MISO Cover'!CE</vt:lpstr>
      <vt:lpstr>GP</vt:lpstr>
      <vt:lpstr>NP</vt:lpstr>
      <vt:lpstr>'Appendix A'!Print_Area</vt:lpstr>
      <vt:lpstr>'MISO Cover'!Print_Area</vt:lpstr>
      <vt:lpstr>'WP AJ2 ITC'!Print_Area</vt:lpstr>
      <vt:lpstr>'WP AJ4 LA Merger'!Print_Area</vt:lpstr>
      <vt:lpstr>'WP01 True-Up'!Print_Area</vt:lpstr>
      <vt:lpstr>'WP02 Support'!Print_Area</vt:lpstr>
      <vt:lpstr>'WP06 ADIT'!Print_Area</vt:lpstr>
      <vt:lpstr>'WP12 PBOP'!Print_Area</vt:lpstr>
      <vt:lpstr>'WP15 Radials'!Print_Area</vt:lpstr>
      <vt:lpstr>'Appendix A'!Print_Titles</vt:lpstr>
      <vt:lpstr>'WP01 True-Up'!Print_Titles</vt:lpstr>
      <vt:lpstr>'WP02 Support'!Print_Titles</vt:lpstr>
      <vt:lpstr>'WP06 ADIT'!Print_Titles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BOWDEN, REBECCA L</cp:lastModifiedBy>
  <cp:lastPrinted>2015-10-30T01:27:20Z</cp:lastPrinted>
  <dcterms:created xsi:type="dcterms:W3CDTF">2004-01-21T20:42:01Z</dcterms:created>
  <dcterms:modified xsi:type="dcterms:W3CDTF">2015-10-30T01:27:51Z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